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754"/>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G1.N275 R68 2007</t>
        </is>
      </c>
      <c r="C2" t="inlineStr">
        <is>
          <t>0                      G  0001000N  275                R  68          2007</t>
        </is>
      </c>
      <c r="D2" t="inlineStr">
        <is>
          <t>Presenting America's world : strategies of innocence in National geographic magazine, 1888-1945 / Tamar Y. Rothenberg.</t>
        </is>
      </c>
      <c r="F2" t="inlineStr">
        <is>
          <t>No</t>
        </is>
      </c>
      <c r="G2" t="inlineStr">
        <is>
          <t>1</t>
        </is>
      </c>
      <c r="H2" t="inlineStr">
        <is>
          <t>No</t>
        </is>
      </c>
      <c r="I2" t="inlineStr">
        <is>
          <t>No</t>
        </is>
      </c>
      <c r="J2" t="inlineStr">
        <is>
          <t>0</t>
        </is>
      </c>
      <c r="K2" t="inlineStr">
        <is>
          <t>Rothenberg, Tamar Y.</t>
        </is>
      </c>
      <c r="L2" t="inlineStr">
        <is>
          <t>Aldershot, England ; Burlington, VT : Ashgate, c2007.</t>
        </is>
      </c>
      <c r="M2" t="inlineStr">
        <is>
          <t>2007</t>
        </is>
      </c>
      <c r="O2" t="inlineStr">
        <is>
          <t>eng</t>
        </is>
      </c>
      <c r="P2" t="inlineStr">
        <is>
          <t>enk</t>
        </is>
      </c>
      <c r="Q2" t="inlineStr">
        <is>
          <t>Re-materialising cultural geography</t>
        </is>
      </c>
      <c r="R2" t="inlineStr">
        <is>
          <t xml:space="preserve">G  </t>
        </is>
      </c>
      <c r="S2" t="n">
        <v>1</v>
      </c>
      <c r="T2" t="n">
        <v>1</v>
      </c>
      <c r="U2" t="inlineStr">
        <is>
          <t>2009-04-08</t>
        </is>
      </c>
      <c r="V2" t="inlineStr">
        <is>
          <t>2009-04-08</t>
        </is>
      </c>
      <c r="W2" t="inlineStr">
        <is>
          <t>2009-04-08</t>
        </is>
      </c>
      <c r="X2" t="inlineStr">
        <is>
          <t>2009-04-08</t>
        </is>
      </c>
      <c r="Y2" t="n">
        <v>250</v>
      </c>
      <c r="Z2" t="n">
        <v>182</v>
      </c>
      <c r="AA2" t="n">
        <v>206</v>
      </c>
      <c r="AB2" t="n">
        <v>2</v>
      </c>
      <c r="AC2" t="n">
        <v>2</v>
      </c>
      <c r="AD2" t="n">
        <v>7</v>
      </c>
      <c r="AE2" t="n">
        <v>7</v>
      </c>
      <c r="AF2" t="n">
        <v>2</v>
      </c>
      <c r="AG2" t="n">
        <v>2</v>
      </c>
      <c r="AH2" t="n">
        <v>2</v>
      </c>
      <c r="AI2" t="n">
        <v>2</v>
      </c>
      <c r="AJ2" t="n">
        <v>3</v>
      </c>
      <c r="AK2" t="n">
        <v>3</v>
      </c>
      <c r="AL2" t="n">
        <v>1</v>
      </c>
      <c r="AM2" t="n">
        <v>1</v>
      </c>
      <c r="AN2" t="n">
        <v>0</v>
      </c>
      <c r="AO2" t="n">
        <v>0</v>
      </c>
      <c r="AP2" t="inlineStr">
        <is>
          <t>No</t>
        </is>
      </c>
      <c r="AQ2" t="inlineStr">
        <is>
          <t>Yes</t>
        </is>
      </c>
      <c r="AR2">
        <f>HYPERLINK("http://catalog.hathitrust.org/Record/005596117","HathiTrust Record")</f>
        <v/>
      </c>
      <c r="AS2">
        <f>HYPERLINK("https://creighton-primo.hosted.exlibrisgroup.com/primo-explore/search?tab=default_tab&amp;search_scope=EVERYTHING&amp;vid=01CRU&amp;lang=en_US&amp;offset=0&amp;query=any,contains,991005306869702656","Catalog Record")</f>
        <v/>
      </c>
      <c r="AT2">
        <f>HYPERLINK("http://www.worldcat.org/oclc/82673551","WorldCat Record")</f>
        <v/>
      </c>
      <c r="AU2" t="inlineStr">
        <is>
          <t>319954077:eng</t>
        </is>
      </c>
      <c r="AV2" t="inlineStr">
        <is>
          <t>82673551</t>
        </is>
      </c>
      <c r="AW2" t="inlineStr">
        <is>
          <t>991005306869702656</t>
        </is>
      </c>
      <c r="AX2" t="inlineStr">
        <is>
          <t>991005306869702656</t>
        </is>
      </c>
      <c r="AY2" t="inlineStr">
        <is>
          <t>2270655360002656</t>
        </is>
      </c>
      <c r="AZ2" t="inlineStr">
        <is>
          <t>BOOK</t>
        </is>
      </c>
      <c r="BB2" t="inlineStr">
        <is>
          <t>9780754645108</t>
        </is>
      </c>
      <c r="BC2" t="inlineStr">
        <is>
          <t>32285005514145</t>
        </is>
      </c>
      <c r="BD2" t="inlineStr">
        <is>
          <t>893431207</t>
        </is>
      </c>
    </row>
    <row r="3">
      <c r="A3" t="inlineStr">
        <is>
          <t>No</t>
        </is>
      </c>
      <c r="B3" t="inlineStr">
        <is>
          <t>G1019 .H55</t>
        </is>
      </c>
      <c r="C3" t="inlineStr">
        <is>
          <t>0                      G  1019000H  55</t>
        </is>
      </c>
      <c r="D3" t="inlineStr">
        <is>
          <t>Hammond's world atlas : an encyclopedic atlas of the world, with the latest and most authentic geographical and statistical information in map, word and picture.</t>
        </is>
      </c>
      <c r="F3" t="inlineStr">
        <is>
          <t>No</t>
        </is>
      </c>
      <c r="G3" t="inlineStr">
        <is>
          <t>1</t>
        </is>
      </c>
      <c r="H3" t="inlineStr">
        <is>
          <t>No</t>
        </is>
      </c>
      <c r="I3" t="inlineStr">
        <is>
          <t>No</t>
        </is>
      </c>
      <c r="J3" t="inlineStr">
        <is>
          <t>0</t>
        </is>
      </c>
      <c r="L3" t="inlineStr">
        <is>
          <t>Maplewood, N.J. : C.S. Hammond, [c1963]</t>
        </is>
      </c>
      <c r="M3" t="inlineStr">
        <is>
          <t>1963</t>
        </is>
      </c>
      <c r="N3" t="inlineStr">
        <is>
          <t>Classics ed.</t>
        </is>
      </c>
      <c r="O3" t="inlineStr">
        <is>
          <t>eng</t>
        </is>
      </c>
      <c r="P3" t="inlineStr">
        <is>
          <t>nju</t>
        </is>
      </c>
      <c r="R3" t="inlineStr">
        <is>
          <t xml:space="preserve">G  </t>
        </is>
      </c>
      <c r="S3" t="n">
        <v>5</v>
      </c>
      <c r="T3" t="n">
        <v>5</v>
      </c>
      <c r="U3" t="inlineStr">
        <is>
          <t>2004-07-13</t>
        </is>
      </c>
      <c r="V3" t="inlineStr">
        <is>
          <t>2004-07-13</t>
        </is>
      </c>
      <c r="W3" t="inlineStr">
        <is>
          <t>1994-12-21</t>
        </is>
      </c>
      <c r="X3" t="inlineStr">
        <is>
          <t>1994-12-21</t>
        </is>
      </c>
      <c r="Y3" t="n">
        <v>8</v>
      </c>
      <c r="Z3" t="n">
        <v>2</v>
      </c>
      <c r="AA3" t="n">
        <v>4</v>
      </c>
      <c r="AB3" t="n">
        <v>1</v>
      </c>
      <c r="AC3" t="n">
        <v>1</v>
      </c>
      <c r="AD3" t="n">
        <v>0</v>
      </c>
      <c r="AE3" t="n">
        <v>0</v>
      </c>
      <c r="AF3" t="n">
        <v>0</v>
      </c>
      <c r="AG3" t="n">
        <v>0</v>
      </c>
      <c r="AH3" t="n">
        <v>0</v>
      </c>
      <c r="AI3" t="n">
        <v>0</v>
      </c>
      <c r="AJ3" t="n">
        <v>0</v>
      </c>
      <c r="AK3" t="n">
        <v>0</v>
      </c>
      <c r="AL3" t="n">
        <v>0</v>
      </c>
      <c r="AM3" t="n">
        <v>0</v>
      </c>
      <c r="AN3" t="n">
        <v>0</v>
      </c>
      <c r="AO3" t="n">
        <v>0</v>
      </c>
      <c r="AP3" t="inlineStr">
        <is>
          <t>No</t>
        </is>
      </c>
      <c r="AQ3" t="inlineStr">
        <is>
          <t>No</t>
        </is>
      </c>
      <c r="AS3">
        <f>HYPERLINK("https://creighton-primo.hosted.exlibrisgroup.com/primo-explore/search?tab=default_tab&amp;search_scope=EVERYTHING&amp;vid=01CRU&amp;lang=en_US&amp;offset=0&amp;query=any,contains,991001986439702656","Catalog Record")</f>
        <v/>
      </c>
      <c r="AT3">
        <f>HYPERLINK("http://www.worldcat.org/oclc/25215520","WorldCat Record")</f>
        <v/>
      </c>
      <c r="AU3" t="inlineStr">
        <is>
          <t>3376975931:eng</t>
        </is>
      </c>
      <c r="AV3" t="inlineStr">
        <is>
          <t>25215520</t>
        </is>
      </c>
      <c r="AW3" t="inlineStr">
        <is>
          <t>991001986439702656</t>
        </is>
      </c>
      <c r="AX3" t="inlineStr">
        <is>
          <t>991001986439702656</t>
        </is>
      </c>
      <c r="AY3" t="inlineStr">
        <is>
          <t>2266750980002656</t>
        </is>
      </c>
      <c r="AZ3" t="inlineStr">
        <is>
          <t>BOOK</t>
        </is>
      </c>
      <c r="BC3" t="inlineStr">
        <is>
          <t>32285001985570</t>
        </is>
      </c>
      <c r="BD3" t="inlineStr">
        <is>
          <t>893328551</t>
        </is>
      </c>
    </row>
    <row r="4">
      <c r="A4" t="inlineStr">
        <is>
          <t>No</t>
        </is>
      </c>
      <c r="B4" t="inlineStr">
        <is>
          <t>G1030 .G48 2004</t>
        </is>
      </c>
      <c r="C4" t="inlineStr">
        <is>
          <t>0                      G  1030000G  48          2004</t>
        </is>
      </c>
      <c r="D4" t="inlineStr">
        <is>
          <t>The illustrated atlas of Jewish civilization / Josephine Bacon ; consultant editor, Martin Gilbert.</t>
        </is>
      </c>
      <c r="F4" t="inlineStr">
        <is>
          <t>No</t>
        </is>
      </c>
      <c r="G4" t="inlineStr">
        <is>
          <t>1</t>
        </is>
      </c>
      <c r="H4" t="inlineStr">
        <is>
          <t>No</t>
        </is>
      </c>
      <c r="I4" t="inlineStr">
        <is>
          <t>No</t>
        </is>
      </c>
      <c r="J4" t="inlineStr">
        <is>
          <t>0</t>
        </is>
      </c>
      <c r="K4" t="inlineStr">
        <is>
          <t>Bacon, Josephine, 1942-</t>
        </is>
      </c>
      <c r="L4" t="inlineStr">
        <is>
          <t>London : Quantum Books, 2004.</t>
        </is>
      </c>
      <c r="M4" t="inlineStr">
        <is>
          <t>2004</t>
        </is>
      </c>
      <c r="O4" t="inlineStr">
        <is>
          <t>eng</t>
        </is>
      </c>
      <c r="P4" t="inlineStr">
        <is>
          <t>enk</t>
        </is>
      </c>
      <c r="R4" t="inlineStr">
        <is>
          <t xml:space="preserve">G  </t>
        </is>
      </c>
      <c r="S4" t="n">
        <v>1</v>
      </c>
      <c r="T4" t="n">
        <v>1</v>
      </c>
      <c r="U4" t="inlineStr">
        <is>
          <t>2004-09-22</t>
        </is>
      </c>
      <c r="V4" t="inlineStr">
        <is>
          <t>2004-09-22</t>
        </is>
      </c>
      <c r="W4" t="inlineStr">
        <is>
          <t>2004-09-22</t>
        </is>
      </c>
      <c r="X4" t="inlineStr">
        <is>
          <t>2004-09-22</t>
        </is>
      </c>
      <c r="Y4" t="n">
        <v>43</v>
      </c>
      <c r="Z4" t="n">
        <v>41</v>
      </c>
      <c r="AA4" t="n">
        <v>141</v>
      </c>
      <c r="AB4" t="n">
        <v>1</v>
      </c>
      <c r="AC4" t="n">
        <v>1</v>
      </c>
      <c r="AD4" t="n">
        <v>1</v>
      </c>
      <c r="AE4" t="n">
        <v>3</v>
      </c>
      <c r="AF4" t="n">
        <v>1</v>
      </c>
      <c r="AG4" t="n">
        <v>1</v>
      </c>
      <c r="AH4" t="n">
        <v>0</v>
      </c>
      <c r="AI4" t="n">
        <v>2</v>
      </c>
      <c r="AJ4" t="n">
        <v>1</v>
      </c>
      <c r="AK4" t="n">
        <v>1</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HYPERLINK("https://creighton-primo.hosted.exlibrisgroup.com/primo-explore/search?tab=default_tab&amp;search_scope=EVERYTHING&amp;vid=01CRU&amp;lang=en_US&amp;offset=0&amp;query=any,contains,991004295919702656","Catalog Record")</f>
        <v/>
      </c>
      <c r="AT4">
        <f>HYPERLINK("http://www.worldcat.org/oclc/56501885","WorldCat Record")</f>
        <v/>
      </c>
      <c r="AU4" t="inlineStr">
        <is>
          <t>30159434:eng</t>
        </is>
      </c>
      <c r="AV4" t="inlineStr">
        <is>
          <t>56501885</t>
        </is>
      </c>
      <c r="AW4" t="inlineStr">
        <is>
          <t>991004295919702656</t>
        </is>
      </c>
      <c r="AX4" t="inlineStr">
        <is>
          <t>991004295919702656</t>
        </is>
      </c>
      <c r="AY4" t="inlineStr">
        <is>
          <t>2259357430002656</t>
        </is>
      </c>
      <c r="AZ4" t="inlineStr">
        <is>
          <t>BOOK</t>
        </is>
      </c>
      <c r="BB4" t="inlineStr">
        <is>
          <t>9780681606630</t>
        </is>
      </c>
      <c r="BC4" t="inlineStr">
        <is>
          <t>32285004906888</t>
        </is>
      </c>
      <c r="BD4" t="inlineStr">
        <is>
          <t>893624563</t>
        </is>
      </c>
    </row>
    <row r="5">
      <c r="A5" t="inlineStr">
        <is>
          <t>No</t>
        </is>
      </c>
      <c r="B5" t="inlineStr">
        <is>
          <t>G1030 .R3 1957</t>
        </is>
      </c>
      <c r="C5" t="inlineStr">
        <is>
          <t>0                      G  1030000R  3           1957</t>
        </is>
      </c>
      <c r="D5" t="inlineStr">
        <is>
          <t>Atlas of world history / edited by R.R. Palmer. Contributing editors: Knight Biggerstaff [and others]</t>
        </is>
      </c>
      <c r="F5" t="inlineStr">
        <is>
          <t>No</t>
        </is>
      </c>
      <c r="G5" t="inlineStr">
        <is>
          <t>1</t>
        </is>
      </c>
      <c r="H5" t="inlineStr">
        <is>
          <t>No</t>
        </is>
      </c>
      <c r="I5" t="inlineStr">
        <is>
          <t>No</t>
        </is>
      </c>
      <c r="J5" t="inlineStr">
        <is>
          <t>0</t>
        </is>
      </c>
      <c r="K5" t="inlineStr">
        <is>
          <t>Rand McNally and Company.</t>
        </is>
      </c>
      <c r="M5" t="inlineStr">
        <is>
          <t>1957</t>
        </is>
      </c>
      <c r="O5" t="inlineStr">
        <is>
          <t>eng</t>
        </is>
      </c>
      <c r="P5" t="inlineStr">
        <is>
          <t>ilu</t>
        </is>
      </c>
      <c r="Q5" t="inlineStr">
        <is>
          <t>Rand McNally history series</t>
        </is>
      </c>
      <c r="R5" t="inlineStr">
        <is>
          <t xml:space="preserve">G  </t>
        </is>
      </c>
      <c r="S5" t="n">
        <v>76</v>
      </c>
      <c r="T5" t="n">
        <v>76</v>
      </c>
      <c r="U5" t="inlineStr">
        <is>
          <t>2010-04-21</t>
        </is>
      </c>
      <c r="V5" t="inlineStr">
        <is>
          <t>2010-04-21</t>
        </is>
      </c>
      <c r="W5" t="inlineStr">
        <is>
          <t>1992-11-16</t>
        </is>
      </c>
      <c r="X5" t="inlineStr">
        <is>
          <t>1992-11-16</t>
        </is>
      </c>
      <c r="Y5" t="n">
        <v>799</v>
      </c>
      <c r="Z5" t="n">
        <v>738</v>
      </c>
      <c r="AA5" t="n">
        <v>1024</v>
      </c>
      <c r="AB5" t="n">
        <v>8</v>
      </c>
      <c r="AC5" t="n">
        <v>9</v>
      </c>
      <c r="AD5" t="n">
        <v>22</v>
      </c>
      <c r="AE5" t="n">
        <v>26</v>
      </c>
      <c r="AF5" t="n">
        <v>10</v>
      </c>
      <c r="AG5" t="n">
        <v>12</v>
      </c>
      <c r="AH5" t="n">
        <v>3</v>
      </c>
      <c r="AI5" t="n">
        <v>3</v>
      </c>
      <c r="AJ5" t="n">
        <v>7</v>
      </c>
      <c r="AK5" t="n">
        <v>10</v>
      </c>
      <c r="AL5" t="n">
        <v>5</v>
      </c>
      <c r="AM5" t="n">
        <v>5</v>
      </c>
      <c r="AN5" t="n">
        <v>1</v>
      </c>
      <c r="AO5" t="n">
        <v>1</v>
      </c>
      <c r="AP5" t="inlineStr">
        <is>
          <t>No</t>
        </is>
      </c>
      <c r="AQ5" t="inlineStr">
        <is>
          <t>No</t>
        </is>
      </c>
      <c r="AS5">
        <f>HYPERLINK("https://creighton-primo.hosted.exlibrisgroup.com/primo-explore/search?tab=default_tab&amp;search_scope=EVERYTHING&amp;vid=01CRU&amp;lang=en_US&amp;offset=0&amp;query=any,contains,991003399779702656","Catalog Record")</f>
        <v/>
      </c>
      <c r="AT5">
        <f>HYPERLINK("http://www.worldcat.org/oclc/939917","WorldCat Record")</f>
        <v/>
      </c>
      <c r="AU5" t="inlineStr">
        <is>
          <t>2866773943:eng</t>
        </is>
      </c>
      <c r="AV5" t="inlineStr">
        <is>
          <t>939917</t>
        </is>
      </c>
      <c r="AW5" t="inlineStr">
        <is>
          <t>991003399779702656</t>
        </is>
      </c>
      <c r="AX5" t="inlineStr">
        <is>
          <t>991003399779702656</t>
        </is>
      </c>
      <c r="AY5" t="inlineStr">
        <is>
          <t>2264981870002656</t>
        </is>
      </c>
      <c r="AZ5" t="inlineStr">
        <is>
          <t>BOOK</t>
        </is>
      </c>
      <c r="BC5" t="inlineStr">
        <is>
          <t>32285001384675</t>
        </is>
      </c>
      <c r="BD5" t="inlineStr">
        <is>
          <t>893793585</t>
        </is>
      </c>
    </row>
    <row r="6">
      <c r="A6" t="inlineStr">
        <is>
          <t>No</t>
        </is>
      </c>
      <c r="B6" t="inlineStr">
        <is>
          <t>G1035 .B6 1991</t>
        </is>
      </c>
      <c r="C6" t="inlineStr">
        <is>
          <t>0                      G  1035000B  6           1991</t>
        </is>
      </c>
      <c r="D6" t="inlineStr">
        <is>
          <t>An atlas of world affairs / Andrew Boyd.</t>
        </is>
      </c>
      <c r="F6" t="inlineStr">
        <is>
          <t>No</t>
        </is>
      </c>
      <c r="G6" t="inlineStr">
        <is>
          <t>1</t>
        </is>
      </c>
      <c r="H6" t="inlineStr">
        <is>
          <t>No</t>
        </is>
      </c>
      <c r="I6" t="inlineStr">
        <is>
          <t>No</t>
        </is>
      </c>
      <c r="J6" t="inlineStr">
        <is>
          <t>0</t>
        </is>
      </c>
      <c r="K6" t="inlineStr">
        <is>
          <t>Boyd, Andrew, 1920-2003.</t>
        </is>
      </c>
      <c r="L6" t="inlineStr">
        <is>
          <t>London ; New York : Routledge, 1991.</t>
        </is>
      </c>
      <c r="M6" t="inlineStr">
        <is>
          <t>1991</t>
        </is>
      </c>
      <c r="N6" t="inlineStr">
        <is>
          <t>9th ed.</t>
        </is>
      </c>
      <c r="O6" t="inlineStr">
        <is>
          <t>eng</t>
        </is>
      </c>
      <c r="P6" t="inlineStr">
        <is>
          <t>enk</t>
        </is>
      </c>
      <c r="R6" t="inlineStr">
        <is>
          <t xml:space="preserve">G  </t>
        </is>
      </c>
      <c r="S6" t="n">
        <v>2</v>
      </c>
      <c r="T6" t="n">
        <v>2</v>
      </c>
      <c r="U6" t="inlineStr">
        <is>
          <t>2003-11-19</t>
        </is>
      </c>
      <c r="V6" t="inlineStr">
        <is>
          <t>2003-11-19</t>
        </is>
      </c>
      <c r="W6" t="inlineStr">
        <is>
          <t>1992-06-10</t>
        </is>
      </c>
      <c r="X6" t="inlineStr">
        <is>
          <t>1992-06-10</t>
        </is>
      </c>
      <c r="Y6" t="n">
        <v>342</v>
      </c>
      <c r="Z6" t="n">
        <v>161</v>
      </c>
      <c r="AA6" t="n">
        <v>685</v>
      </c>
      <c r="AB6" t="n">
        <v>3</v>
      </c>
      <c r="AC6" t="n">
        <v>4</v>
      </c>
      <c r="AD6" t="n">
        <v>6</v>
      </c>
      <c r="AE6" t="n">
        <v>18</v>
      </c>
      <c r="AF6" t="n">
        <v>1</v>
      </c>
      <c r="AG6" t="n">
        <v>7</v>
      </c>
      <c r="AH6" t="n">
        <v>2</v>
      </c>
      <c r="AI6" t="n">
        <v>5</v>
      </c>
      <c r="AJ6" t="n">
        <v>3</v>
      </c>
      <c r="AK6" t="n">
        <v>10</v>
      </c>
      <c r="AL6" t="n">
        <v>2</v>
      </c>
      <c r="AM6" t="n">
        <v>3</v>
      </c>
      <c r="AN6" t="n">
        <v>0</v>
      </c>
      <c r="AO6" t="n">
        <v>0</v>
      </c>
      <c r="AP6" t="inlineStr">
        <is>
          <t>No</t>
        </is>
      </c>
      <c r="AQ6" t="inlineStr">
        <is>
          <t>No</t>
        </is>
      </c>
      <c r="AS6">
        <f>HYPERLINK("https://creighton-primo.hosted.exlibrisgroup.com/primo-explore/search?tab=default_tab&amp;search_scope=EVERYTHING&amp;vid=01CRU&amp;lang=en_US&amp;offset=0&amp;query=any,contains,991001892259702656","Catalog Record")</f>
        <v/>
      </c>
      <c r="AT6">
        <f>HYPERLINK("http://www.worldcat.org/oclc/23900699","WorldCat Record")</f>
        <v/>
      </c>
      <c r="AU6" t="inlineStr">
        <is>
          <t>1150939681:eng</t>
        </is>
      </c>
      <c r="AV6" t="inlineStr">
        <is>
          <t>23900699</t>
        </is>
      </c>
      <c r="AW6" t="inlineStr">
        <is>
          <t>991001892259702656</t>
        </is>
      </c>
      <c r="AX6" t="inlineStr">
        <is>
          <t>991001892259702656</t>
        </is>
      </c>
      <c r="AY6" t="inlineStr">
        <is>
          <t>2254708840002656</t>
        </is>
      </c>
      <c r="AZ6" t="inlineStr">
        <is>
          <t>BOOK</t>
        </is>
      </c>
      <c r="BB6" t="inlineStr">
        <is>
          <t>9780415066259</t>
        </is>
      </c>
      <c r="BC6" t="inlineStr">
        <is>
          <t>32285001128189</t>
        </is>
      </c>
      <c r="BD6" t="inlineStr">
        <is>
          <t>893797897</t>
        </is>
      </c>
    </row>
    <row r="7">
      <c r="A7" t="inlineStr">
        <is>
          <t>No</t>
        </is>
      </c>
      <c r="B7" t="inlineStr">
        <is>
          <t>G106 .T24 1969</t>
        </is>
      </c>
      <c r="C7" t="inlineStr">
        <is>
          <t>0                      G  0106000T  24          1969</t>
        </is>
      </c>
      <c r="D7" t="inlineStr">
        <is>
          <t>Names and their histories; a handbook of historical geography and topographical nomenclature.</t>
        </is>
      </c>
      <c r="F7" t="inlineStr">
        <is>
          <t>No</t>
        </is>
      </c>
      <c r="G7" t="inlineStr">
        <is>
          <t>1</t>
        </is>
      </c>
      <c r="H7" t="inlineStr">
        <is>
          <t>No</t>
        </is>
      </c>
      <c r="I7" t="inlineStr">
        <is>
          <t>No</t>
        </is>
      </c>
      <c r="J7" t="inlineStr">
        <is>
          <t>0</t>
        </is>
      </c>
      <c r="K7" t="inlineStr">
        <is>
          <t>Taylor, Isaac, 1829-1901.</t>
        </is>
      </c>
      <c r="L7" t="inlineStr">
        <is>
          <t>Detroit, Gale Research Co., 1969.</t>
        </is>
      </c>
      <c r="M7" t="inlineStr">
        <is>
          <t>1969</t>
        </is>
      </c>
      <c r="N7" t="inlineStr">
        <is>
          <t>2d ed., rev. London, Rivingtons, 1898.</t>
        </is>
      </c>
      <c r="O7" t="inlineStr">
        <is>
          <t>eng</t>
        </is>
      </c>
      <c r="P7" t="inlineStr">
        <is>
          <t>miu</t>
        </is>
      </c>
      <c r="R7" t="inlineStr">
        <is>
          <t xml:space="preserve">G  </t>
        </is>
      </c>
      <c r="S7" t="n">
        <v>5</v>
      </c>
      <c r="T7" t="n">
        <v>5</v>
      </c>
      <c r="U7" t="inlineStr">
        <is>
          <t>1998-01-14</t>
        </is>
      </c>
      <c r="V7" t="inlineStr">
        <is>
          <t>1998-01-14</t>
        </is>
      </c>
      <c r="W7" t="inlineStr">
        <is>
          <t>1997-05-21</t>
        </is>
      </c>
      <c r="X7" t="inlineStr">
        <is>
          <t>1997-05-21</t>
        </is>
      </c>
      <c r="Y7" t="n">
        <v>218</v>
      </c>
      <c r="Z7" t="n">
        <v>208</v>
      </c>
      <c r="AA7" t="n">
        <v>305</v>
      </c>
      <c r="AB7" t="n">
        <v>1</v>
      </c>
      <c r="AC7" t="n">
        <v>1</v>
      </c>
      <c r="AD7" t="n">
        <v>3</v>
      </c>
      <c r="AE7" t="n">
        <v>4</v>
      </c>
      <c r="AF7" t="n">
        <v>1</v>
      </c>
      <c r="AG7" t="n">
        <v>1</v>
      </c>
      <c r="AH7" t="n">
        <v>3</v>
      </c>
      <c r="AI7" t="n">
        <v>3</v>
      </c>
      <c r="AJ7" t="n">
        <v>0</v>
      </c>
      <c r="AK7" t="n">
        <v>1</v>
      </c>
      <c r="AL7" t="n">
        <v>0</v>
      </c>
      <c r="AM7" t="n">
        <v>0</v>
      </c>
      <c r="AN7" t="n">
        <v>0</v>
      </c>
      <c r="AO7" t="n">
        <v>0</v>
      </c>
      <c r="AP7" t="inlineStr">
        <is>
          <t>No</t>
        </is>
      </c>
      <c r="AQ7" t="inlineStr">
        <is>
          <t>Yes</t>
        </is>
      </c>
      <c r="AR7">
        <f>HYPERLINK("http://catalog.hathitrust.org/Record/006809425","HathiTrust Record")</f>
        <v/>
      </c>
      <c r="AS7">
        <f>HYPERLINK("https://creighton-primo.hosted.exlibrisgroup.com/primo-explore/search?tab=default_tab&amp;search_scope=EVERYTHING&amp;vid=01CRU&amp;lang=en_US&amp;offset=0&amp;query=any,contains,991000102419702656","Catalog Record")</f>
        <v/>
      </c>
      <c r="AT7">
        <f>HYPERLINK("http://www.worldcat.org/oclc/45125","WorldCat Record")</f>
        <v/>
      </c>
      <c r="AU7" t="inlineStr">
        <is>
          <t>1214524:eng</t>
        </is>
      </c>
      <c r="AV7" t="inlineStr">
        <is>
          <t>45125</t>
        </is>
      </c>
      <c r="AW7" t="inlineStr">
        <is>
          <t>991000102419702656</t>
        </is>
      </c>
      <c r="AX7" t="inlineStr">
        <is>
          <t>991000102419702656</t>
        </is>
      </c>
      <c r="AY7" t="inlineStr">
        <is>
          <t>2261638750002656</t>
        </is>
      </c>
      <c r="AZ7" t="inlineStr">
        <is>
          <t>BOOK</t>
        </is>
      </c>
      <c r="BC7" t="inlineStr">
        <is>
          <t>32285002690765</t>
        </is>
      </c>
      <c r="BD7" t="inlineStr">
        <is>
          <t>893406930</t>
        </is>
      </c>
    </row>
    <row r="8">
      <c r="A8" t="inlineStr">
        <is>
          <t>No</t>
        </is>
      </c>
      <c r="B8" t="inlineStr">
        <is>
          <t>G109.5 .G56 2003</t>
        </is>
      </c>
      <c r="C8" t="inlineStr">
        <is>
          <t>0                      G  0109500G  56          2003</t>
        </is>
      </c>
      <c r="D8" t="inlineStr">
        <is>
          <t>Global Positioning System : a field guide for the social sciences / John Spencer ... [et al.].</t>
        </is>
      </c>
      <c r="F8" t="inlineStr">
        <is>
          <t>No</t>
        </is>
      </c>
      <c r="G8" t="inlineStr">
        <is>
          <t>1</t>
        </is>
      </c>
      <c r="H8" t="inlineStr">
        <is>
          <t>No</t>
        </is>
      </c>
      <c r="I8" t="inlineStr">
        <is>
          <t>No</t>
        </is>
      </c>
      <c r="J8" t="inlineStr">
        <is>
          <t>0</t>
        </is>
      </c>
      <c r="L8" t="inlineStr">
        <is>
          <t>Malden, MA : Blackwell Pub., 2003.</t>
        </is>
      </c>
      <c r="M8" t="inlineStr">
        <is>
          <t>2003</t>
        </is>
      </c>
      <c r="O8" t="inlineStr">
        <is>
          <t>eng</t>
        </is>
      </c>
      <c r="P8" t="inlineStr">
        <is>
          <t>mau</t>
        </is>
      </c>
      <c r="R8" t="inlineStr">
        <is>
          <t xml:space="preserve">G  </t>
        </is>
      </c>
      <c r="S8" t="n">
        <v>2</v>
      </c>
      <c r="T8" t="n">
        <v>2</v>
      </c>
      <c r="U8" t="inlineStr">
        <is>
          <t>2005-11-27</t>
        </is>
      </c>
      <c r="V8" t="inlineStr">
        <is>
          <t>2005-11-27</t>
        </is>
      </c>
      <c r="W8" t="inlineStr">
        <is>
          <t>2004-06-09</t>
        </is>
      </c>
      <c r="X8" t="inlineStr">
        <is>
          <t>2004-06-09</t>
        </is>
      </c>
      <c r="Y8" t="n">
        <v>528</v>
      </c>
      <c r="Z8" t="n">
        <v>434</v>
      </c>
      <c r="AA8" t="n">
        <v>535</v>
      </c>
      <c r="AB8" t="n">
        <v>4</v>
      </c>
      <c r="AC8" t="n">
        <v>4</v>
      </c>
      <c r="AD8" t="n">
        <v>20</v>
      </c>
      <c r="AE8" t="n">
        <v>22</v>
      </c>
      <c r="AF8" t="n">
        <v>11</v>
      </c>
      <c r="AG8" t="n">
        <v>12</v>
      </c>
      <c r="AH8" t="n">
        <v>3</v>
      </c>
      <c r="AI8" t="n">
        <v>3</v>
      </c>
      <c r="AJ8" t="n">
        <v>8</v>
      </c>
      <c r="AK8" t="n">
        <v>9</v>
      </c>
      <c r="AL8" t="n">
        <v>3</v>
      </c>
      <c r="AM8" t="n">
        <v>3</v>
      </c>
      <c r="AN8" t="n">
        <v>0</v>
      </c>
      <c r="AO8" t="n">
        <v>0</v>
      </c>
      <c r="AP8" t="inlineStr">
        <is>
          <t>No</t>
        </is>
      </c>
      <c r="AQ8" t="inlineStr">
        <is>
          <t>No</t>
        </is>
      </c>
      <c r="AS8">
        <f>HYPERLINK("https://creighton-primo.hosted.exlibrisgroup.com/primo-explore/search?tab=default_tab&amp;search_scope=EVERYTHING&amp;vid=01CRU&amp;lang=en_US&amp;offset=0&amp;query=any,contains,991004284899702656","Catalog Record")</f>
        <v/>
      </c>
      <c r="AT8">
        <f>HYPERLINK("http://www.worldcat.org/oclc/50948425","WorldCat Record")</f>
        <v/>
      </c>
      <c r="AU8" t="inlineStr">
        <is>
          <t>836446103:eng</t>
        </is>
      </c>
      <c r="AV8" t="inlineStr">
        <is>
          <t>50948425</t>
        </is>
      </c>
      <c r="AW8" t="inlineStr">
        <is>
          <t>991004284899702656</t>
        </is>
      </c>
      <c r="AX8" t="inlineStr">
        <is>
          <t>991004284899702656</t>
        </is>
      </c>
      <c r="AY8" t="inlineStr">
        <is>
          <t>2272456710002656</t>
        </is>
      </c>
      <c r="AZ8" t="inlineStr">
        <is>
          <t>BOOK</t>
        </is>
      </c>
      <c r="BB8" t="inlineStr">
        <is>
          <t>9781405101844</t>
        </is>
      </c>
      <c r="BC8" t="inlineStr">
        <is>
          <t>32285004908595</t>
        </is>
      </c>
      <c r="BD8" t="inlineStr">
        <is>
          <t>893775853</t>
        </is>
      </c>
    </row>
    <row r="9">
      <c r="A9" t="inlineStr">
        <is>
          <t>No</t>
        </is>
      </c>
      <c r="B9" t="inlineStr">
        <is>
          <t>G109.5 .G57 1995</t>
        </is>
      </c>
      <c r="C9" t="inlineStr">
        <is>
          <t>0                      G  0109500G  57          1995</t>
        </is>
      </c>
      <c r="D9" t="inlineStr">
        <is>
          <t>The global positioning system : assessing national policies / Scott Pace ... [et al.].</t>
        </is>
      </c>
      <c r="F9" t="inlineStr">
        <is>
          <t>No</t>
        </is>
      </c>
      <c r="G9" t="inlineStr">
        <is>
          <t>1</t>
        </is>
      </c>
      <c r="H9" t="inlineStr">
        <is>
          <t>No</t>
        </is>
      </c>
      <c r="I9" t="inlineStr">
        <is>
          <t>No</t>
        </is>
      </c>
      <c r="J9" t="inlineStr">
        <is>
          <t>0</t>
        </is>
      </c>
      <c r="L9" t="inlineStr">
        <is>
          <t>Santa Monica, Calif. : RAND, c1995.</t>
        </is>
      </c>
      <c r="M9" t="inlineStr">
        <is>
          <t>1995</t>
        </is>
      </c>
      <c r="O9" t="inlineStr">
        <is>
          <t>eng</t>
        </is>
      </c>
      <c r="P9" t="inlineStr">
        <is>
          <t>cau</t>
        </is>
      </c>
      <c r="R9" t="inlineStr">
        <is>
          <t xml:space="preserve">G  </t>
        </is>
      </c>
      <c r="S9" t="n">
        <v>3</v>
      </c>
      <c r="T9" t="n">
        <v>3</v>
      </c>
      <c r="U9" t="inlineStr">
        <is>
          <t>2005-11-27</t>
        </is>
      </c>
      <c r="V9" t="inlineStr">
        <is>
          <t>2005-11-27</t>
        </is>
      </c>
      <c r="W9" t="inlineStr">
        <is>
          <t>1996-08-08</t>
        </is>
      </c>
      <c r="X9" t="inlineStr">
        <is>
          <t>1996-08-08</t>
        </is>
      </c>
      <c r="Y9" t="n">
        <v>250</v>
      </c>
      <c r="Z9" t="n">
        <v>223</v>
      </c>
      <c r="AA9" t="n">
        <v>240</v>
      </c>
      <c r="AB9" t="n">
        <v>3</v>
      </c>
      <c r="AC9" t="n">
        <v>3</v>
      </c>
      <c r="AD9" t="n">
        <v>9</v>
      </c>
      <c r="AE9" t="n">
        <v>9</v>
      </c>
      <c r="AF9" t="n">
        <v>1</v>
      </c>
      <c r="AG9" t="n">
        <v>1</v>
      </c>
      <c r="AH9" t="n">
        <v>3</v>
      </c>
      <c r="AI9" t="n">
        <v>3</v>
      </c>
      <c r="AJ9" t="n">
        <v>4</v>
      </c>
      <c r="AK9" t="n">
        <v>4</v>
      </c>
      <c r="AL9" t="n">
        <v>2</v>
      </c>
      <c r="AM9" t="n">
        <v>2</v>
      </c>
      <c r="AN9" t="n">
        <v>1</v>
      </c>
      <c r="AO9" t="n">
        <v>1</v>
      </c>
      <c r="AP9" t="inlineStr">
        <is>
          <t>No</t>
        </is>
      </c>
      <c r="AQ9" t="inlineStr">
        <is>
          <t>Yes</t>
        </is>
      </c>
      <c r="AR9">
        <f>HYPERLINK("http://catalog.hathitrust.org/Record/003071503","HathiTrust Record")</f>
        <v/>
      </c>
      <c r="AS9">
        <f>HYPERLINK("https://creighton-primo.hosted.exlibrisgroup.com/primo-explore/search?tab=default_tab&amp;search_scope=EVERYTHING&amp;vid=01CRU&amp;lang=en_US&amp;offset=0&amp;query=any,contains,991002593949702656","Catalog Record")</f>
        <v/>
      </c>
      <c r="AT9">
        <f>HYPERLINK("http://www.worldcat.org/oclc/33971951","WorldCat Record")</f>
        <v/>
      </c>
      <c r="AU9" t="inlineStr">
        <is>
          <t>473960297:eng</t>
        </is>
      </c>
      <c r="AV9" t="inlineStr">
        <is>
          <t>33971951</t>
        </is>
      </c>
      <c r="AW9" t="inlineStr">
        <is>
          <t>991002593949702656</t>
        </is>
      </c>
      <c r="AX9" t="inlineStr">
        <is>
          <t>991002593949702656</t>
        </is>
      </c>
      <c r="AY9" t="inlineStr">
        <is>
          <t>2266390170002656</t>
        </is>
      </c>
      <c r="AZ9" t="inlineStr">
        <is>
          <t>BOOK</t>
        </is>
      </c>
      <c r="BB9" t="inlineStr">
        <is>
          <t>9780833023490</t>
        </is>
      </c>
      <c r="BC9" t="inlineStr">
        <is>
          <t>32285002272168</t>
        </is>
      </c>
      <c r="BD9" t="inlineStr">
        <is>
          <t>893779992</t>
        </is>
      </c>
    </row>
    <row r="10">
      <c r="A10" t="inlineStr">
        <is>
          <t>No</t>
        </is>
      </c>
      <c r="B10" t="inlineStr">
        <is>
          <t>G109.5 .K46 1996</t>
        </is>
      </c>
      <c r="C10" t="inlineStr">
        <is>
          <t>0                      G  0109500K  46          1996</t>
        </is>
      </c>
      <c r="D10" t="inlineStr">
        <is>
          <t>The Global Positioning System and GIS : an introduction / Michael Kennedy.</t>
        </is>
      </c>
      <c r="F10" t="inlineStr">
        <is>
          <t>No</t>
        </is>
      </c>
      <c r="G10" t="inlineStr">
        <is>
          <t>1</t>
        </is>
      </c>
      <c r="H10" t="inlineStr">
        <is>
          <t>No</t>
        </is>
      </c>
      <c r="I10" t="inlineStr">
        <is>
          <t>No</t>
        </is>
      </c>
      <c r="J10" t="inlineStr">
        <is>
          <t>0</t>
        </is>
      </c>
      <c r="K10" t="inlineStr">
        <is>
          <t>Kennedy, Michael, 1939-</t>
        </is>
      </c>
      <c r="L10" t="inlineStr">
        <is>
          <t>Chelsea, Mich. : Ann Arbor Press, c1996.</t>
        </is>
      </c>
      <c r="M10" t="inlineStr">
        <is>
          <t>1996</t>
        </is>
      </c>
      <c r="O10" t="inlineStr">
        <is>
          <t>eng</t>
        </is>
      </c>
      <c r="P10" t="inlineStr">
        <is>
          <t>miu</t>
        </is>
      </c>
      <c r="R10" t="inlineStr">
        <is>
          <t xml:space="preserve">G  </t>
        </is>
      </c>
      <c r="S10" t="n">
        <v>5</v>
      </c>
      <c r="T10" t="n">
        <v>5</v>
      </c>
      <c r="U10" t="inlineStr">
        <is>
          <t>2007-07-16</t>
        </is>
      </c>
      <c r="V10" t="inlineStr">
        <is>
          <t>2007-07-16</t>
        </is>
      </c>
      <c r="W10" t="inlineStr">
        <is>
          <t>2000-10-13</t>
        </is>
      </c>
      <c r="X10" t="inlineStr">
        <is>
          <t>2000-10-13</t>
        </is>
      </c>
      <c r="Y10" t="n">
        <v>401</v>
      </c>
      <c r="Z10" t="n">
        <v>318</v>
      </c>
      <c r="AA10" t="n">
        <v>470</v>
      </c>
      <c r="AB10" t="n">
        <v>5</v>
      </c>
      <c r="AC10" t="n">
        <v>7</v>
      </c>
      <c r="AD10" t="n">
        <v>9</v>
      </c>
      <c r="AE10" t="n">
        <v>15</v>
      </c>
      <c r="AF10" t="n">
        <v>2</v>
      </c>
      <c r="AG10" t="n">
        <v>5</v>
      </c>
      <c r="AH10" t="n">
        <v>3</v>
      </c>
      <c r="AI10" t="n">
        <v>3</v>
      </c>
      <c r="AJ10" t="n">
        <v>2</v>
      </c>
      <c r="AK10" t="n">
        <v>4</v>
      </c>
      <c r="AL10" t="n">
        <v>3</v>
      </c>
      <c r="AM10" t="n">
        <v>5</v>
      </c>
      <c r="AN10" t="n">
        <v>0</v>
      </c>
      <c r="AO10" t="n">
        <v>0</v>
      </c>
      <c r="AP10" t="inlineStr">
        <is>
          <t>No</t>
        </is>
      </c>
      <c r="AQ10" t="inlineStr">
        <is>
          <t>No</t>
        </is>
      </c>
      <c r="AS10">
        <f>HYPERLINK("https://creighton-primo.hosted.exlibrisgroup.com/primo-explore/search?tab=default_tab&amp;search_scope=EVERYTHING&amp;vid=01CRU&amp;lang=en_US&amp;offset=0&amp;query=any,contains,991003262169702656","Catalog Record")</f>
        <v/>
      </c>
      <c r="AT10">
        <f>HYPERLINK("http://www.worldcat.org/oclc/36462749","WorldCat Record")</f>
        <v/>
      </c>
      <c r="AU10" t="inlineStr">
        <is>
          <t>4803460027:eng</t>
        </is>
      </c>
      <c r="AV10" t="inlineStr">
        <is>
          <t>36462749</t>
        </is>
      </c>
      <c r="AW10" t="inlineStr">
        <is>
          <t>991003262169702656</t>
        </is>
      </c>
      <c r="AX10" t="inlineStr">
        <is>
          <t>991003262169702656</t>
        </is>
      </c>
      <c r="AY10" t="inlineStr">
        <is>
          <t>2259396720002656</t>
        </is>
      </c>
      <c r="AZ10" t="inlineStr">
        <is>
          <t>BOOK</t>
        </is>
      </c>
      <c r="BB10" t="inlineStr">
        <is>
          <t>9781575040172</t>
        </is>
      </c>
      <c r="BC10" t="inlineStr">
        <is>
          <t>32285003774063</t>
        </is>
      </c>
      <c r="BD10" t="inlineStr">
        <is>
          <t>893692541</t>
        </is>
      </c>
    </row>
    <row r="11">
      <c r="A11" t="inlineStr">
        <is>
          <t>No</t>
        </is>
      </c>
      <c r="B11" t="inlineStr">
        <is>
          <t>G1116.S1 K4 1966</t>
        </is>
      </c>
      <c r="C11" t="inlineStr">
        <is>
          <t>0                      G  1116000S  1                  K  4           1966</t>
        </is>
      </c>
      <c r="D11" t="inlineStr">
        <is>
          <t>A historical atlas of Canada / editor: D. G. G. Kerr; cartography: preparation by C. C. J. Bond, drawing by Ellsworth M. Walsh assisted by Edward Banks and Roy Petticrew.</t>
        </is>
      </c>
      <c r="F11" t="inlineStr">
        <is>
          <t>No</t>
        </is>
      </c>
      <c r="G11" t="inlineStr">
        <is>
          <t>1</t>
        </is>
      </c>
      <c r="H11" t="inlineStr">
        <is>
          <t>No</t>
        </is>
      </c>
      <c r="I11" t="inlineStr">
        <is>
          <t>No</t>
        </is>
      </c>
      <c r="J11" t="inlineStr">
        <is>
          <t>0</t>
        </is>
      </c>
      <c r="K11" t="inlineStr">
        <is>
          <t>Kerr, D. G. G. (Donald Gordon Grady), 1913-1976.</t>
        </is>
      </c>
      <c r="L11" t="inlineStr">
        <is>
          <t>Don Mills, Ont. : Nelson, [1966]</t>
        </is>
      </c>
      <c r="M11" t="inlineStr">
        <is>
          <t>1966</t>
        </is>
      </c>
      <c r="N11" t="inlineStr">
        <is>
          <t>2d ed.</t>
        </is>
      </c>
      <c r="O11" t="inlineStr">
        <is>
          <t>eng</t>
        </is>
      </c>
      <c r="P11" t="inlineStr">
        <is>
          <t>onc</t>
        </is>
      </c>
      <c r="R11" t="inlineStr">
        <is>
          <t xml:space="preserve">G  </t>
        </is>
      </c>
      <c r="S11" t="n">
        <v>1</v>
      </c>
      <c r="T11" t="n">
        <v>1</v>
      </c>
      <c r="U11" t="inlineStr">
        <is>
          <t>2004-07-08</t>
        </is>
      </c>
      <c r="V11" t="inlineStr">
        <is>
          <t>2004-07-08</t>
        </is>
      </c>
      <c r="W11" t="inlineStr">
        <is>
          <t>1998-03-11</t>
        </is>
      </c>
      <c r="X11" t="inlineStr">
        <is>
          <t>1998-03-11</t>
        </is>
      </c>
      <c r="Y11" t="n">
        <v>208</v>
      </c>
      <c r="Z11" t="n">
        <v>149</v>
      </c>
      <c r="AA11" t="n">
        <v>149</v>
      </c>
      <c r="AB11" t="n">
        <v>1</v>
      </c>
      <c r="AC11" t="n">
        <v>1</v>
      </c>
      <c r="AD11" t="n">
        <v>2</v>
      </c>
      <c r="AE11" t="n">
        <v>2</v>
      </c>
      <c r="AF11" t="n">
        <v>1</v>
      </c>
      <c r="AG11" t="n">
        <v>1</v>
      </c>
      <c r="AH11" t="n">
        <v>1</v>
      </c>
      <c r="AI11" t="n">
        <v>1</v>
      </c>
      <c r="AJ11" t="n">
        <v>1</v>
      </c>
      <c r="AK11" t="n">
        <v>1</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HYPERLINK("https://creighton-primo.hosted.exlibrisgroup.com/primo-explore/search?tab=default_tab&amp;search_scope=EVERYTHING&amp;vid=01CRU&amp;lang=en_US&amp;offset=0&amp;query=any,contains,991001336869702656","Catalog Record")</f>
        <v/>
      </c>
      <c r="AT11">
        <f>HYPERLINK("http://www.worldcat.org/oclc/999958","WorldCat Record")</f>
        <v/>
      </c>
      <c r="AU11" t="inlineStr">
        <is>
          <t>8914144980:eng</t>
        </is>
      </c>
      <c r="AV11" t="inlineStr">
        <is>
          <t>999958</t>
        </is>
      </c>
      <c r="AW11" t="inlineStr">
        <is>
          <t>991001336869702656</t>
        </is>
      </c>
      <c r="AX11" t="inlineStr">
        <is>
          <t>991001336869702656</t>
        </is>
      </c>
      <c r="AY11" t="inlineStr">
        <is>
          <t>2272282610002656</t>
        </is>
      </c>
      <c r="AZ11" t="inlineStr">
        <is>
          <t>BOOK</t>
        </is>
      </c>
      <c r="BC11" t="inlineStr">
        <is>
          <t>32285003345740</t>
        </is>
      </c>
      <c r="BD11" t="inlineStr">
        <is>
          <t>893516128</t>
        </is>
      </c>
    </row>
    <row r="12">
      <c r="A12" t="inlineStr">
        <is>
          <t>No</t>
        </is>
      </c>
      <c r="B12" t="inlineStr">
        <is>
          <t>G116 .D46 1992</t>
        </is>
      </c>
      <c r="C12" t="inlineStr">
        <is>
          <t>0                      G  0116000D  46          1992</t>
        </is>
      </c>
      <c r="D12" t="inlineStr">
        <is>
          <t>Why in the world : adventures in geography / George J. Demko with Jerome Agel and Eugene Boe ; produced by Jerome Agel.</t>
        </is>
      </c>
      <c r="F12" t="inlineStr">
        <is>
          <t>No</t>
        </is>
      </c>
      <c r="G12" t="inlineStr">
        <is>
          <t>1</t>
        </is>
      </c>
      <c r="H12" t="inlineStr">
        <is>
          <t>No</t>
        </is>
      </c>
      <c r="I12" t="inlineStr">
        <is>
          <t>No</t>
        </is>
      </c>
      <c r="J12" t="inlineStr">
        <is>
          <t>0</t>
        </is>
      </c>
      <c r="K12" t="inlineStr">
        <is>
          <t>Demko, George J., 1933-</t>
        </is>
      </c>
      <c r="L12" t="inlineStr">
        <is>
          <t>New York : Anchor Books, 1992.</t>
        </is>
      </c>
      <c r="M12" t="inlineStr">
        <is>
          <t>1992</t>
        </is>
      </c>
      <c r="N12" t="inlineStr">
        <is>
          <t>1st Anchor Books ed.</t>
        </is>
      </c>
      <c r="O12" t="inlineStr">
        <is>
          <t>eng</t>
        </is>
      </c>
      <c r="P12" t="inlineStr">
        <is>
          <t>nyu</t>
        </is>
      </c>
      <c r="R12" t="inlineStr">
        <is>
          <t xml:space="preserve">G  </t>
        </is>
      </c>
      <c r="S12" t="n">
        <v>7</v>
      </c>
      <c r="T12" t="n">
        <v>7</v>
      </c>
      <c r="U12" t="inlineStr">
        <is>
          <t>1995-05-11</t>
        </is>
      </c>
      <c r="V12" t="inlineStr">
        <is>
          <t>1995-05-11</t>
        </is>
      </c>
      <c r="W12" t="inlineStr">
        <is>
          <t>1992-09-09</t>
        </is>
      </c>
      <c r="X12" t="inlineStr">
        <is>
          <t>1992-09-09</t>
        </is>
      </c>
      <c r="Y12" t="n">
        <v>821</v>
      </c>
      <c r="Z12" t="n">
        <v>779</v>
      </c>
      <c r="AA12" t="n">
        <v>790</v>
      </c>
      <c r="AB12" t="n">
        <v>8</v>
      </c>
      <c r="AC12" t="n">
        <v>8</v>
      </c>
      <c r="AD12" t="n">
        <v>10</v>
      </c>
      <c r="AE12" t="n">
        <v>10</v>
      </c>
      <c r="AF12" t="n">
        <v>3</v>
      </c>
      <c r="AG12" t="n">
        <v>3</v>
      </c>
      <c r="AH12" t="n">
        <v>2</v>
      </c>
      <c r="AI12" t="n">
        <v>2</v>
      </c>
      <c r="AJ12" t="n">
        <v>5</v>
      </c>
      <c r="AK12" t="n">
        <v>5</v>
      </c>
      <c r="AL12" t="n">
        <v>3</v>
      </c>
      <c r="AM12" t="n">
        <v>3</v>
      </c>
      <c r="AN12" t="n">
        <v>0</v>
      </c>
      <c r="AO12" t="n">
        <v>0</v>
      </c>
      <c r="AP12" t="inlineStr">
        <is>
          <t>No</t>
        </is>
      </c>
      <c r="AQ12" t="inlineStr">
        <is>
          <t>No</t>
        </is>
      </c>
      <c r="AS12">
        <f>HYPERLINK("https://creighton-primo.hosted.exlibrisgroup.com/primo-explore/search?tab=default_tab&amp;search_scope=EVERYTHING&amp;vid=01CRU&amp;lang=en_US&amp;offset=0&amp;query=any,contains,991001960239702656","Catalog Record")</f>
        <v/>
      </c>
      <c r="AT12">
        <f>HYPERLINK("http://www.worldcat.org/oclc/24846399","WorldCat Record")</f>
        <v/>
      </c>
      <c r="AU12" t="inlineStr">
        <is>
          <t>41951129:eng</t>
        </is>
      </c>
      <c r="AV12" t="inlineStr">
        <is>
          <t>24846399</t>
        </is>
      </c>
      <c r="AW12" t="inlineStr">
        <is>
          <t>991001960239702656</t>
        </is>
      </c>
      <c r="AX12" t="inlineStr">
        <is>
          <t>991001960239702656</t>
        </is>
      </c>
      <c r="AY12" t="inlineStr">
        <is>
          <t>2269001190002656</t>
        </is>
      </c>
      <c r="AZ12" t="inlineStr">
        <is>
          <t>BOOK</t>
        </is>
      </c>
      <c r="BB12" t="inlineStr">
        <is>
          <t>9780385266291</t>
        </is>
      </c>
      <c r="BC12" t="inlineStr">
        <is>
          <t>32285001286912</t>
        </is>
      </c>
      <c r="BD12" t="inlineStr">
        <is>
          <t>893322398</t>
        </is>
      </c>
    </row>
    <row r="13">
      <c r="A13" t="inlineStr">
        <is>
          <t>No</t>
        </is>
      </c>
      <c r="B13" t="inlineStr">
        <is>
          <t>G1200 .J6 1994</t>
        </is>
      </c>
      <c r="C13" t="inlineStr">
        <is>
          <t>0                      G  1200000J  6           1994</t>
        </is>
      </c>
      <c r="D13" t="inlineStr">
        <is>
          <t>All over the map : an extraordinary atlas of the United States ; featuring towns that actually exist! / by David Jouris.</t>
        </is>
      </c>
      <c r="F13" t="inlineStr">
        <is>
          <t>No</t>
        </is>
      </c>
      <c r="G13" t="inlineStr">
        <is>
          <t>1</t>
        </is>
      </c>
      <c r="H13" t="inlineStr">
        <is>
          <t>No</t>
        </is>
      </c>
      <c r="I13" t="inlineStr">
        <is>
          <t>No</t>
        </is>
      </c>
      <c r="J13" t="inlineStr">
        <is>
          <t>0</t>
        </is>
      </c>
      <c r="K13" t="inlineStr">
        <is>
          <t>Jouris, David.</t>
        </is>
      </c>
      <c r="L13" t="inlineStr">
        <is>
          <t>[Berkeley, Calif.] : Ten Speed Press, 1994.</t>
        </is>
      </c>
      <c r="M13" t="inlineStr">
        <is>
          <t>1994</t>
        </is>
      </c>
      <c r="O13" t="inlineStr">
        <is>
          <t>eng</t>
        </is>
      </c>
      <c r="P13" t="inlineStr">
        <is>
          <t>cau</t>
        </is>
      </c>
      <c r="R13" t="inlineStr">
        <is>
          <t xml:space="preserve">G  </t>
        </is>
      </c>
      <c r="S13" t="n">
        <v>21</v>
      </c>
      <c r="T13" t="n">
        <v>21</v>
      </c>
      <c r="U13" t="inlineStr">
        <is>
          <t>2004-12-16</t>
        </is>
      </c>
      <c r="V13" t="inlineStr">
        <is>
          <t>2004-12-16</t>
        </is>
      </c>
      <c r="W13" t="inlineStr">
        <is>
          <t>1994-11-14</t>
        </is>
      </c>
      <c r="X13" t="inlineStr">
        <is>
          <t>1994-11-14</t>
        </is>
      </c>
      <c r="Y13" t="n">
        <v>243</v>
      </c>
      <c r="Z13" t="n">
        <v>239</v>
      </c>
      <c r="AA13" t="n">
        <v>244</v>
      </c>
      <c r="AB13" t="n">
        <v>1</v>
      </c>
      <c r="AC13" t="n">
        <v>1</v>
      </c>
      <c r="AD13" t="n">
        <v>0</v>
      </c>
      <c r="AE13" t="n">
        <v>0</v>
      </c>
      <c r="AF13" t="n">
        <v>0</v>
      </c>
      <c r="AG13" t="n">
        <v>0</v>
      </c>
      <c r="AH13" t="n">
        <v>0</v>
      </c>
      <c r="AI13" t="n">
        <v>0</v>
      </c>
      <c r="AJ13" t="n">
        <v>0</v>
      </c>
      <c r="AK13" t="n">
        <v>0</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HYPERLINK("https://creighton-primo.hosted.exlibrisgroup.com/primo-explore/search?tab=default_tab&amp;search_scope=EVERYTHING&amp;vid=01CRU&amp;lang=en_US&amp;offset=0&amp;query=any,contains,991002337949702656","Catalog Record")</f>
        <v/>
      </c>
      <c r="AT13">
        <f>HYPERLINK("http://www.worldcat.org/oclc/30437016","WorldCat Record")</f>
        <v/>
      </c>
      <c r="AU13" t="inlineStr">
        <is>
          <t>8871344445:eng</t>
        </is>
      </c>
      <c r="AV13" t="inlineStr">
        <is>
          <t>30437016</t>
        </is>
      </c>
      <c r="AW13" t="inlineStr">
        <is>
          <t>991002337949702656</t>
        </is>
      </c>
      <c r="AX13" t="inlineStr">
        <is>
          <t>991002337949702656</t>
        </is>
      </c>
      <c r="AY13" t="inlineStr">
        <is>
          <t>2258503600002656</t>
        </is>
      </c>
      <c r="AZ13" t="inlineStr">
        <is>
          <t>BOOK</t>
        </is>
      </c>
      <c r="BB13" t="inlineStr">
        <is>
          <t>9780898156492</t>
        </is>
      </c>
      <c r="BC13" t="inlineStr">
        <is>
          <t>32285001957686</t>
        </is>
      </c>
      <c r="BD13" t="inlineStr">
        <is>
          <t>893798466</t>
        </is>
      </c>
    </row>
    <row r="14">
      <c r="A14" t="inlineStr">
        <is>
          <t>No</t>
        </is>
      </c>
      <c r="B14" t="inlineStr">
        <is>
          <t>G1201.S1 G5 1969</t>
        </is>
      </c>
      <c r="C14" t="inlineStr">
        <is>
          <t>0                      G  1201000S  1                  G  5           1969</t>
        </is>
      </c>
      <c r="D14" t="inlineStr">
        <is>
          <t>American history atlas / cartography by Arthur Banks.</t>
        </is>
      </c>
      <c r="F14" t="inlineStr">
        <is>
          <t>No</t>
        </is>
      </c>
      <c r="G14" t="inlineStr">
        <is>
          <t>1</t>
        </is>
      </c>
      <c r="H14" t="inlineStr">
        <is>
          <t>No</t>
        </is>
      </c>
      <c r="I14" t="inlineStr">
        <is>
          <t>No</t>
        </is>
      </c>
      <c r="J14" t="inlineStr">
        <is>
          <t>0</t>
        </is>
      </c>
      <c r="K14" t="inlineStr">
        <is>
          <t>Gilbert, Martin, 1936-2015.</t>
        </is>
      </c>
      <c r="L14" t="inlineStr">
        <is>
          <t>New York] : Macmillan Co., [1969, c1968]</t>
        </is>
      </c>
      <c r="M14" t="inlineStr">
        <is>
          <t>1969</t>
        </is>
      </c>
      <c r="N14" t="inlineStr">
        <is>
          <t>[1st American ed.</t>
        </is>
      </c>
      <c r="O14" t="inlineStr">
        <is>
          <t>eng</t>
        </is>
      </c>
      <c r="P14" t="inlineStr">
        <is>
          <t>nyu</t>
        </is>
      </c>
      <c r="R14" t="inlineStr">
        <is>
          <t xml:space="preserve">G  </t>
        </is>
      </c>
      <c r="S14" t="n">
        <v>2</v>
      </c>
      <c r="T14" t="n">
        <v>2</v>
      </c>
      <c r="U14" t="inlineStr">
        <is>
          <t>2003-11-19</t>
        </is>
      </c>
      <c r="V14" t="inlineStr">
        <is>
          <t>2003-11-19</t>
        </is>
      </c>
      <c r="W14" t="inlineStr">
        <is>
          <t>1992-03-09</t>
        </is>
      </c>
      <c r="X14" t="inlineStr">
        <is>
          <t>1992-03-09</t>
        </is>
      </c>
      <c r="Y14" t="n">
        <v>331</v>
      </c>
      <c r="Z14" t="n">
        <v>327</v>
      </c>
      <c r="AA14" t="n">
        <v>500</v>
      </c>
      <c r="AB14" t="n">
        <v>3</v>
      </c>
      <c r="AC14" t="n">
        <v>4</v>
      </c>
      <c r="AD14" t="n">
        <v>6</v>
      </c>
      <c r="AE14" t="n">
        <v>10</v>
      </c>
      <c r="AF14" t="n">
        <v>1</v>
      </c>
      <c r="AG14" t="n">
        <v>2</v>
      </c>
      <c r="AH14" t="n">
        <v>1</v>
      </c>
      <c r="AI14" t="n">
        <v>1</v>
      </c>
      <c r="AJ14" t="n">
        <v>2</v>
      </c>
      <c r="AK14" t="n">
        <v>6</v>
      </c>
      <c r="AL14" t="n">
        <v>2</v>
      </c>
      <c r="AM14" t="n">
        <v>2</v>
      </c>
      <c r="AN14" t="n">
        <v>0</v>
      </c>
      <c r="AO14" t="n">
        <v>0</v>
      </c>
      <c r="AP14" t="inlineStr">
        <is>
          <t>No</t>
        </is>
      </c>
      <c r="AQ14" t="inlineStr">
        <is>
          <t>No</t>
        </is>
      </c>
      <c r="AS14">
        <f>HYPERLINK("https://creighton-primo.hosted.exlibrisgroup.com/primo-explore/search?tab=default_tab&amp;search_scope=EVERYTHING&amp;vid=01CRU&amp;lang=en_US&amp;offset=0&amp;query=any,contains,991001037219702656","Catalog Record")</f>
        <v/>
      </c>
      <c r="AT14">
        <f>HYPERLINK("http://www.worldcat.org/oclc/17881","WorldCat Record")</f>
        <v/>
      </c>
      <c r="AU14" t="inlineStr">
        <is>
          <t>2058161356:eng</t>
        </is>
      </c>
      <c r="AV14" t="inlineStr">
        <is>
          <t>17881</t>
        </is>
      </c>
      <c r="AW14" t="inlineStr">
        <is>
          <t>991001037219702656</t>
        </is>
      </c>
      <c r="AX14" t="inlineStr">
        <is>
          <t>991001037219702656</t>
        </is>
      </c>
      <c r="AY14" t="inlineStr">
        <is>
          <t>2270971590002656</t>
        </is>
      </c>
      <c r="AZ14" t="inlineStr">
        <is>
          <t>BOOK</t>
        </is>
      </c>
      <c r="BC14" t="inlineStr">
        <is>
          <t>32285001010650</t>
        </is>
      </c>
      <c r="BD14" t="inlineStr">
        <is>
          <t>893509326</t>
        </is>
      </c>
    </row>
    <row r="15">
      <c r="A15" t="inlineStr">
        <is>
          <t>No</t>
        </is>
      </c>
      <c r="B15" t="inlineStr">
        <is>
          <t>G127 .S55</t>
        </is>
      </c>
      <c r="C15" t="inlineStr">
        <is>
          <t>0                      G  0127000S  55</t>
        </is>
      </c>
      <c r="D15" t="inlineStr">
        <is>
          <t>Fundamentals of geography.</t>
        </is>
      </c>
      <c r="F15" t="inlineStr">
        <is>
          <t>No</t>
        </is>
      </c>
      <c r="G15" t="inlineStr">
        <is>
          <t>1</t>
        </is>
      </c>
      <c r="H15" t="inlineStr">
        <is>
          <t>No</t>
        </is>
      </c>
      <c r="I15" t="inlineStr">
        <is>
          <t>No</t>
        </is>
      </c>
      <c r="J15" t="inlineStr">
        <is>
          <t>0</t>
        </is>
      </c>
      <c r="K15" t="inlineStr">
        <is>
          <t>Shaw, Earl B.</t>
        </is>
      </c>
      <c r="L15" t="inlineStr">
        <is>
          <t>New York : Wiley, [1965]</t>
        </is>
      </c>
      <c r="M15" t="inlineStr">
        <is>
          <t>1965</t>
        </is>
      </c>
      <c r="O15" t="inlineStr">
        <is>
          <t>eng</t>
        </is>
      </c>
      <c r="P15" t="inlineStr">
        <is>
          <t>nyu</t>
        </is>
      </c>
      <c r="R15" t="inlineStr">
        <is>
          <t xml:space="preserve">G  </t>
        </is>
      </c>
      <c r="S15" t="n">
        <v>1</v>
      </c>
      <c r="T15" t="n">
        <v>1</v>
      </c>
      <c r="U15" t="inlineStr">
        <is>
          <t>2009-09-08</t>
        </is>
      </c>
      <c r="V15" t="inlineStr">
        <is>
          <t>2009-09-08</t>
        </is>
      </c>
      <c r="W15" t="inlineStr">
        <is>
          <t>1992-04-15</t>
        </is>
      </c>
      <c r="X15" t="inlineStr">
        <is>
          <t>1992-04-15</t>
        </is>
      </c>
      <c r="Y15" t="n">
        <v>328</v>
      </c>
      <c r="Z15" t="n">
        <v>248</v>
      </c>
      <c r="AA15" t="n">
        <v>266</v>
      </c>
      <c r="AB15" t="n">
        <v>3</v>
      </c>
      <c r="AC15" t="n">
        <v>3</v>
      </c>
      <c r="AD15" t="n">
        <v>9</v>
      </c>
      <c r="AE15" t="n">
        <v>11</v>
      </c>
      <c r="AF15" t="n">
        <v>2</v>
      </c>
      <c r="AG15" t="n">
        <v>3</v>
      </c>
      <c r="AH15" t="n">
        <v>1</v>
      </c>
      <c r="AI15" t="n">
        <v>2</v>
      </c>
      <c r="AJ15" t="n">
        <v>6</v>
      </c>
      <c r="AK15" t="n">
        <v>6</v>
      </c>
      <c r="AL15" t="n">
        <v>2</v>
      </c>
      <c r="AM15" t="n">
        <v>2</v>
      </c>
      <c r="AN15" t="n">
        <v>0</v>
      </c>
      <c r="AO15" t="n">
        <v>0</v>
      </c>
      <c r="AP15" t="inlineStr">
        <is>
          <t>No</t>
        </is>
      </c>
      <c r="AQ15" t="inlineStr">
        <is>
          <t>Yes</t>
        </is>
      </c>
      <c r="AR15">
        <f>HYPERLINK("http://catalog.hathitrust.org/Record/001270610","HathiTrust Record")</f>
        <v/>
      </c>
      <c r="AS15">
        <f>HYPERLINK("https://creighton-primo.hosted.exlibrisgroup.com/primo-explore/search?tab=default_tab&amp;search_scope=EVERYTHING&amp;vid=01CRU&amp;lang=en_US&amp;offset=0&amp;query=any,contains,991002851729702656","Catalog Record")</f>
        <v/>
      </c>
      <c r="AT15">
        <f>HYPERLINK("http://www.worldcat.org/oclc/487453","WorldCat Record")</f>
        <v/>
      </c>
      <c r="AU15" t="inlineStr">
        <is>
          <t>1573439:eng</t>
        </is>
      </c>
      <c r="AV15" t="inlineStr">
        <is>
          <t>487453</t>
        </is>
      </c>
      <c r="AW15" t="inlineStr">
        <is>
          <t>991002851729702656</t>
        </is>
      </c>
      <c r="AX15" t="inlineStr">
        <is>
          <t>991002851729702656</t>
        </is>
      </c>
      <c r="AY15" t="inlineStr">
        <is>
          <t>2255331890002656</t>
        </is>
      </c>
      <c r="AZ15" t="inlineStr">
        <is>
          <t>BOOK</t>
        </is>
      </c>
      <c r="BC15" t="inlineStr">
        <is>
          <t>32285001061224</t>
        </is>
      </c>
      <c r="BD15" t="inlineStr">
        <is>
          <t>893886825</t>
        </is>
      </c>
    </row>
    <row r="16">
      <c r="A16" t="inlineStr">
        <is>
          <t>No</t>
        </is>
      </c>
      <c r="B16" t="inlineStr">
        <is>
          <t>G127 .T47</t>
        </is>
      </c>
      <c r="C16" t="inlineStr">
        <is>
          <t>0                      G  0127000T  47</t>
        </is>
      </c>
      <c r="D16" t="inlineStr">
        <is>
          <t>Methods and materials for teaching geography : a teacher's manual and resource book for use with The world around us, revised edition, by Thralls/Biller/Hartley / Zoe A. Thralls, Edward L. Biller, William H. Hartley ; Lewis Paul Todd, general editor.</t>
        </is>
      </c>
      <c r="F16" t="inlineStr">
        <is>
          <t>No</t>
        </is>
      </c>
      <c r="G16" t="inlineStr">
        <is>
          <t>1</t>
        </is>
      </c>
      <c r="H16" t="inlineStr">
        <is>
          <t>No</t>
        </is>
      </c>
      <c r="I16" t="inlineStr">
        <is>
          <t>No</t>
        </is>
      </c>
      <c r="J16" t="inlineStr">
        <is>
          <t>0</t>
        </is>
      </c>
      <c r="K16" t="inlineStr">
        <is>
          <t>Thralls, Zoe A. (Zoe Agnes), 1888-1965.</t>
        </is>
      </c>
      <c r="L16" t="inlineStr">
        <is>
          <t>New York : Harcourt, Brace &amp; World, c1965.</t>
        </is>
      </c>
      <c r="M16" t="inlineStr">
        <is>
          <t>1965</t>
        </is>
      </c>
      <c r="O16" t="inlineStr">
        <is>
          <t>eng</t>
        </is>
      </c>
      <c r="P16" t="inlineStr">
        <is>
          <t>nyu</t>
        </is>
      </c>
      <c r="R16" t="inlineStr">
        <is>
          <t xml:space="preserve">G  </t>
        </is>
      </c>
      <c r="S16" t="n">
        <v>1</v>
      </c>
      <c r="T16" t="n">
        <v>1</v>
      </c>
      <c r="U16" t="inlineStr">
        <is>
          <t>2004-07-28</t>
        </is>
      </c>
      <c r="V16" t="inlineStr">
        <is>
          <t>2004-07-28</t>
        </is>
      </c>
      <c r="W16" t="inlineStr">
        <is>
          <t>1997-05-21</t>
        </is>
      </c>
      <c r="X16" t="inlineStr">
        <is>
          <t>1997-05-21</t>
        </is>
      </c>
      <c r="Y16" t="n">
        <v>5</v>
      </c>
      <c r="Z16" t="n">
        <v>4</v>
      </c>
      <c r="AA16" t="n">
        <v>6</v>
      </c>
      <c r="AB16" t="n">
        <v>1</v>
      </c>
      <c r="AC16" t="n">
        <v>1</v>
      </c>
      <c r="AD16" t="n">
        <v>0</v>
      </c>
      <c r="AE16" t="n">
        <v>0</v>
      </c>
      <c r="AF16" t="n">
        <v>0</v>
      </c>
      <c r="AG16" t="n">
        <v>0</v>
      </c>
      <c r="AH16" t="n">
        <v>0</v>
      </c>
      <c r="AI16" t="n">
        <v>0</v>
      </c>
      <c r="AJ16" t="n">
        <v>0</v>
      </c>
      <c r="AK16" t="n">
        <v>0</v>
      </c>
      <c r="AL16" t="n">
        <v>0</v>
      </c>
      <c r="AM16" t="n">
        <v>0</v>
      </c>
      <c r="AN16" t="n">
        <v>0</v>
      </c>
      <c r="AO16" t="n">
        <v>0</v>
      </c>
      <c r="AP16" t="inlineStr">
        <is>
          <t>No</t>
        </is>
      </c>
      <c r="AQ16" t="inlineStr">
        <is>
          <t>No</t>
        </is>
      </c>
      <c r="AS16">
        <f>HYPERLINK("https://creighton-primo.hosted.exlibrisgroup.com/primo-explore/search?tab=default_tab&amp;search_scope=EVERYTHING&amp;vid=01CRU&amp;lang=en_US&amp;offset=0&amp;query=any,contains,991000176859702656","Catalog Record")</f>
        <v/>
      </c>
      <c r="AT16">
        <f>HYPERLINK("http://www.worldcat.org/oclc/9353118","WorldCat Record")</f>
        <v/>
      </c>
      <c r="AU16" t="inlineStr">
        <is>
          <t>40629761:eng</t>
        </is>
      </c>
      <c r="AV16" t="inlineStr">
        <is>
          <t>9353118</t>
        </is>
      </c>
      <c r="AW16" t="inlineStr">
        <is>
          <t>991000176859702656</t>
        </is>
      </c>
      <c r="AX16" t="inlineStr">
        <is>
          <t>991000176859702656</t>
        </is>
      </c>
      <c r="AY16" t="inlineStr">
        <is>
          <t>2263265980002656</t>
        </is>
      </c>
      <c r="AZ16" t="inlineStr">
        <is>
          <t>BOOK</t>
        </is>
      </c>
      <c r="BC16" t="inlineStr">
        <is>
          <t>32285002690906</t>
        </is>
      </c>
      <c r="BD16" t="inlineStr">
        <is>
          <t>893413157</t>
        </is>
      </c>
    </row>
    <row r="17">
      <c r="A17" t="inlineStr">
        <is>
          <t>No</t>
        </is>
      </c>
      <c r="B17" t="inlineStr">
        <is>
          <t>G131 .D38 1992</t>
        </is>
      </c>
      <c r="C17" t="inlineStr">
        <is>
          <t>0                      G  0131000D  38          1992</t>
        </is>
      </c>
      <c r="D17" t="inlineStr">
        <is>
          <t>Don't know much about geography : everything you need to know about the world but never learned / Kenneth C. Davis.</t>
        </is>
      </c>
      <c r="F17" t="inlineStr">
        <is>
          <t>No</t>
        </is>
      </c>
      <c r="G17" t="inlineStr">
        <is>
          <t>1</t>
        </is>
      </c>
      <c r="H17" t="inlineStr">
        <is>
          <t>No</t>
        </is>
      </c>
      <c r="I17" t="inlineStr">
        <is>
          <t>No</t>
        </is>
      </c>
      <c r="J17" t="inlineStr">
        <is>
          <t>0</t>
        </is>
      </c>
      <c r="K17" t="inlineStr">
        <is>
          <t>Davis, Kenneth C.</t>
        </is>
      </c>
      <c r="L17" t="inlineStr">
        <is>
          <t>New York : W. Morrow, c1992.</t>
        </is>
      </c>
      <c r="M17" t="inlineStr">
        <is>
          <t>1992</t>
        </is>
      </c>
      <c r="N17" t="inlineStr">
        <is>
          <t>1st ed.</t>
        </is>
      </c>
      <c r="O17" t="inlineStr">
        <is>
          <t>eng</t>
        </is>
      </c>
      <c r="P17" t="inlineStr">
        <is>
          <t>nyu</t>
        </is>
      </c>
      <c r="R17" t="inlineStr">
        <is>
          <t xml:space="preserve">G  </t>
        </is>
      </c>
      <c r="S17" t="n">
        <v>8</v>
      </c>
      <c r="T17" t="n">
        <v>8</v>
      </c>
      <c r="U17" t="inlineStr">
        <is>
          <t>2005-03-13</t>
        </is>
      </c>
      <c r="V17" t="inlineStr">
        <is>
          <t>2005-03-13</t>
        </is>
      </c>
      <c r="W17" t="inlineStr">
        <is>
          <t>1993-02-02</t>
        </is>
      </c>
      <c r="X17" t="inlineStr">
        <is>
          <t>1993-02-02</t>
        </is>
      </c>
      <c r="Y17" t="n">
        <v>1655</v>
      </c>
      <c r="Z17" t="n">
        <v>1609</v>
      </c>
      <c r="AA17" t="n">
        <v>2046</v>
      </c>
      <c r="AB17" t="n">
        <v>20</v>
      </c>
      <c r="AC17" t="n">
        <v>22</v>
      </c>
      <c r="AD17" t="n">
        <v>13</v>
      </c>
      <c r="AE17" t="n">
        <v>15</v>
      </c>
      <c r="AF17" t="n">
        <v>4</v>
      </c>
      <c r="AG17" t="n">
        <v>4</v>
      </c>
      <c r="AH17" t="n">
        <v>0</v>
      </c>
      <c r="AI17" t="n">
        <v>1</v>
      </c>
      <c r="AJ17" t="n">
        <v>3</v>
      </c>
      <c r="AK17" t="n">
        <v>4</v>
      </c>
      <c r="AL17" t="n">
        <v>7</v>
      </c>
      <c r="AM17" t="n">
        <v>7</v>
      </c>
      <c r="AN17" t="n">
        <v>0</v>
      </c>
      <c r="AO17" t="n">
        <v>0</v>
      </c>
      <c r="AP17" t="inlineStr">
        <is>
          <t>No</t>
        </is>
      </c>
      <c r="AQ17" t="inlineStr">
        <is>
          <t>Yes</t>
        </is>
      </c>
      <c r="AR17">
        <f>HYPERLINK("http://catalog.hathitrust.org/Record/009931749","HathiTrust Record")</f>
        <v/>
      </c>
      <c r="AS17">
        <f>HYPERLINK("https://creighton-primo.hosted.exlibrisgroup.com/primo-explore/search?tab=default_tab&amp;search_scope=EVERYTHING&amp;vid=01CRU&amp;lang=en_US&amp;offset=0&amp;query=any,contains,991002045219702656","Catalog Record")</f>
        <v/>
      </c>
      <c r="AT17">
        <f>HYPERLINK("http://www.worldcat.org/oclc/26096973","WorldCat Record")</f>
        <v/>
      </c>
      <c r="AU17" t="inlineStr">
        <is>
          <t>1151433396:eng</t>
        </is>
      </c>
      <c r="AV17" t="inlineStr">
        <is>
          <t>26096973</t>
        </is>
      </c>
      <c r="AW17" t="inlineStr">
        <is>
          <t>991002045219702656</t>
        </is>
      </c>
      <c r="AX17" t="inlineStr">
        <is>
          <t>991002045219702656</t>
        </is>
      </c>
      <c r="AY17" t="inlineStr">
        <is>
          <t>2268086260002656</t>
        </is>
      </c>
      <c r="AZ17" t="inlineStr">
        <is>
          <t>BOOK</t>
        </is>
      </c>
      <c r="BB17" t="inlineStr">
        <is>
          <t>9780688103323</t>
        </is>
      </c>
      <c r="BC17" t="inlineStr">
        <is>
          <t>32285001447993</t>
        </is>
      </c>
      <c r="BD17" t="inlineStr">
        <is>
          <t>893523121</t>
        </is>
      </c>
    </row>
    <row r="18">
      <c r="A18" t="inlineStr">
        <is>
          <t>No</t>
        </is>
      </c>
      <c r="B18" t="inlineStr">
        <is>
          <t>G133 .C48 1995</t>
        </is>
      </c>
      <c r="C18" t="inlineStr">
        <is>
          <t>0                      G  0133000C  48          1995</t>
        </is>
      </c>
      <c r="D18" t="inlineStr">
        <is>
          <t>Circling the globe : a young people's guide to countries and cultures of the world.</t>
        </is>
      </c>
      <c r="F18" t="inlineStr">
        <is>
          <t>No</t>
        </is>
      </c>
      <c r="G18" t="inlineStr">
        <is>
          <t>1</t>
        </is>
      </c>
      <c r="H18" t="inlineStr">
        <is>
          <t>No</t>
        </is>
      </c>
      <c r="I18" t="inlineStr">
        <is>
          <t>No</t>
        </is>
      </c>
      <c r="J18" t="inlineStr">
        <is>
          <t>0</t>
        </is>
      </c>
      <c r="L18" t="inlineStr">
        <is>
          <t>New York : Kingfisher, 1995.</t>
        </is>
      </c>
      <c r="M18" t="inlineStr">
        <is>
          <t>1995</t>
        </is>
      </c>
      <c r="N18" t="inlineStr">
        <is>
          <t>1st American ed.</t>
        </is>
      </c>
      <c r="O18" t="inlineStr">
        <is>
          <t>eng</t>
        </is>
      </c>
      <c r="P18" t="inlineStr">
        <is>
          <t>nyu</t>
        </is>
      </c>
      <c r="R18" t="inlineStr">
        <is>
          <t xml:space="preserve">G  </t>
        </is>
      </c>
      <c r="S18" t="n">
        <v>7</v>
      </c>
      <c r="T18" t="n">
        <v>7</v>
      </c>
      <c r="U18" t="inlineStr">
        <is>
          <t>2007-07-10</t>
        </is>
      </c>
      <c r="V18" t="inlineStr">
        <is>
          <t>2007-07-10</t>
        </is>
      </c>
      <c r="W18" t="inlineStr">
        <is>
          <t>1996-10-09</t>
        </is>
      </c>
      <c r="X18" t="inlineStr">
        <is>
          <t>1996-10-09</t>
        </is>
      </c>
      <c r="Y18" t="n">
        <v>318</v>
      </c>
      <c r="Z18" t="n">
        <v>305</v>
      </c>
      <c r="AA18" t="n">
        <v>378</v>
      </c>
      <c r="AB18" t="n">
        <v>2</v>
      </c>
      <c r="AC18" t="n">
        <v>3</v>
      </c>
      <c r="AD18" t="n">
        <v>1</v>
      </c>
      <c r="AE18" t="n">
        <v>1</v>
      </c>
      <c r="AF18" t="n">
        <v>0</v>
      </c>
      <c r="AG18" t="n">
        <v>0</v>
      </c>
      <c r="AH18" t="n">
        <v>0</v>
      </c>
      <c r="AI18" t="n">
        <v>0</v>
      </c>
      <c r="AJ18" t="n">
        <v>1</v>
      </c>
      <c r="AK18" t="n">
        <v>1</v>
      </c>
      <c r="AL18" t="n">
        <v>0</v>
      </c>
      <c r="AM18" t="n">
        <v>0</v>
      </c>
      <c r="AN18" t="n">
        <v>0</v>
      </c>
      <c r="AO18" t="n">
        <v>0</v>
      </c>
      <c r="AP18" t="inlineStr">
        <is>
          <t>No</t>
        </is>
      </c>
      <c r="AQ18" t="inlineStr">
        <is>
          <t>No</t>
        </is>
      </c>
      <c r="AS18">
        <f>HYPERLINK("https://creighton-primo.hosted.exlibrisgroup.com/primo-explore/search?tab=default_tab&amp;search_scope=EVERYTHING&amp;vid=01CRU&amp;lang=en_US&amp;offset=0&amp;query=any,contains,991004578949702656","Catalog Record")</f>
        <v/>
      </c>
      <c r="AT18">
        <f>HYPERLINK("http://www.worldcat.org/oclc/31435892","WorldCat Record")</f>
        <v/>
      </c>
      <c r="AU18" t="inlineStr">
        <is>
          <t>33676072:eng</t>
        </is>
      </c>
      <c r="AV18" t="inlineStr">
        <is>
          <t>31435892</t>
        </is>
      </c>
      <c r="AW18" t="inlineStr">
        <is>
          <t>991004578949702656</t>
        </is>
      </c>
      <c r="AX18" t="inlineStr">
        <is>
          <t>991004578949702656</t>
        </is>
      </c>
      <c r="AY18" t="inlineStr">
        <is>
          <t>2262199520002656</t>
        </is>
      </c>
      <c r="AZ18" t="inlineStr">
        <is>
          <t>BOOK</t>
        </is>
      </c>
      <c r="BB18" t="inlineStr">
        <is>
          <t>9781856975612</t>
        </is>
      </c>
      <c r="BC18" t="inlineStr">
        <is>
          <t>32285002324563</t>
        </is>
      </c>
      <c r="BD18" t="inlineStr">
        <is>
          <t>893861744</t>
        </is>
      </c>
    </row>
    <row r="19">
      <c r="A19" t="inlineStr">
        <is>
          <t>No</t>
        </is>
      </c>
      <c r="B19" t="inlineStr">
        <is>
          <t>G138 .H76 1919</t>
        </is>
      </c>
      <c r="C19" t="inlineStr">
        <is>
          <t>0                      G  0138000H  76          1919</t>
        </is>
      </c>
      <c r="D19" t="inlineStr">
        <is>
          <t>Burton Holmes travelogues / with illustrations from photographs by the author.</t>
        </is>
      </c>
      <c r="E19" t="inlineStr">
        <is>
          <t>V.4</t>
        </is>
      </c>
      <c r="F19" t="inlineStr">
        <is>
          <t>Yes</t>
        </is>
      </c>
      <c r="G19" t="inlineStr">
        <is>
          <t>1</t>
        </is>
      </c>
      <c r="H19" t="inlineStr">
        <is>
          <t>No</t>
        </is>
      </c>
      <c r="I19" t="inlineStr">
        <is>
          <t>No</t>
        </is>
      </c>
      <c r="J19" t="inlineStr">
        <is>
          <t>0</t>
        </is>
      </c>
      <c r="K19" t="inlineStr">
        <is>
          <t>Holmes, Burton, 1870-1958.</t>
        </is>
      </c>
      <c r="L19" t="inlineStr">
        <is>
          <t>Chicago : The Travelogue Bureau, 1919.</t>
        </is>
      </c>
      <c r="M19" t="inlineStr">
        <is>
          <t>1919</t>
        </is>
      </c>
      <c r="O19" t="inlineStr">
        <is>
          <t>eng</t>
        </is>
      </c>
      <c r="P19" t="inlineStr">
        <is>
          <t>ilu</t>
        </is>
      </c>
      <c r="R19" t="inlineStr">
        <is>
          <t xml:space="preserve">G  </t>
        </is>
      </c>
      <c r="S19" t="n">
        <v>1</v>
      </c>
      <c r="T19" t="n">
        <v>1</v>
      </c>
      <c r="U19" t="inlineStr">
        <is>
          <t>2001-11-15</t>
        </is>
      </c>
      <c r="V19" t="inlineStr">
        <is>
          <t>2001-11-15</t>
        </is>
      </c>
      <c r="W19" t="inlineStr">
        <is>
          <t>1997-05-21</t>
        </is>
      </c>
      <c r="X19" t="inlineStr">
        <is>
          <t>1997-05-21</t>
        </is>
      </c>
      <c r="Y19" t="n">
        <v>33</v>
      </c>
      <c r="Z19" t="n">
        <v>33</v>
      </c>
      <c r="AA19" t="n">
        <v>50</v>
      </c>
      <c r="AB19" t="n">
        <v>1</v>
      </c>
      <c r="AC19" t="n">
        <v>2</v>
      </c>
      <c r="AD19" t="n">
        <v>0</v>
      </c>
      <c r="AE19" t="n">
        <v>2</v>
      </c>
      <c r="AF19" t="n">
        <v>0</v>
      </c>
      <c r="AG19" t="n">
        <v>0</v>
      </c>
      <c r="AH19" t="n">
        <v>0</v>
      </c>
      <c r="AI19" t="n">
        <v>1</v>
      </c>
      <c r="AJ19" t="n">
        <v>0</v>
      </c>
      <c r="AK19" t="n">
        <v>0</v>
      </c>
      <c r="AL19" t="n">
        <v>0</v>
      </c>
      <c r="AM19" t="n">
        <v>1</v>
      </c>
      <c r="AN19" t="n">
        <v>0</v>
      </c>
      <c r="AO19" t="n">
        <v>0</v>
      </c>
      <c r="AP19" t="inlineStr">
        <is>
          <t>Yes</t>
        </is>
      </c>
      <c r="AQ19" t="inlineStr">
        <is>
          <t>No</t>
        </is>
      </c>
      <c r="AR19">
        <f>HYPERLINK("http://catalog.hathitrust.org/Record/008400740","HathiTrust Record")</f>
        <v/>
      </c>
      <c r="AS19">
        <f>HYPERLINK("https://creighton-primo.hosted.exlibrisgroup.com/primo-explore/search?tab=default_tab&amp;search_scope=EVERYTHING&amp;vid=01CRU&amp;lang=en_US&amp;offset=0&amp;query=any,contains,991005218349702656","Catalog Record")</f>
        <v/>
      </c>
      <c r="AT19">
        <f>HYPERLINK("http://www.worldcat.org/oclc/8205848","WorldCat Record")</f>
        <v/>
      </c>
      <c r="AU19" t="inlineStr">
        <is>
          <t>3771038699:eng</t>
        </is>
      </c>
      <c r="AV19" t="inlineStr">
        <is>
          <t>8205848</t>
        </is>
      </c>
      <c r="AW19" t="inlineStr">
        <is>
          <t>991005218349702656</t>
        </is>
      </c>
      <c r="AX19" t="inlineStr">
        <is>
          <t>991005218349702656</t>
        </is>
      </c>
      <c r="AY19" t="inlineStr">
        <is>
          <t>2259202920002656</t>
        </is>
      </c>
      <c r="AZ19" t="inlineStr">
        <is>
          <t>BOOK</t>
        </is>
      </c>
      <c r="BC19" t="inlineStr">
        <is>
          <t>32285002690930</t>
        </is>
      </c>
      <c r="BD19" t="inlineStr">
        <is>
          <t>893883533</t>
        </is>
      </c>
    </row>
    <row r="20">
      <c r="A20" t="inlineStr">
        <is>
          <t>No</t>
        </is>
      </c>
      <c r="B20" t="inlineStr">
        <is>
          <t>G141 .B29 2003</t>
        </is>
      </c>
      <c r="C20" t="inlineStr">
        <is>
          <t>0                      G  0141000B  29          2003</t>
        </is>
      </c>
      <c r="D20" t="inlineStr">
        <is>
          <t>Geography and history : bridging the divide / Alan R. H. Baker.</t>
        </is>
      </c>
      <c r="F20" t="inlineStr">
        <is>
          <t>No</t>
        </is>
      </c>
      <c r="G20" t="inlineStr">
        <is>
          <t>1</t>
        </is>
      </c>
      <c r="H20" t="inlineStr">
        <is>
          <t>No</t>
        </is>
      </c>
      <c r="I20" t="inlineStr">
        <is>
          <t>No</t>
        </is>
      </c>
      <c r="J20" t="inlineStr">
        <is>
          <t>0</t>
        </is>
      </c>
      <c r="K20" t="inlineStr">
        <is>
          <t>Baker, Alan R. H.</t>
        </is>
      </c>
      <c r="L20" t="inlineStr">
        <is>
          <t>Cambridge, U.K. ; New York : Cambridge University Press, 2003.</t>
        </is>
      </c>
      <c r="M20" t="inlineStr">
        <is>
          <t>2003</t>
        </is>
      </c>
      <c r="O20" t="inlineStr">
        <is>
          <t>eng</t>
        </is>
      </c>
      <c r="P20" t="inlineStr">
        <is>
          <t>enk</t>
        </is>
      </c>
      <c r="Q20" t="inlineStr">
        <is>
          <t>Cambridge studies in historical geography ; 36</t>
        </is>
      </c>
      <c r="R20" t="inlineStr">
        <is>
          <t xml:space="preserve">G  </t>
        </is>
      </c>
      <c r="S20" t="n">
        <v>1</v>
      </c>
      <c r="T20" t="n">
        <v>1</v>
      </c>
      <c r="U20" t="inlineStr">
        <is>
          <t>2005-05-25</t>
        </is>
      </c>
      <c r="V20" t="inlineStr">
        <is>
          <t>2005-05-25</t>
        </is>
      </c>
      <c r="W20" t="inlineStr">
        <is>
          <t>2005-05-25</t>
        </is>
      </c>
      <c r="X20" t="inlineStr">
        <is>
          <t>2005-05-25</t>
        </is>
      </c>
      <c r="Y20" t="n">
        <v>606</v>
      </c>
      <c r="Z20" t="n">
        <v>436</v>
      </c>
      <c r="AA20" t="n">
        <v>448</v>
      </c>
      <c r="AB20" t="n">
        <v>4</v>
      </c>
      <c r="AC20" t="n">
        <v>4</v>
      </c>
      <c r="AD20" t="n">
        <v>15</v>
      </c>
      <c r="AE20" t="n">
        <v>15</v>
      </c>
      <c r="AF20" t="n">
        <v>6</v>
      </c>
      <c r="AG20" t="n">
        <v>6</v>
      </c>
      <c r="AH20" t="n">
        <v>3</v>
      </c>
      <c r="AI20" t="n">
        <v>3</v>
      </c>
      <c r="AJ20" t="n">
        <v>7</v>
      </c>
      <c r="AK20" t="n">
        <v>7</v>
      </c>
      <c r="AL20" t="n">
        <v>3</v>
      </c>
      <c r="AM20" t="n">
        <v>3</v>
      </c>
      <c r="AN20" t="n">
        <v>0</v>
      </c>
      <c r="AO20" t="n">
        <v>0</v>
      </c>
      <c r="AP20" t="inlineStr">
        <is>
          <t>No</t>
        </is>
      </c>
      <c r="AQ20" t="inlineStr">
        <is>
          <t>No</t>
        </is>
      </c>
      <c r="AS20">
        <f>HYPERLINK("https://creighton-primo.hosted.exlibrisgroup.com/primo-explore/search?tab=default_tab&amp;search_scope=EVERYTHING&amp;vid=01CRU&amp;lang=en_US&amp;offset=0&amp;query=any,contains,991004542029702656","Catalog Record")</f>
        <v/>
      </c>
      <c r="AT20">
        <f>HYPERLINK("http://www.worldcat.org/oclc/51848540","WorldCat Record")</f>
        <v/>
      </c>
      <c r="AU20" t="inlineStr">
        <is>
          <t>145113824:eng</t>
        </is>
      </c>
      <c r="AV20" t="inlineStr">
        <is>
          <t>51848540</t>
        </is>
      </c>
      <c r="AW20" t="inlineStr">
        <is>
          <t>991004542029702656</t>
        </is>
      </c>
      <c r="AX20" t="inlineStr">
        <is>
          <t>991004542029702656</t>
        </is>
      </c>
      <c r="AY20" t="inlineStr">
        <is>
          <t>2257298010002656</t>
        </is>
      </c>
      <c r="AZ20" t="inlineStr">
        <is>
          <t>BOOK</t>
        </is>
      </c>
      <c r="BB20" t="inlineStr">
        <is>
          <t>9780521246835</t>
        </is>
      </c>
      <c r="BC20" t="inlineStr">
        <is>
          <t>32285005090021</t>
        </is>
      </c>
      <c r="BD20" t="inlineStr">
        <is>
          <t>893430194</t>
        </is>
      </c>
    </row>
    <row r="21">
      <c r="A21" t="inlineStr">
        <is>
          <t>No</t>
        </is>
      </c>
      <c r="B21" t="inlineStr">
        <is>
          <t>G141 .E2 1967</t>
        </is>
      </c>
      <c r="C21" t="inlineStr">
        <is>
          <t>0                      G  0141000E  2           1967</t>
        </is>
      </c>
      <c r="D21" t="inlineStr">
        <is>
          <t>The geography behind history / W. Gordon East.</t>
        </is>
      </c>
      <c r="F21" t="inlineStr">
        <is>
          <t>No</t>
        </is>
      </c>
      <c r="G21" t="inlineStr">
        <is>
          <t>1</t>
        </is>
      </c>
      <c r="H21" t="inlineStr">
        <is>
          <t>No</t>
        </is>
      </c>
      <c r="I21" t="inlineStr">
        <is>
          <t>No</t>
        </is>
      </c>
      <c r="J21" t="inlineStr">
        <is>
          <t>0</t>
        </is>
      </c>
      <c r="K21" t="inlineStr">
        <is>
          <t>East, W. Gordon (William Gordon), 1902-1998.</t>
        </is>
      </c>
      <c r="L21" t="inlineStr">
        <is>
          <t>New York : W.W. Norton, 1967.</t>
        </is>
      </c>
      <c r="M21" t="inlineStr">
        <is>
          <t>1967</t>
        </is>
      </c>
      <c r="N21" t="inlineStr">
        <is>
          <t>[Rev. and enl.]</t>
        </is>
      </c>
      <c r="O21" t="inlineStr">
        <is>
          <t>eng</t>
        </is>
      </c>
      <c r="P21" t="inlineStr">
        <is>
          <t>nyu</t>
        </is>
      </c>
      <c r="Q21" t="inlineStr">
        <is>
          <t>The Norton library</t>
        </is>
      </c>
      <c r="R21" t="inlineStr">
        <is>
          <t xml:space="preserve">G  </t>
        </is>
      </c>
      <c r="S21" t="n">
        <v>2</v>
      </c>
      <c r="T21" t="n">
        <v>2</v>
      </c>
      <c r="U21" t="inlineStr">
        <is>
          <t>2004-07-28</t>
        </is>
      </c>
      <c r="V21" t="inlineStr">
        <is>
          <t>2004-07-28</t>
        </is>
      </c>
      <c r="W21" t="inlineStr">
        <is>
          <t>1991-12-17</t>
        </is>
      </c>
      <c r="X21" t="inlineStr">
        <is>
          <t>1991-12-17</t>
        </is>
      </c>
      <c r="Y21" t="n">
        <v>240</v>
      </c>
      <c r="Z21" t="n">
        <v>229</v>
      </c>
      <c r="AA21" t="n">
        <v>728</v>
      </c>
      <c r="AB21" t="n">
        <v>2</v>
      </c>
      <c r="AC21" t="n">
        <v>4</v>
      </c>
      <c r="AD21" t="n">
        <v>7</v>
      </c>
      <c r="AE21" t="n">
        <v>24</v>
      </c>
      <c r="AF21" t="n">
        <v>3</v>
      </c>
      <c r="AG21" t="n">
        <v>8</v>
      </c>
      <c r="AH21" t="n">
        <v>1</v>
      </c>
      <c r="AI21" t="n">
        <v>5</v>
      </c>
      <c r="AJ21" t="n">
        <v>4</v>
      </c>
      <c r="AK21" t="n">
        <v>15</v>
      </c>
      <c r="AL21" t="n">
        <v>1</v>
      </c>
      <c r="AM21" t="n">
        <v>3</v>
      </c>
      <c r="AN21" t="n">
        <v>0</v>
      </c>
      <c r="AO21" t="n">
        <v>0</v>
      </c>
      <c r="AP21" t="inlineStr">
        <is>
          <t>No</t>
        </is>
      </c>
      <c r="AQ21" t="inlineStr">
        <is>
          <t>No</t>
        </is>
      </c>
      <c r="AS21">
        <f>HYPERLINK("https://creighton-primo.hosted.exlibrisgroup.com/primo-explore/search?tab=default_tab&amp;search_scope=EVERYTHING&amp;vid=01CRU&amp;lang=en_US&amp;offset=0&amp;query=any,contains,991004338549702656","Catalog Record")</f>
        <v/>
      </c>
      <c r="AT21">
        <f>HYPERLINK("http://www.worldcat.org/oclc/3081127","WorldCat Record")</f>
        <v/>
      </c>
      <c r="AU21" t="inlineStr">
        <is>
          <t>1102545681:eng</t>
        </is>
      </c>
      <c r="AV21" t="inlineStr">
        <is>
          <t>3081127</t>
        </is>
      </c>
      <c r="AW21" t="inlineStr">
        <is>
          <t>991004338549702656</t>
        </is>
      </c>
      <c r="AX21" t="inlineStr">
        <is>
          <t>991004338549702656</t>
        </is>
      </c>
      <c r="AY21" t="inlineStr">
        <is>
          <t>2260103820002656</t>
        </is>
      </c>
      <c r="AZ21" t="inlineStr">
        <is>
          <t>BOOK</t>
        </is>
      </c>
      <c r="BB21" t="inlineStr">
        <is>
          <t>9780393004199</t>
        </is>
      </c>
      <c r="BC21" t="inlineStr">
        <is>
          <t>32285000891969</t>
        </is>
      </c>
      <c r="BD21" t="inlineStr">
        <is>
          <t>893319087</t>
        </is>
      </c>
    </row>
    <row r="22">
      <c r="A22" t="inlineStr">
        <is>
          <t>No</t>
        </is>
      </c>
      <c r="B22" t="inlineStr">
        <is>
          <t>G1422.O7 F7 1982</t>
        </is>
      </c>
      <c r="C22" t="inlineStr">
        <is>
          <t>0                      G  1422000O  7                  F  7           1982</t>
        </is>
      </c>
      <c r="D22" t="inlineStr">
        <is>
          <t>Maps of the Oregon Trail / Gregory M. Franzwa.</t>
        </is>
      </c>
      <c r="F22" t="inlineStr">
        <is>
          <t>No</t>
        </is>
      </c>
      <c r="G22" t="inlineStr">
        <is>
          <t>1</t>
        </is>
      </c>
      <c r="H22" t="inlineStr">
        <is>
          <t>No</t>
        </is>
      </c>
      <c r="I22" t="inlineStr">
        <is>
          <t>No</t>
        </is>
      </c>
      <c r="J22" t="inlineStr">
        <is>
          <t>0</t>
        </is>
      </c>
      <c r="K22" t="inlineStr">
        <is>
          <t>Franzwa, Gregory M.</t>
        </is>
      </c>
      <c r="L22" t="inlineStr">
        <is>
          <t>Gerald, Mo. : The Patrice Press, c1982.</t>
        </is>
      </c>
      <c r="M22" t="inlineStr">
        <is>
          <t>1982</t>
        </is>
      </c>
      <c r="O22" t="inlineStr">
        <is>
          <t>eng</t>
        </is>
      </c>
      <c r="P22" t="inlineStr">
        <is>
          <t>mou</t>
        </is>
      </c>
      <c r="R22" t="inlineStr">
        <is>
          <t xml:space="preserve">G  </t>
        </is>
      </c>
      <c r="S22" t="n">
        <v>3</v>
      </c>
      <c r="T22" t="n">
        <v>3</v>
      </c>
      <c r="U22" t="inlineStr">
        <is>
          <t>1992-06-16</t>
        </is>
      </c>
      <c r="V22" t="inlineStr">
        <is>
          <t>1992-06-16</t>
        </is>
      </c>
      <c r="W22" t="inlineStr">
        <is>
          <t>1992-01-09</t>
        </is>
      </c>
      <c r="X22" t="inlineStr">
        <is>
          <t>1992-01-09</t>
        </is>
      </c>
      <c r="Y22" t="n">
        <v>198</v>
      </c>
      <c r="Z22" t="n">
        <v>194</v>
      </c>
      <c r="AA22" t="n">
        <v>361</v>
      </c>
      <c r="AB22" t="n">
        <v>14</v>
      </c>
      <c r="AC22" t="n">
        <v>17</v>
      </c>
      <c r="AD22" t="n">
        <v>5</v>
      </c>
      <c r="AE22" t="n">
        <v>8</v>
      </c>
      <c r="AF22" t="n">
        <v>1</v>
      </c>
      <c r="AG22" t="n">
        <v>2</v>
      </c>
      <c r="AH22" t="n">
        <v>0</v>
      </c>
      <c r="AI22" t="n">
        <v>0</v>
      </c>
      <c r="AJ22" t="n">
        <v>3</v>
      </c>
      <c r="AK22" t="n">
        <v>3</v>
      </c>
      <c r="AL22" t="n">
        <v>2</v>
      </c>
      <c r="AM22" t="n">
        <v>4</v>
      </c>
      <c r="AN22" t="n">
        <v>0</v>
      </c>
      <c r="AO22" t="n">
        <v>0</v>
      </c>
      <c r="AP22" t="inlineStr">
        <is>
          <t>No</t>
        </is>
      </c>
      <c r="AQ22" t="inlineStr">
        <is>
          <t>Yes</t>
        </is>
      </c>
      <c r="AR22">
        <f>HYPERLINK("http://catalog.hathitrust.org/Record/000149740","HathiTrust Record")</f>
        <v/>
      </c>
      <c r="AS22">
        <f>HYPERLINK("https://creighton-primo.hosted.exlibrisgroup.com/primo-explore/search?tab=default_tab&amp;search_scope=EVERYTHING&amp;vid=01CRU&amp;lang=en_US&amp;offset=0&amp;query=any,contains,991005206799702656","Catalog Record")</f>
        <v/>
      </c>
      <c r="AT22">
        <f>HYPERLINK("http://www.worldcat.org/oclc/8120325","WorldCat Record")</f>
        <v/>
      </c>
      <c r="AU22" t="inlineStr">
        <is>
          <t>23263080:eng</t>
        </is>
      </c>
      <c r="AV22" t="inlineStr">
        <is>
          <t>8120325</t>
        </is>
      </c>
      <c r="AW22" t="inlineStr">
        <is>
          <t>991005206799702656</t>
        </is>
      </c>
      <c r="AX22" t="inlineStr">
        <is>
          <t>991005206799702656</t>
        </is>
      </c>
      <c r="AY22" t="inlineStr">
        <is>
          <t>2269894150002656</t>
        </is>
      </c>
      <c r="AZ22" t="inlineStr">
        <is>
          <t>BOOK</t>
        </is>
      </c>
      <c r="BB22" t="inlineStr">
        <is>
          <t>9780935284232</t>
        </is>
      </c>
      <c r="BC22" t="inlineStr">
        <is>
          <t>32285000892736</t>
        </is>
      </c>
      <c r="BD22" t="inlineStr">
        <is>
          <t>893527104</t>
        </is>
      </c>
    </row>
    <row r="23">
      <c r="A23" t="inlineStr">
        <is>
          <t>No</t>
        </is>
      </c>
      <c r="B23" t="inlineStr">
        <is>
          <t>G151 .M38</t>
        </is>
      </c>
      <c r="C23" t="inlineStr">
        <is>
          <t>0                      G  0151000M  38</t>
        </is>
      </c>
      <c r="D23" t="inlineStr">
        <is>
          <t>The psychology of leisure travel : effective marketing and selling of travel services / Edward J. Mayo, Jr., Lance P. Jarvis.</t>
        </is>
      </c>
      <c r="F23" t="inlineStr">
        <is>
          <t>No</t>
        </is>
      </c>
      <c r="G23" t="inlineStr">
        <is>
          <t>1</t>
        </is>
      </c>
      <c r="H23" t="inlineStr">
        <is>
          <t>No</t>
        </is>
      </c>
      <c r="I23" t="inlineStr">
        <is>
          <t>No</t>
        </is>
      </c>
      <c r="J23" t="inlineStr">
        <is>
          <t>0</t>
        </is>
      </c>
      <c r="K23" t="inlineStr">
        <is>
          <t>Mayo, Edward J.</t>
        </is>
      </c>
      <c r="L23" t="inlineStr">
        <is>
          <t>Boston, Mass. : CBI Pub. Co., c1981.</t>
        </is>
      </c>
      <c r="M23" t="inlineStr">
        <is>
          <t>1981</t>
        </is>
      </c>
      <c r="O23" t="inlineStr">
        <is>
          <t>eng</t>
        </is>
      </c>
      <c r="P23" t="inlineStr">
        <is>
          <t>mau</t>
        </is>
      </c>
      <c r="R23" t="inlineStr">
        <is>
          <t xml:space="preserve">G  </t>
        </is>
      </c>
      <c r="S23" t="n">
        <v>8</v>
      </c>
      <c r="T23" t="n">
        <v>8</v>
      </c>
      <c r="U23" t="inlineStr">
        <is>
          <t>2004-12-04</t>
        </is>
      </c>
      <c r="V23" t="inlineStr">
        <is>
          <t>2004-12-04</t>
        </is>
      </c>
      <c r="W23" t="inlineStr">
        <is>
          <t>1990-06-22</t>
        </is>
      </c>
      <c r="X23" t="inlineStr">
        <is>
          <t>1990-06-22</t>
        </is>
      </c>
      <c r="Y23" t="n">
        <v>157</v>
      </c>
      <c r="Z23" t="n">
        <v>114</v>
      </c>
      <c r="AA23" t="n">
        <v>115</v>
      </c>
      <c r="AB23" t="n">
        <v>1</v>
      </c>
      <c r="AC23" t="n">
        <v>1</v>
      </c>
      <c r="AD23" t="n">
        <v>2</v>
      </c>
      <c r="AE23" t="n">
        <v>2</v>
      </c>
      <c r="AF23" t="n">
        <v>0</v>
      </c>
      <c r="AG23" t="n">
        <v>0</v>
      </c>
      <c r="AH23" t="n">
        <v>0</v>
      </c>
      <c r="AI23" t="n">
        <v>0</v>
      </c>
      <c r="AJ23" t="n">
        <v>2</v>
      </c>
      <c r="AK23" t="n">
        <v>2</v>
      </c>
      <c r="AL23" t="n">
        <v>0</v>
      </c>
      <c r="AM23" t="n">
        <v>0</v>
      </c>
      <c r="AN23" t="n">
        <v>0</v>
      </c>
      <c r="AO23" t="n">
        <v>0</v>
      </c>
      <c r="AP23" t="inlineStr">
        <is>
          <t>No</t>
        </is>
      </c>
      <c r="AQ23" t="inlineStr">
        <is>
          <t>Yes</t>
        </is>
      </c>
      <c r="AR23">
        <f>HYPERLINK("http://catalog.hathitrust.org/Record/007986293","HathiTrust Record")</f>
        <v/>
      </c>
      <c r="AS23">
        <f>HYPERLINK("https://creighton-primo.hosted.exlibrisgroup.com/primo-explore/search?tab=default_tab&amp;search_scope=EVERYTHING&amp;vid=01CRU&amp;lang=en_US&amp;offset=0&amp;query=any,contains,991005136939702656","Catalog Record")</f>
        <v/>
      </c>
      <c r="AT23">
        <f>HYPERLINK("http://www.worldcat.org/oclc/7577993","WorldCat Record")</f>
        <v/>
      </c>
      <c r="AU23" t="inlineStr">
        <is>
          <t>3769350995:eng</t>
        </is>
      </c>
      <c r="AV23" t="inlineStr">
        <is>
          <t>7577993</t>
        </is>
      </c>
      <c r="AW23" t="inlineStr">
        <is>
          <t>991005136939702656</t>
        </is>
      </c>
      <c r="AX23" t="inlineStr">
        <is>
          <t>991005136939702656</t>
        </is>
      </c>
      <c r="AY23" t="inlineStr">
        <is>
          <t>2264665330002656</t>
        </is>
      </c>
      <c r="AZ23" t="inlineStr">
        <is>
          <t>BOOK</t>
        </is>
      </c>
      <c r="BB23" t="inlineStr">
        <is>
          <t>9780843622041</t>
        </is>
      </c>
      <c r="BC23" t="inlineStr">
        <is>
          <t>32285000212448</t>
        </is>
      </c>
      <c r="BD23" t="inlineStr">
        <is>
          <t>893254530</t>
        </is>
      </c>
    </row>
    <row r="24">
      <c r="A24" t="inlineStr">
        <is>
          <t>No</t>
        </is>
      </c>
      <c r="B24" t="inlineStr">
        <is>
          <t>G151 .P53 1980</t>
        </is>
      </c>
      <c r="C24" t="inlineStr">
        <is>
          <t>0                      G  0151000P  53          1980</t>
        </is>
      </c>
      <c r="D24" t="inlineStr">
        <is>
          <t>Travel sense / by Barbara Pletcher.</t>
        </is>
      </c>
      <c r="F24" t="inlineStr">
        <is>
          <t>No</t>
        </is>
      </c>
      <c r="G24" t="inlineStr">
        <is>
          <t>1</t>
        </is>
      </c>
      <c r="H24" t="inlineStr">
        <is>
          <t>No</t>
        </is>
      </c>
      <c r="I24" t="inlineStr">
        <is>
          <t>No</t>
        </is>
      </c>
      <c r="J24" t="inlineStr">
        <is>
          <t>0</t>
        </is>
      </c>
      <c r="K24" t="inlineStr">
        <is>
          <t>Pletcher, Barbara A.</t>
        </is>
      </c>
      <c r="L24" t="inlineStr">
        <is>
          <t>San Francisco : Harbor Pub. ; New York : Distributed by G.P. Putnam, c1980.</t>
        </is>
      </c>
      <c r="M24" t="inlineStr">
        <is>
          <t>1980</t>
        </is>
      </c>
      <c r="N24" t="inlineStr">
        <is>
          <t>1st ed.</t>
        </is>
      </c>
      <c r="O24" t="inlineStr">
        <is>
          <t>eng</t>
        </is>
      </c>
      <c r="P24" t="inlineStr">
        <is>
          <t>cau</t>
        </is>
      </c>
      <c r="R24" t="inlineStr">
        <is>
          <t xml:space="preserve">G  </t>
        </is>
      </c>
      <c r="S24" t="n">
        <v>1</v>
      </c>
      <c r="T24" t="n">
        <v>1</v>
      </c>
      <c r="U24" t="inlineStr">
        <is>
          <t>2002-04-02</t>
        </is>
      </c>
      <c r="V24" t="inlineStr">
        <is>
          <t>2002-04-02</t>
        </is>
      </c>
      <c r="W24" t="inlineStr">
        <is>
          <t>1991-12-17</t>
        </is>
      </c>
      <c r="X24" t="inlineStr">
        <is>
          <t>1991-12-17</t>
        </is>
      </c>
      <c r="Y24" t="n">
        <v>61</v>
      </c>
      <c r="Z24" t="n">
        <v>59</v>
      </c>
      <c r="AA24" t="n">
        <v>66</v>
      </c>
      <c r="AB24" t="n">
        <v>1</v>
      </c>
      <c r="AC24" t="n">
        <v>1</v>
      </c>
      <c r="AD24" t="n">
        <v>1</v>
      </c>
      <c r="AE24" t="n">
        <v>1</v>
      </c>
      <c r="AF24" t="n">
        <v>0</v>
      </c>
      <c r="AG24" t="n">
        <v>0</v>
      </c>
      <c r="AH24" t="n">
        <v>1</v>
      </c>
      <c r="AI24" t="n">
        <v>1</v>
      </c>
      <c r="AJ24" t="n">
        <v>1</v>
      </c>
      <c r="AK24" t="n">
        <v>1</v>
      </c>
      <c r="AL24" t="n">
        <v>0</v>
      </c>
      <c r="AM24" t="n">
        <v>0</v>
      </c>
      <c r="AN24" t="n">
        <v>0</v>
      </c>
      <c r="AO24" t="n">
        <v>0</v>
      </c>
      <c r="AP24" t="inlineStr">
        <is>
          <t>No</t>
        </is>
      </c>
      <c r="AQ24" t="inlineStr">
        <is>
          <t>No</t>
        </is>
      </c>
      <c r="AS24">
        <f>HYPERLINK("https://creighton-primo.hosted.exlibrisgroup.com/primo-explore/search?tab=default_tab&amp;search_scope=EVERYTHING&amp;vid=01CRU&amp;lang=en_US&amp;offset=0&amp;query=any,contains,991005057409702656","Catalog Record")</f>
        <v/>
      </c>
      <c r="AT24">
        <f>HYPERLINK("http://www.worldcat.org/oclc/6910155","WorldCat Record")</f>
        <v/>
      </c>
      <c r="AU24" t="inlineStr">
        <is>
          <t>481351:eng</t>
        </is>
      </c>
      <c r="AV24" t="inlineStr">
        <is>
          <t>6910155</t>
        </is>
      </c>
      <c r="AW24" t="inlineStr">
        <is>
          <t>991005057409702656</t>
        </is>
      </c>
      <c r="AX24" t="inlineStr">
        <is>
          <t>991005057409702656</t>
        </is>
      </c>
      <c r="AY24" t="inlineStr">
        <is>
          <t>2269847130002656</t>
        </is>
      </c>
      <c r="AZ24" t="inlineStr">
        <is>
          <t>BOOK</t>
        </is>
      </c>
      <c r="BB24" t="inlineStr">
        <is>
          <t>9780936602011</t>
        </is>
      </c>
      <c r="BC24" t="inlineStr">
        <is>
          <t>32285000891977</t>
        </is>
      </c>
      <c r="BD24" t="inlineStr">
        <is>
          <t>893344573</t>
        </is>
      </c>
    </row>
    <row r="25">
      <c r="A25" t="inlineStr">
        <is>
          <t>No</t>
        </is>
      </c>
      <c r="B25" t="inlineStr">
        <is>
          <t>G155.A1 F73 2009</t>
        </is>
      </c>
      <c r="C25" t="inlineStr">
        <is>
          <t>0                      G  0155000A  1                  F  73          2009</t>
        </is>
      </c>
      <c r="D25" t="inlineStr">
        <is>
          <t>The framed world : tourism, tourists and photography / edited by Mike Robinson and David Picard.</t>
        </is>
      </c>
      <c r="F25" t="inlineStr">
        <is>
          <t>No</t>
        </is>
      </c>
      <c r="G25" t="inlineStr">
        <is>
          <t>1</t>
        </is>
      </c>
      <c r="H25" t="inlineStr">
        <is>
          <t>No</t>
        </is>
      </c>
      <c r="I25" t="inlineStr">
        <is>
          <t>No</t>
        </is>
      </c>
      <c r="J25" t="inlineStr">
        <is>
          <t>0</t>
        </is>
      </c>
      <c r="L25" t="inlineStr">
        <is>
          <t>Farnham, England ; Burlington, VT : Ashgate Pub. c2009.</t>
        </is>
      </c>
      <c r="M25" t="inlineStr">
        <is>
          <t>2009</t>
        </is>
      </c>
      <c r="O25" t="inlineStr">
        <is>
          <t>eng</t>
        </is>
      </c>
      <c r="P25" t="inlineStr">
        <is>
          <t>enk</t>
        </is>
      </c>
      <c r="Q25" t="inlineStr">
        <is>
          <t>New directions in tourism analysis</t>
        </is>
      </c>
      <c r="R25" t="inlineStr">
        <is>
          <t xml:space="preserve">G  </t>
        </is>
      </c>
      <c r="S25" t="n">
        <v>1</v>
      </c>
      <c r="T25" t="n">
        <v>1</v>
      </c>
      <c r="U25" t="inlineStr">
        <is>
          <t>2010-07-19</t>
        </is>
      </c>
      <c r="V25" t="inlineStr">
        <is>
          <t>2010-07-19</t>
        </is>
      </c>
      <c r="W25" t="inlineStr">
        <is>
          <t>2010-07-19</t>
        </is>
      </c>
      <c r="X25" t="inlineStr">
        <is>
          <t>2010-07-19</t>
        </is>
      </c>
      <c r="Y25" t="n">
        <v>222</v>
      </c>
      <c r="Z25" t="n">
        <v>119</v>
      </c>
      <c r="AA25" t="n">
        <v>141</v>
      </c>
      <c r="AB25" t="n">
        <v>2</v>
      </c>
      <c r="AC25" t="n">
        <v>2</v>
      </c>
      <c r="AD25" t="n">
        <v>6</v>
      </c>
      <c r="AE25" t="n">
        <v>6</v>
      </c>
      <c r="AF25" t="n">
        <v>2</v>
      </c>
      <c r="AG25" t="n">
        <v>2</v>
      </c>
      <c r="AH25" t="n">
        <v>0</v>
      </c>
      <c r="AI25" t="n">
        <v>0</v>
      </c>
      <c r="AJ25" t="n">
        <v>3</v>
      </c>
      <c r="AK25" t="n">
        <v>3</v>
      </c>
      <c r="AL25" t="n">
        <v>1</v>
      </c>
      <c r="AM25" t="n">
        <v>1</v>
      </c>
      <c r="AN25" t="n">
        <v>0</v>
      </c>
      <c r="AO25" t="n">
        <v>0</v>
      </c>
      <c r="AP25" t="inlineStr">
        <is>
          <t>No</t>
        </is>
      </c>
      <c r="AQ25" t="inlineStr">
        <is>
          <t>No</t>
        </is>
      </c>
      <c r="AS25">
        <f>HYPERLINK("https://creighton-primo.hosted.exlibrisgroup.com/primo-explore/search?tab=default_tab&amp;search_scope=EVERYTHING&amp;vid=01CRU&amp;lang=en_US&amp;offset=0&amp;query=any,contains,991000022999702656","Catalog Record")</f>
        <v/>
      </c>
      <c r="AT25">
        <f>HYPERLINK("http://www.worldcat.org/oclc/310171846","WorldCat Record")</f>
        <v/>
      </c>
      <c r="AU25" t="inlineStr">
        <is>
          <t>892010869:eng</t>
        </is>
      </c>
      <c r="AV25" t="inlineStr">
        <is>
          <t>310171846</t>
        </is>
      </c>
      <c r="AW25" t="inlineStr">
        <is>
          <t>991000022999702656</t>
        </is>
      </c>
      <c r="AX25" t="inlineStr">
        <is>
          <t>991000022999702656</t>
        </is>
      </c>
      <c r="AY25" t="inlineStr">
        <is>
          <t>2263073290002656</t>
        </is>
      </c>
      <c r="AZ25" t="inlineStr">
        <is>
          <t>BOOK</t>
        </is>
      </c>
      <c r="BB25" t="inlineStr">
        <is>
          <t>9780754673682</t>
        </is>
      </c>
      <c r="BC25" t="inlineStr">
        <is>
          <t>32285005590780</t>
        </is>
      </c>
      <c r="BD25" t="inlineStr">
        <is>
          <t>893783883</t>
        </is>
      </c>
    </row>
    <row r="26">
      <c r="A26" t="inlineStr">
        <is>
          <t>No</t>
        </is>
      </c>
      <c r="B26" t="inlineStr">
        <is>
          <t>G155.A1 M388 1998</t>
        </is>
      </c>
      <c r="C26" t="inlineStr">
        <is>
          <t>0                      G  0155000A  1                  M  388         1998</t>
        </is>
      </c>
      <c r="D26" t="inlineStr">
        <is>
          <t>Rethinking tourism and ecotravel : the paving of paradise and what you can do to stop it / Deborah McLaren.</t>
        </is>
      </c>
      <c r="F26" t="inlineStr">
        <is>
          <t>No</t>
        </is>
      </c>
      <c r="G26" t="inlineStr">
        <is>
          <t>1</t>
        </is>
      </c>
      <c r="H26" t="inlineStr">
        <is>
          <t>No</t>
        </is>
      </c>
      <c r="I26" t="inlineStr">
        <is>
          <t>No</t>
        </is>
      </c>
      <c r="J26" t="inlineStr">
        <is>
          <t>0</t>
        </is>
      </c>
      <c r="K26" t="inlineStr">
        <is>
          <t>McLaren, Deborah, 1959-</t>
        </is>
      </c>
      <c r="L26" t="inlineStr">
        <is>
          <t>West Hartford, Conn., USA : Kumarian Press, c1998.</t>
        </is>
      </c>
      <c r="M26" t="inlineStr">
        <is>
          <t>1998</t>
        </is>
      </c>
      <c r="O26" t="inlineStr">
        <is>
          <t>eng</t>
        </is>
      </c>
      <c r="P26" t="inlineStr">
        <is>
          <t>ctu</t>
        </is>
      </c>
      <c r="R26" t="inlineStr">
        <is>
          <t xml:space="preserve">G  </t>
        </is>
      </c>
      <c r="S26" t="n">
        <v>2</v>
      </c>
      <c r="T26" t="n">
        <v>2</v>
      </c>
      <c r="U26" t="inlineStr">
        <is>
          <t>2002-12-09</t>
        </is>
      </c>
      <c r="V26" t="inlineStr">
        <is>
          <t>2002-12-09</t>
        </is>
      </c>
      <c r="W26" t="inlineStr">
        <is>
          <t>2001-01-10</t>
        </is>
      </c>
      <c r="X26" t="inlineStr">
        <is>
          <t>2001-01-10</t>
        </is>
      </c>
      <c r="Y26" t="n">
        <v>574</v>
      </c>
      <c r="Z26" t="n">
        <v>452</v>
      </c>
      <c r="AA26" t="n">
        <v>459</v>
      </c>
      <c r="AB26" t="n">
        <v>6</v>
      </c>
      <c r="AC26" t="n">
        <v>6</v>
      </c>
      <c r="AD26" t="n">
        <v>18</v>
      </c>
      <c r="AE26" t="n">
        <v>18</v>
      </c>
      <c r="AF26" t="n">
        <v>7</v>
      </c>
      <c r="AG26" t="n">
        <v>7</v>
      </c>
      <c r="AH26" t="n">
        <v>4</v>
      </c>
      <c r="AI26" t="n">
        <v>4</v>
      </c>
      <c r="AJ26" t="n">
        <v>5</v>
      </c>
      <c r="AK26" t="n">
        <v>5</v>
      </c>
      <c r="AL26" t="n">
        <v>5</v>
      </c>
      <c r="AM26" t="n">
        <v>5</v>
      </c>
      <c r="AN26" t="n">
        <v>0</v>
      </c>
      <c r="AO26" t="n">
        <v>0</v>
      </c>
      <c r="AP26" t="inlineStr">
        <is>
          <t>No</t>
        </is>
      </c>
      <c r="AQ26" t="inlineStr">
        <is>
          <t>Yes</t>
        </is>
      </c>
      <c r="AR26">
        <f>HYPERLINK("http://catalog.hathitrust.org/Record/003954568","HathiTrust Record")</f>
        <v/>
      </c>
      <c r="AS26">
        <f>HYPERLINK("https://creighton-primo.hosted.exlibrisgroup.com/primo-explore/search?tab=default_tab&amp;search_scope=EVERYTHING&amp;vid=01CRU&amp;lang=en_US&amp;offset=0&amp;query=any,contains,991003450789702656","Catalog Record")</f>
        <v/>
      </c>
      <c r="AT26">
        <f>HYPERLINK("http://www.worldcat.org/oclc/36969640","WorldCat Record")</f>
        <v/>
      </c>
      <c r="AU26" t="inlineStr">
        <is>
          <t>3857042080:eng</t>
        </is>
      </c>
      <c r="AV26" t="inlineStr">
        <is>
          <t>36969640</t>
        </is>
      </c>
      <c r="AW26" t="inlineStr">
        <is>
          <t>991003450789702656</t>
        </is>
      </c>
      <c r="AX26" t="inlineStr">
        <is>
          <t>991003450789702656</t>
        </is>
      </c>
      <c r="AY26" t="inlineStr">
        <is>
          <t>2271050710002656</t>
        </is>
      </c>
      <c r="AZ26" t="inlineStr">
        <is>
          <t>BOOK</t>
        </is>
      </c>
      <c r="BB26" t="inlineStr">
        <is>
          <t>9781565490659</t>
        </is>
      </c>
      <c r="BC26" t="inlineStr">
        <is>
          <t>32285004282223</t>
        </is>
      </c>
      <c r="BD26" t="inlineStr">
        <is>
          <t>893705228</t>
        </is>
      </c>
    </row>
    <row r="27">
      <c r="A27" t="inlineStr">
        <is>
          <t>No</t>
        </is>
      </c>
      <c r="B27" t="inlineStr">
        <is>
          <t>G155.A1 N37 1996</t>
        </is>
      </c>
      <c r="C27" t="inlineStr">
        <is>
          <t>0                      G  0155000A  1                  N  37          1996</t>
        </is>
      </c>
      <c r="D27" t="inlineStr">
        <is>
          <t>Anthropology of tourism / Dennison Nash.</t>
        </is>
      </c>
      <c r="F27" t="inlineStr">
        <is>
          <t>No</t>
        </is>
      </c>
      <c r="G27" t="inlineStr">
        <is>
          <t>1</t>
        </is>
      </c>
      <c r="H27" t="inlineStr">
        <is>
          <t>No</t>
        </is>
      </c>
      <c r="I27" t="inlineStr">
        <is>
          <t>No</t>
        </is>
      </c>
      <c r="J27" t="inlineStr">
        <is>
          <t>0</t>
        </is>
      </c>
      <c r="K27" t="inlineStr">
        <is>
          <t>Nash, Dennison.</t>
        </is>
      </c>
      <c r="L27" t="inlineStr">
        <is>
          <t>Kidlington, Oxford : Pergamon ; Tarrytown, N.Y. : Elsevier Science, 1996.</t>
        </is>
      </c>
      <c r="M27" t="inlineStr">
        <is>
          <t>1996</t>
        </is>
      </c>
      <c r="N27" t="inlineStr">
        <is>
          <t>1st ed.</t>
        </is>
      </c>
      <c r="O27" t="inlineStr">
        <is>
          <t>eng</t>
        </is>
      </c>
      <c r="P27" t="inlineStr">
        <is>
          <t>enk</t>
        </is>
      </c>
      <c r="Q27" t="inlineStr">
        <is>
          <t>Tourism social science series</t>
        </is>
      </c>
      <c r="R27" t="inlineStr">
        <is>
          <t xml:space="preserve">G  </t>
        </is>
      </c>
      <c r="S27" t="n">
        <v>1</v>
      </c>
      <c r="T27" t="n">
        <v>1</v>
      </c>
      <c r="U27" t="inlineStr">
        <is>
          <t>1997-05-28</t>
        </is>
      </c>
      <c r="V27" t="inlineStr">
        <is>
          <t>1997-05-28</t>
        </is>
      </c>
      <c r="W27" t="inlineStr">
        <is>
          <t>1997-04-10</t>
        </is>
      </c>
      <c r="X27" t="inlineStr">
        <is>
          <t>1997-04-10</t>
        </is>
      </c>
      <c r="Y27" t="n">
        <v>437</v>
      </c>
      <c r="Z27" t="n">
        <v>280</v>
      </c>
      <c r="AA27" t="n">
        <v>280</v>
      </c>
      <c r="AB27" t="n">
        <v>1</v>
      </c>
      <c r="AC27" t="n">
        <v>1</v>
      </c>
      <c r="AD27" t="n">
        <v>12</v>
      </c>
      <c r="AE27" t="n">
        <v>12</v>
      </c>
      <c r="AF27" t="n">
        <v>5</v>
      </c>
      <c r="AG27" t="n">
        <v>5</v>
      </c>
      <c r="AH27" t="n">
        <v>3</v>
      </c>
      <c r="AI27" t="n">
        <v>3</v>
      </c>
      <c r="AJ27" t="n">
        <v>8</v>
      </c>
      <c r="AK27" t="n">
        <v>8</v>
      </c>
      <c r="AL27" t="n">
        <v>0</v>
      </c>
      <c r="AM27" t="n">
        <v>0</v>
      </c>
      <c r="AN27" t="n">
        <v>0</v>
      </c>
      <c r="AO27" t="n">
        <v>0</v>
      </c>
      <c r="AP27" t="inlineStr">
        <is>
          <t>No</t>
        </is>
      </c>
      <c r="AQ27" t="inlineStr">
        <is>
          <t>No</t>
        </is>
      </c>
      <c r="AS27">
        <f>HYPERLINK("https://creighton-primo.hosted.exlibrisgroup.com/primo-explore/search?tab=default_tab&amp;search_scope=EVERYTHING&amp;vid=01CRU&amp;lang=en_US&amp;offset=0&amp;query=any,contains,991002659099702656","Catalog Record")</f>
        <v/>
      </c>
      <c r="AT27">
        <f>HYPERLINK("http://www.worldcat.org/oclc/34758164","WorldCat Record")</f>
        <v/>
      </c>
      <c r="AU27" t="inlineStr">
        <is>
          <t>17429548:eng</t>
        </is>
      </c>
      <c r="AV27" t="inlineStr">
        <is>
          <t>34758164</t>
        </is>
      </c>
      <c r="AW27" t="inlineStr">
        <is>
          <t>991002659099702656</t>
        </is>
      </c>
      <c r="AX27" t="inlineStr">
        <is>
          <t>991002659099702656</t>
        </is>
      </c>
      <c r="AY27" t="inlineStr">
        <is>
          <t>2272302800002656</t>
        </is>
      </c>
      <c r="AZ27" t="inlineStr">
        <is>
          <t>BOOK</t>
        </is>
      </c>
      <c r="BB27" t="inlineStr">
        <is>
          <t>9780080423982</t>
        </is>
      </c>
      <c r="BC27" t="inlineStr">
        <is>
          <t>32285002496205</t>
        </is>
      </c>
      <c r="BD27" t="inlineStr">
        <is>
          <t>893523886</t>
        </is>
      </c>
    </row>
    <row r="28">
      <c r="A28" t="inlineStr">
        <is>
          <t>No</t>
        </is>
      </c>
      <c r="B28" t="inlineStr">
        <is>
          <t>G155.A1 O435 1982</t>
        </is>
      </c>
      <c r="C28" t="inlineStr">
        <is>
          <t>0                      G  0155000A  1                  O  435         1982</t>
        </is>
      </c>
      <c r="D28" t="inlineStr">
        <is>
          <t>Tourism in the Third World : Christian reflections / by Ron O'Grady.</t>
        </is>
      </c>
      <c r="F28" t="inlineStr">
        <is>
          <t>No</t>
        </is>
      </c>
      <c r="G28" t="inlineStr">
        <is>
          <t>1</t>
        </is>
      </c>
      <c r="H28" t="inlineStr">
        <is>
          <t>No</t>
        </is>
      </c>
      <c r="I28" t="inlineStr">
        <is>
          <t>No</t>
        </is>
      </c>
      <c r="J28" t="inlineStr">
        <is>
          <t>0</t>
        </is>
      </c>
      <c r="K28" t="inlineStr">
        <is>
          <t>O'Grady, Ron.</t>
        </is>
      </c>
      <c r="L28" t="inlineStr">
        <is>
          <t>Maryknoll, N.Y. : Orbis Books, 1982, c1981.</t>
        </is>
      </c>
      <c r="M28" t="inlineStr">
        <is>
          <t>1982</t>
        </is>
      </c>
      <c r="N28" t="inlineStr">
        <is>
          <t>U.S. ed.</t>
        </is>
      </c>
      <c r="O28" t="inlineStr">
        <is>
          <t>eng</t>
        </is>
      </c>
      <c r="P28" t="inlineStr">
        <is>
          <t>nyu</t>
        </is>
      </c>
      <c r="R28" t="inlineStr">
        <is>
          <t xml:space="preserve">G  </t>
        </is>
      </c>
      <c r="S28" t="n">
        <v>12</v>
      </c>
      <c r="T28" t="n">
        <v>12</v>
      </c>
      <c r="U28" t="inlineStr">
        <is>
          <t>2002-12-09</t>
        </is>
      </c>
      <c r="V28" t="inlineStr">
        <is>
          <t>2002-12-09</t>
        </is>
      </c>
      <c r="W28" t="inlineStr">
        <is>
          <t>1991-12-17</t>
        </is>
      </c>
      <c r="X28" t="inlineStr">
        <is>
          <t>1991-12-17</t>
        </is>
      </c>
      <c r="Y28" t="n">
        <v>177</v>
      </c>
      <c r="Z28" t="n">
        <v>159</v>
      </c>
      <c r="AA28" t="n">
        <v>183</v>
      </c>
      <c r="AB28" t="n">
        <v>2</v>
      </c>
      <c r="AC28" t="n">
        <v>2</v>
      </c>
      <c r="AD28" t="n">
        <v>6</v>
      </c>
      <c r="AE28" t="n">
        <v>7</v>
      </c>
      <c r="AF28" t="n">
        <v>1</v>
      </c>
      <c r="AG28" t="n">
        <v>2</v>
      </c>
      <c r="AH28" t="n">
        <v>1</v>
      </c>
      <c r="AI28" t="n">
        <v>1</v>
      </c>
      <c r="AJ28" t="n">
        <v>5</v>
      </c>
      <c r="AK28" t="n">
        <v>6</v>
      </c>
      <c r="AL28" t="n">
        <v>1</v>
      </c>
      <c r="AM28" t="n">
        <v>1</v>
      </c>
      <c r="AN28" t="n">
        <v>0</v>
      </c>
      <c r="AO28" t="n">
        <v>0</v>
      </c>
      <c r="AP28" t="inlineStr">
        <is>
          <t>No</t>
        </is>
      </c>
      <c r="AQ28" t="inlineStr">
        <is>
          <t>Yes</t>
        </is>
      </c>
      <c r="AR28">
        <f>HYPERLINK("http://catalog.hathitrust.org/Record/000311705","HathiTrust Record")</f>
        <v/>
      </c>
      <c r="AS28">
        <f>HYPERLINK("https://creighton-primo.hosted.exlibrisgroup.com/primo-explore/search?tab=default_tab&amp;search_scope=EVERYTHING&amp;vid=01CRU&amp;lang=en_US&amp;offset=0&amp;query=any,contains,991000008519702656","Catalog Record")</f>
        <v/>
      </c>
      <c r="AT28">
        <f>HYPERLINK("http://www.worldcat.org/oclc/8532984","WorldCat Record")</f>
        <v/>
      </c>
      <c r="AU28" t="inlineStr">
        <is>
          <t>366521321:eng</t>
        </is>
      </c>
      <c r="AV28" t="inlineStr">
        <is>
          <t>8532984</t>
        </is>
      </c>
      <c r="AW28" t="inlineStr">
        <is>
          <t>991000008519702656</t>
        </is>
      </c>
      <c r="AX28" t="inlineStr">
        <is>
          <t>991000008519702656</t>
        </is>
      </c>
      <c r="AY28" t="inlineStr">
        <is>
          <t>2269111500002656</t>
        </is>
      </c>
      <c r="AZ28" t="inlineStr">
        <is>
          <t>BOOK</t>
        </is>
      </c>
      <c r="BB28" t="inlineStr">
        <is>
          <t>9780883445075</t>
        </is>
      </c>
      <c r="BC28" t="inlineStr">
        <is>
          <t>32285000892009</t>
        </is>
      </c>
      <c r="BD28" t="inlineStr">
        <is>
          <t>893695498</t>
        </is>
      </c>
    </row>
    <row r="29">
      <c r="A29" t="inlineStr">
        <is>
          <t>No</t>
        </is>
      </c>
      <c r="B29" t="inlineStr">
        <is>
          <t>G155.A1 U77 1990</t>
        </is>
      </c>
      <c r="C29" t="inlineStr">
        <is>
          <t>0                      G  0155000A  1                  U  77          1990</t>
        </is>
      </c>
      <c r="D29" t="inlineStr">
        <is>
          <t>The tourist gaze : leisure and travel in contemporary societies / John Urry.</t>
        </is>
      </c>
      <c r="F29" t="inlineStr">
        <is>
          <t>No</t>
        </is>
      </c>
      <c r="G29" t="inlineStr">
        <is>
          <t>1</t>
        </is>
      </c>
      <c r="H29" t="inlineStr">
        <is>
          <t>No</t>
        </is>
      </c>
      <c r="I29" t="inlineStr">
        <is>
          <t>No</t>
        </is>
      </c>
      <c r="J29" t="inlineStr">
        <is>
          <t>0</t>
        </is>
      </c>
      <c r="K29" t="inlineStr">
        <is>
          <t>Urry, John.</t>
        </is>
      </c>
      <c r="L29" t="inlineStr">
        <is>
          <t>London ; Newbury Park : Sage Publications, 1990.</t>
        </is>
      </c>
      <c r="M29" t="inlineStr">
        <is>
          <t>1990</t>
        </is>
      </c>
      <c r="O29" t="inlineStr">
        <is>
          <t>eng</t>
        </is>
      </c>
      <c r="P29" t="inlineStr">
        <is>
          <t>enk</t>
        </is>
      </c>
      <c r="Q29" t="inlineStr">
        <is>
          <t>Theory, culture &amp; society</t>
        </is>
      </c>
      <c r="R29" t="inlineStr">
        <is>
          <t xml:space="preserve">G  </t>
        </is>
      </c>
      <c r="S29" t="n">
        <v>2</v>
      </c>
      <c r="T29" t="n">
        <v>2</v>
      </c>
      <c r="U29" t="inlineStr">
        <is>
          <t>2007-10-17</t>
        </is>
      </c>
      <c r="V29" t="inlineStr">
        <is>
          <t>2007-10-17</t>
        </is>
      </c>
      <c r="W29" t="inlineStr">
        <is>
          <t>2005-02-01</t>
        </is>
      </c>
      <c r="X29" t="inlineStr">
        <is>
          <t>2005-02-01</t>
        </is>
      </c>
      <c r="Y29" t="n">
        <v>492</v>
      </c>
      <c r="Z29" t="n">
        <v>241</v>
      </c>
      <c r="AA29" t="n">
        <v>575</v>
      </c>
      <c r="AB29" t="n">
        <v>2</v>
      </c>
      <c r="AC29" t="n">
        <v>4</v>
      </c>
      <c r="AD29" t="n">
        <v>10</v>
      </c>
      <c r="AE29" t="n">
        <v>13</v>
      </c>
      <c r="AF29" t="n">
        <v>2</v>
      </c>
      <c r="AG29" t="n">
        <v>3</v>
      </c>
      <c r="AH29" t="n">
        <v>3</v>
      </c>
      <c r="AI29" t="n">
        <v>3</v>
      </c>
      <c r="AJ29" t="n">
        <v>6</v>
      </c>
      <c r="AK29" t="n">
        <v>7</v>
      </c>
      <c r="AL29" t="n">
        <v>1</v>
      </c>
      <c r="AM29" t="n">
        <v>3</v>
      </c>
      <c r="AN29" t="n">
        <v>0</v>
      </c>
      <c r="AO29" t="n">
        <v>0</v>
      </c>
      <c r="AP29" t="inlineStr">
        <is>
          <t>No</t>
        </is>
      </c>
      <c r="AQ29" t="inlineStr">
        <is>
          <t>Yes</t>
        </is>
      </c>
      <c r="AR29">
        <f>HYPERLINK("http://catalog.hathitrust.org/Record/002426446","HathiTrust Record")</f>
        <v/>
      </c>
      <c r="AS29">
        <f>HYPERLINK("https://creighton-primo.hosted.exlibrisgroup.com/primo-explore/search?tab=default_tab&amp;search_scope=EVERYTHING&amp;vid=01CRU&amp;lang=en_US&amp;offset=0&amp;query=any,contains,991004459819702656","Catalog Record")</f>
        <v/>
      </c>
      <c r="AT29">
        <f>HYPERLINK("http://www.worldcat.org/oclc/22732622","WorldCat Record")</f>
        <v/>
      </c>
      <c r="AU29" t="inlineStr">
        <is>
          <t>3901220328:eng</t>
        </is>
      </c>
      <c r="AV29" t="inlineStr">
        <is>
          <t>22732622</t>
        </is>
      </c>
      <c r="AW29" t="inlineStr">
        <is>
          <t>991004459819702656</t>
        </is>
      </c>
      <c r="AX29" t="inlineStr">
        <is>
          <t>991004459819702656</t>
        </is>
      </c>
      <c r="AY29" t="inlineStr">
        <is>
          <t>2270088420002656</t>
        </is>
      </c>
      <c r="AZ29" t="inlineStr">
        <is>
          <t>BOOK</t>
        </is>
      </c>
      <c r="BB29" t="inlineStr">
        <is>
          <t>9780803981829</t>
        </is>
      </c>
      <c r="BC29" t="inlineStr">
        <is>
          <t>32285005024319</t>
        </is>
      </c>
      <c r="BD29" t="inlineStr">
        <is>
          <t>893350015</t>
        </is>
      </c>
    </row>
    <row r="30">
      <c r="A30" t="inlineStr">
        <is>
          <t>No</t>
        </is>
      </c>
      <c r="B30" t="inlineStr">
        <is>
          <t>G155.A1 V333 1998</t>
        </is>
      </c>
      <c r="C30" t="inlineStr">
        <is>
          <t>0                      G  0155000A  1                  V  333         1998</t>
        </is>
      </c>
      <c r="D30" t="inlineStr">
        <is>
          <t>Travel planning online for dummies / by Noah Vadnai.</t>
        </is>
      </c>
      <c r="F30" t="inlineStr">
        <is>
          <t>No</t>
        </is>
      </c>
      <c r="G30" t="inlineStr">
        <is>
          <t>1</t>
        </is>
      </c>
      <c r="H30" t="inlineStr">
        <is>
          <t>No</t>
        </is>
      </c>
      <c r="I30" t="inlineStr">
        <is>
          <t>No</t>
        </is>
      </c>
      <c r="J30" t="inlineStr">
        <is>
          <t>0</t>
        </is>
      </c>
      <c r="K30" t="inlineStr">
        <is>
          <t>Vadnai, Noah.</t>
        </is>
      </c>
      <c r="L30" t="inlineStr">
        <is>
          <t>Foster City, CA : IDG Books Worldwide, c1998.</t>
        </is>
      </c>
      <c r="M30" t="inlineStr">
        <is>
          <t>1998</t>
        </is>
      </c>
      <c r="O30" t="inlineStr">
        <is>
          <t>eng</t>
        </is>
      </c>
      <c r="P30" t="inlineStr">
        <is>
          <t>cau</t>
        </is>
      </c>
      <c r="Q30" t="inlineStr">
        <is>
          <t>--For dummies</t>
        </is>
      </c>
      <c r="R30" t="inlineStr">
        <is>
          <t xml:space="preserve">G  </t>
        </is>
      </c>
      <c r="S30" t="n">
        <v>7</v>
      </c>
      <c r="T30" t="n">
        <v>7</v>
      </c>
      <c r="U30" t="inlineStr">
        <is>
          <t>2004-03-27</t>
        </is>
      </c>
      <c r="V30" t="inlineStr">
        <is>
          <t>2004-03-27</t>
        </is>
      </c>
      <c r="W30" t="inlineStr">
        <is>
          <t>1999-08-04</t>
        </is>
      </c>
      <c r="X30" t="inlineStr">
        <is>
          <t>1999-08-04</t>
        </is>
      </c>
      <c r="Y30" t="n">
        <v>109</v>
      </c>
      <c r="Z30" t="n">
        <v>96</v>
      </c>
      <c r="AA30" t="n">
        <v>154</v>
      </c>
      <c r="AB30" t="n">
        <v>1</v>
      </c>
      <c r="AC30" t="n">
        <v>1</v>
      </c>
      <c r="AD30" t="n">
        <v>2</v>
      </c>
      <c r="AE30" t="n">
        <v>4</v>
      </c>
      <c r="AF30" t="n">
        <v>1</v>
      </c>
      <c r="AG30" t="n">
        <v>3</v>
      </c>
      <c r="AH30" t="n">
        <v>0</v>
      </c>
      <c r="AI30" t="n">
        <v>0</v>
      </c>
      <c r="AJ30" t="n">
        <v>2</v>
      </c>
      <c r="AK30" t="n">
        <v>3</v>
      </c>
      <c r="AL30" t="n">
        <v>0</v>
      </c>
      <c r="AM30" t="n">
        <v>0</v>
      </c>
      <c r="AN30" t="n">
        <v>0</v>
      </c>
      <c r="AO30" t="n">
        <v>0</v>
      </c>
      <c r="AP30" t="inlineStr">
        <is>
          <t>No</t>
        </is>
      </c>
      <c r="AQ30" t="inlineStr">
        <is>
          <t>No</t>
        </is>
      </c>
      <c r="AS30">
        <f>HYPERLINK("https://creighton-primo.hosted.exlibrisgroup.com/primo-explore/search?tab=default_tab&amp;search_scope=EVERYTHING&amp;vid=01CRU&amp;lang=en_US&amp;offset=0&amp;query=any,contains,991004671429702656","Catalog Record")</f>
        <v/>
      </c>
      <c r="AT30">
        <f>HYPERLINK("http://www.worldcat.org/oclc/40343584","WorldCat Record")</f>
        <v/>
      </c>
      <c r="AU30" t="inlineStr">
        <is>
          <t>1073602:eng</t>
        </is>
      </c>
      <c r="AV30" t="inlineStr">
        <is>
          <t>40343584</t>
        </is>
      </c>
      <c r="AW30" t="inlineStr">
        <is>
          <t>991004671429702656</t>
        </is>
      </c>
      <c r="AX30" t="inlineStr">
        <is>
          <t>991004671429702656</t>
        </is>
      </c>
      <c r="AY30" t="inlineStr">
        <is>
          <t>2258657880002656</t>
        </is>
      </c>
      <c r="AZ30" t="inlineStr">
        <is>
          <t>BOOK</t>
        </is>
      </c>
      <c r="BB30" t="inlineStr">
        <is>
          <t>9780764504389</t>
        </is>
      </c>
      <c r="BC30" t="inlineStr">
        <is>
          <t>32285003562211</t>
        </is>
      </c>
      <c r="BD30" t="inlineStr">
        <is>
          <t>893795140</t>
        </is>
      </c>
    </row>
    <row r="31">
      <c r="A31" t="inlineStr">
        <is>
          <t>No</t>
        </is>
      </c>
      <c r="B31" t="inlineStr">
        <is>
          <t>G155.D65 J56 1999</t>
        </is>
      </c>
      <c r="C31" t="inlineStr">
        <is>
          <t>0                      G  0155000D  65                 J  56          1999</t>
        </is>
      </c>
      <c r="D31" t="inlineStr">
        <is>
          <t>El turismo en la República Dominicana : conferencias / Felucho Jiménez.</t>
        </is>
      </c>
      <c r="F31" t="inlineStr">
        <is>
          <t>No</t>
        </is>
      </c>
      <c r="G31" t="inlineStr">
        <is>
          <t>1</t>
        </is>
      </c>
      <c r="H31" t="inlineStr">
        <is>
          <t>No</t>
        </is>
      </c>
      <c r="I31" t="inlineStr">
        <is>
          <t>No</t>
        </is>
      </c>
      <c r="J31" t="inlineStr">
        <is>
          <t>0</t>
        </is>
      </c>
      <c r="K31" t="inlineStr">
        <is>
          <t>Jiménez, Felucho.</t>
        </is>
      </c>
      <c r="L31" t="inlineStr">
        <is>
          <t>Santo Domingo, República Dominicana : F. Jiménez, 1999.</t>
        </is>
      </c>
      <c r="M31" t="inlineStr">
        <is>
          <t>1999</t>
        </is>
      </c>
      <c r="N31" t="inlineStr">
        <is>
          <t>2. ed.</t>
        </is>
      </c>
      <c r="O31" t="inlineStr">
        <is>
          <t>spa</t>
        </is>
      </c>
      <c r="P31" t="inlineStr">
        <is>
          <t xml:space="preserve">dr </t>
        </is>
      </c>
      <c r="R31" t="inlineStr">
        <is>
          <t xml:space="preserve">G  </t>
        </is>
      </c>
      <c r="S31" t="n">
        <v>1</v>
      </c>
      <c r="T31" t="n">
        <v>1</v>
      </c>
      <c r="U31" t="inlineStr">
        <is>
          <t>2009-09-09</t>
        </is>
      </c>
      <c r="V31" t="inlineStr">
        <is>
          <t>2009-09-09</t>
        </is>
      </c>
      <c r="W31" t="inlineStr">
        <is>
          <t>2000-08-29</t>
        </is>
      </c>
      <c r="X31" t="inlineStr">
        <is>
          <t>2000-08-29</t>
        </is>
      </c>
      <c r="Y31" t="n">
        <v>12</v>
      </c>
      <c r="Z31" t="n">
        <v>12</v>
      </c>
      <c r="AA31" t="n">
        <v>12</v>
      </c>
      <c r="AB31" t="n">
        <v>1</v>
      </c>
      <c r="AC31" t="n">
        <v>1</v>
      </c>
      <c r="AD31" t="n">
        <v>1</v>
      </c>
      <c r="AE31" t="n">
        <v>1</v>
      </c>
      <c r="AF31" t="n">
        <v>0</v>
      </c>
      <c r="AG31" t="n">
        <v>0</v>
      </c>
      <c r="AH31" t="n">
        <v>1</v>
      </c>
      <c r="AI31" t="n">
        <v>1</v>
      </c>
      <c r="AJ31" t="n">
        <v>0</v>
      </c>
      <c r="AK31" t="n">
        <v>0</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HYPERLINK("https://creighton-primo.hosted.exlibrisgroup.com/primo-explore/search?tab=default_tab&amp;search_scope=EVERYTHING&amp;vid=01CRU&amp;lang=en_US&amp;offset=0&amp;query=any,contains,991003248209702656","Catalog Record")</f>
        <v/>
      </c>
      <c r="AT31">
        <f>HYPERLINK("http://www.worldcat.org/oclc/44076536","WorldCat Record")</f>
        <v/>
      </c>
      <c r="AU31" t="inlineStr">
        <is>
          <t>475562927:spa</t>
        </is>
      </c>
      <c r="AV31" t="inlineStr">
        <is>
          <t>44076536</t>
        </is>
      </c>
      <c r="AW31" t="inlineStr">
        <is>
          <t>991003248209702656</t>
        </is>
      </c>
      <c r="AX31" t="inlineStr">
        <is>
          <t>991003248209702656</t>
        </is>
      </c>
      <c r="AY31" t="inlineStr">
        <is>
          <t>2267346680002656</t>
        </is>
      </c>
      <c r="AZ31" t="inlineStr">
        <is>
          <t>BOOK</t>
        </is>
      </c>
      <c r="BC31" t="inlineStr">
        <is>
          <t>32285003748976</t>
        </is>
      </c>
      <c r="BD31" t="inlineStr">
        <is>
          <t>893868227</t>
        </is>
      </c>
    </row>
    <row r="32">
      <c r="A32" t="inlineStr">
        <is>
          <t>No</t>
        </is>
      </c>
      <c r="B32" t="inlineStr">
        <is>
          <t>G155.D65 M5 1998</t>
        </is>
      </c>
      <c r="C32" t="inlineStr">
        <is>
          <t>0                      G  0155000D  65                 M  5           1998</t>
        </is>
      </c>
      <c r="D32" t="inlineStr">
        <is>
          <t>Datos para la historia del turismo de la República Dominicana / Angel Miolán.</t>
        </is>
      </c>
      <c r="F32" t="inlineStr">
        <is>
          <t>No</t>
        </is>
      </c>
      <c r="G32" t="inlineStr">
        <is>
          <t>1</t>
        </is>
      </c>
      <c r="H32" t="inlineStr">
        <is>
          <t>No</t>
        </is>
      </c>
      <c r="I32" t="inlineStr">
        <is>
          <t>No</t>
        </is>
      </c>
      <c r="J32" t="inlineStr">
        <is>
          <t>0</t>
        </is>
      </c>
      <c r="K32" t="inlineStr">
        <is>
          <t>Miolán, Ángel.</t>
        </is>
      </c>
      <c r="L32" t="inlineStr">
        <is>
          <t>Santo Domingo, República Dominicana : Editora de Colores, 1998.</t>
        </is>
      </c>
      <c r="M32" t="inlineStr">
        <is>
          <t>1998</t>
        </is>
      </c>
      <c r="O32" t="inlineStr">
        <is>
          <t>spa</t>
        </is>
      </c>
      <c r="P32" t="inlineStr">
        <is>
          <t xml:space="preserve">dr </t>
        </is>
      </c>
      <c r="R32" t="inlineStr">
        <is>
          <t xml:space="preserve">G  </t>
        </is>
      </c>
      <c r="S32" t="n">
        <v>0</v>
      </c>
      <c r="T32" t="n">
        <v>0</v>
      </c>
      <c r="U32" t="inlineStr">
        <is>
          <t>2005-07-14</t>
        </is>
      </c>
      <c r="V32" t="inlineStr">
        <is>
          <t>2005-07-14</t>
        </is>
      </c>
      <c r="W32" t="inlineStr">
        <is>
          <t>1999-06-07</t>
        </is>
      </c>
      <c r="X32" t="inlineStr">
        <is>
          <t>1999-06-07</t>
        </is>
      </c>
      <c r="Y32" t="n">
        <v>15</v>
      </c>
      <c r="Z32" t="n">
        <v>15</v>
      </c>
      <c r="AA32" t="n">
        <v>17</v>
      </c>
      <c r="AB32" t="n">
        <v>1</v>
      </c>
      <c r="AC32" t="n">
        <v>1</v>
      </c>
      <c r="AD32" t="n">
        <v>1</v>
      </c>
      <c r="AE32" t="n">
        <v>1</v>
      </c>
      <c r="AF32" t="n">
        <v>0</v>
      </c>
      <c r="AG32" t="n">
        <v>0</v>
      </c>
      <c r="AH32" t="n">
        <v>1</v>
      </c>
      <c r="AI32" t="n">
        <v>1</v>
      </c>
      <c r="AJ32" t="n">
        <v>0</v>
      </c>
      <c r="AK32" t="n">
        <v>0</v>
      </c>
      <c r="AL32" t="n">
        <v>0</v>
      </c>
      <c r="AM32" t="n">
        <v>0</v>
      </c>
      <c r="AN32" t="n">
        <v>0</v>
      </c>
      <c r="AO32" t="n">
        <v>0</v>
      </c>
      <c r="AP32" t="inlineStr">
        <is>
          <t>No</t>
        </is>
      </c>
      <c r="AQ32" t="inlineStr">
        <is>
          <t>Yes</t>
        </is>
      </c>
      <c r="AR32">
        <f>HYPERLINK("http://catalog.hathitrust.org/Record/004047989","HathiTrust Record")</f>
        <v/>
      </c>
      <c r="AS32">
        <f>HYPERLINK("https://creighton-primo.hosted.exlibrisgroup.com/primo-explore/search?tab=default_tab&amp;search_scope=EVERYTHING&amp;vid=01CRU&amp;lang=en_US&amp;offset=0&amp;query=any,contains,991003020919702656","Catalog Record")</f>
        <v/>
      </c>
      <c r="AT32">
        <f>HYPERLINK("http://www.worldcat.org/oclc/41156603","WorldCat Record")</f>
        <v/>
      </c>
      <c r="AU32" t="inlineStr">
        <is>
          <t>26394769:spa</t>
        </is>
      </c>
      <c r="AV32" t="inlineStr">
        <is>
          <t>41156603</t>
        </is>
      </c>
      <c r="AW32" t="inlineStr">
        <is>
          <t>991003020919702656</t>
        </is>
      </c>
      <c r="AX32" t="inlineStr">
        <is>
          <t>991003020919702656</t>
        </is>
      </c>
      <c r="AY32" t="inlineStr">
        <is>
          <t>2261615800002656</t>
        </is>
      </c>
      <c r="AZ32" t="inlineStr">
        <is>
          <t>BOOK</t>
        </is>
      </c>
      <c r="BB32" t="inlineStr">
        <is>
          <t>9788489539860</t>
        </is>
      </c>
      <c r="BC32" t="inlineStr">
        <is>
          <t>32285003573515</t>
        </is>
      </c>
      <c r="BD32" t="inlineStr">
        <is>
          <t>893409830</t>
        </is>
      </c>
    </row>
    <row r="33">
      <c r="A33" t="inlineStr">
        <is>
          <t>No</t>
        </is>
      </c>
      <c r="B33" t="inlineStr">
        <is>
          <t>G155.H6 S76 2000</t>
        </is>
      </c>
      <c r="C33" t="inlineStr">
        <is>
          <t>0                      G  0155000H  6                  S  76          2000</t>
        </is>
      </c>
      <c r="D33" t="inlineStr">
        <is>
          <t>The other side of paradise : tourism, conservation, and development in the Bay Islands / Susan C. Stonich.</t>
        </is>
      </c>
      <c r="F33" t="inlineStr">
        <is>
          <t>No</t>
        </is>
      </c>
      <c r="G33" t="inlineStr">
        <is>
          <t>1</t>
        </is>
      </c>
      <c r="H33" t="inlineStr">
        <is>
          <t>No</t>
        </is>
      </c>
      <c r="I33" t="inlineStr">
        <is>
          <t>No</t>
        </is>
      </c>
      <c r="J33" t="inlineStr">
        <is>
          <t>0</t>
        </is>
      </c>
      <c r="K33" t="inlineStr">
        <is>
          <t>Stonich, Susan C.</t>
        </is>
      </c>
      <c r="L33" t="inlineStr">
        <is>
          <t>New York : Cognizant Communication Corp., c2000.</t>
        </is>
      </c>
      <c r="M33" t="inlineStr">
        <is>
          <t>2000</t>
        </is>
      </c>
      <c r="O33" t="inlineStr">
        <is>
          <t>eng</t>
        </is>
      </c>
      <c r="P33" t="inlineStr">
        <is>
          <t>nyu</t>
        </is>
      </c>
      <c r="Q33" t="inlineStr">
        <is>
          <t>Tourism dynamics</t>
        </is>
      </c>
      <c r="R33" t="inlineStr">
        <is>
          <t xml:space="preserve">G  </t>
        </is>
      </c>
      <c r="S33" t="n">
        <v>4</v>
      </c>
      <c r="T33" t="n">
        <v>4</v>
      </c>
      <c r="U33" t="inlineStr">
        <is>
          <t>2003-03-07</t>
        </is>
      </c>
      <c r="V33" t="inlineStr">
        <is>
          <t>2003-03-07</t>
        </is>
      </c>
      <c r="W33" t="inlineStr">
        <is>
          <t>2001-01-04</t>
        </is>
      </c>
      <c r="X33" t="inlineStr">
        <is>
          <t>2001-01-04</t>
        </is>
      </c>
      <c r="Y33" t="n">
        <v>170</v>
      </c>
      <c r="Z33" t="n">
        <v>113</v>
      </c>
      <c r="AA33" t="n">
        <v>113</v>
      </c>
      <c r="AB33" t="n">
        <v>1</v>
      </c>
      <c r="AC33" t="n">
        <v>1</v>
      </c>
      <c r="AD33" t="n">
        <v>3</v>
      </c>
      <c r="AE33" t="n">
        <v>3</v>
      </c>
      <c r="AF33" t="n">
        <v>1</v>
      </c>
      <c r="AG33" t="n">
        <v>1</v>
      </c>
      <c r="AH33" t="n">
        <v>0</v>
      </c>
      <c r="AI33" t="n">
        <v>0</v>
      </c>
      <c r="AJ33" t="n">
        <v>2</v>
      </c>
      <c r="AK33" t="n">
        <v>2</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HYPERLINK("https://creighton-primo.hosted.exlibrisgroup.com/primo-explore/search?tab=default_tab&amp;search_scope=EVERYTHING&amp;vid=01CRU&amp;lang=en_US&amp;offset=0&amp;query=any,contains,991003321949702656","Catalog Record")</f>
        <v/>
      </c>
      <c r="AT33">
        <f>HYPERLINK("http://www.worldcat.org/oclc/42736362","WorldCat Record")</f>
        <v/>
      </c>
      <c r="AU33" t="inlineStr">
        <is>
          <t>20889119:eng</t>
        </is>
      </c>
      <c r="AV33" t="inlineStr">
        <is>
          <t>42736362</t>
        </is>
      </c>
      <c r="AW33" t="inlineStr">
        <is>
          <t>991003321949702656</t>
        </is>
      </c>
      <c r="AX33" t="inlineStr">
        <is>
          <t>991003321949702656</t>
        </is>
      </c>
      <c r="AY33" t="inlineStr">
        <is>
          <t>2258975600002656</t>
        </is>
      </c>
      <c r="AZ33" t="inlineStr">
        <is>
          <t>BOOK</t>
        </is>
      </c>
      <c r="BB33" t="inlineStr">
        <is>
          <t>9781882345304</t>
        </is>
      </c>
      <c r="BC33" t="inlineStr">
        <is>
          <t>32285004279526</t>
        </is>
      </c>
      <c r="BD33" t="inlineStr">
        <is>
          <t>893336372</t>
        </is>
      </c>
    </row>
    <row r="34">
      <c r="A34" t="inlineStr">
        <is>
          <t>No</t>
        </is>
      </c>
      <c r="B34" t="inlineStr">
        <is>
          <t>G155.I4 V37 2008</t>
        </is>
      </c>
      <c r="C34" t="inlineStr">
        <is>
          <t>0                      G  0155000I  4                  V  37          2008</t>
        </is>
      </c>
      <c r="D34" t="inlineStr">
        <is>
          <t>A place within : rediscovering India / M.G. Vassanji.</t>
        </is>
      </c>
      <c r="F34" t="inlineStr">
        <is>
          <t>No</t>
        </is>
      </c>
      <c r="G34" t="inlineStr">
        <is>
          <t>1</t>
        </is>
      </c>
      <c r="H34" t="inlineStr">
        <is>
          <t>No</t>
        </is>
      </c>
      <c r="I34" t="inlineStr">
        <is>
          <t>No</t>
        </is>
      </c>
      <c r="J34" t="inlineStr">
        <is>
          <t>0</t>
        </is>
      </c>
      <c r="K34" t="inlineStr">
        <is>
          <t>Vassanji, M. G.</t>
        </is>
      </c>
      <c r="L34" t="inlineStr">
        <is>
          <t>Toronto : Doubleday Canada, c2008.</t>
        </is>
      </c>
      <c r="M34" t="inlineStr">
        <is>
          <t>2008</t>
        </is>
      </c>
      <c r="O34" t="inlineStr">
        <is>
          <t>eng</t>
        </is>
      </c>
      <c r="P34" t="inlineStr">
        <is>
          <t>onc</t>
        </is>
      </c>
      <c r="R34" t="inlineStr">
        <is>
          <t xml:space="preserve">G  </t>
        </is>
      </c>
      <c r="S34" t="n">
        <v>2</v>
      </c>
      <c r="T34" t="n">
        <v>2</v>
      </c>
      <c r="U34" t="inlineStr">
        <is>
          <t>2010-03-23</t>
        </is>
      </c>
      <c r="V34" t="inlineStr">
        <is>
          <t>2010-03-23</t>
        </is>
      </c>
      <c r="W34" t="inlineStr">
        <is>
          <t>2010-01-14</t>
        </is>
      </c>
      <c r="X34" t="inlineStr">
        <is>
          <t>2010-01-14</t>
        </is>
      </c>
      <c r="Y34" t="n">
        <v>154</v>
      </c>
      <c r="Z34" t="n">
        <v>69</v>
      </c>
      <c r="AA34" t="n">
        <v>111</v>
      </c>
      <c r="AB34" t="n">
        <v>1</v>
      </c>
      <c r="AC34" t="n">
        <v>1</v>
      </c>
      <c r="AD34" t="n">
        <v>6</v>
      </c>
      <c r="AE34" t="n">
        <v>7</v>
      </c>
      <c r="AF34" t="n">
        <v>2</v>
      </c>
      <c r="AG34" t="n">
        <v>2</v>
      </c>
      <c r="AH34" t="n">
        <v>3</v>
      </c>
      <c r="AI34" t="n">
        <v>3</v>
      </c>
      <c r="AJ34" t="n">
        <v>4</v>
      </c>
      <c r="AK34" t="n">
        <v>5</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HYPERLINK("https://creighton-primo.hosted.exlibrisgroup.com/primo-explore/search?tab=default_tab&amp;search_scope=EVERYTHING&amp;vid=01CRU&amp;lang=en_US&amp;offset=0&amp;query=any,contains,991005351269702656","Catalog Record")</f>
        <v/>
      </c>
      <c r="AT34">
        <f>HYPERLINK("http://www.worldcat.org/oclc/243916536","WorldCat Record")</f>
        <v/>
      </c>
      <c r="AU34" t="inlineStr">
        <is>
          <t>364867581:eng</t>
        </is>
      </c>
      <c r="AV34" t="inlineStr">
        <is>
          <t>243916536</t>
        </is>
      </c>
      <c r="AW34" t="inlineStr">
        <is>
          <t>991005351269702656</t>
        </is>
      </c>
      <c r="AX34" t="inlineStr">
        <is>
          <t>991005351269702656</t>
        </is>
      </c>
      <c r="AY34" t="inlineStr">
        <is>
          <t>2256760980002656</t>
        </is>
      </c>
      <c r="AZ34" t="inlineStr">
        <is>
          <t>BOOK</t>
        </is>
      </c>
      <c r="BB34" t="inlineStr">
        <is>
          <t>9780385661782</t>
        </is>
      </c>
      <c r="BC34" t="inlineStr">
        <is>
          <t>32285005557235</t>
        </is>
      </c>
      <c r="BD34" t="inlineStr">
        <is>
          <t>893424949</t>
        </is>
      </c>
    </row>
    <row r="35">
      <c r="A35" t="inlineStr">
        <is>
          <t>No</t>
        </is>
      </c>
      <c r="B35" t="inlineStr">
        <is>
          <t>G155.I7 T68 1993</t>
        </is>
      </c>
      <c r="C35" t="inlineStr">
        <is>
          <t>0                      G  0155000I  7                  T  68          1993</t>
        </is>
      </c>
      <c r="D35" t="inlineStr">
        <is>
          <t>Tourism in Ireland : a critical analysis / edited by Barbara O'Connor, Michael Cronin.</t>
        </is>
      </c>
      <c r="F35" t="inlineStr">
        <is>
          <t>No</t>
        </is>
      </c>
      <c r="G35" t="inlineStr">
        <is>
          <t>1</t>
        </is>
      </c>
      <c r="H35" t="inlineStr">
        <is>
          <t>No</t>
        </is>
      </c>
      <c r="I35" t="inlineStr">
        <is>
          <t>No</t>
        </is>
      </c>
      <c r="J35" t="inlineStr">
        <is>
          <t>0</t>
        </is>
      </c>
      <c r="L35" t="inlineStr">
        <is>
          <t>Cork : Cork University Press, 1993.</t>
        </is>
      </c>
      <c r="M35" t="inlineStr">
        <is>
          <t>1993</t>
        </is>
      </c>
      <c r="O35" t="inlineStr">
        <is>
          <t>eng</t>
        </is>
      </c>
      <c r="P35" t="inlineStr">
        <is>
          <t xml:space="preserve">ie </t>
        </is>
      </c>
      <c r="R35" t="inlineStr">
        <is>
          <t xml:space="preserve">G  </t>
        </is>
      </c>
      <c r="S35" t="n">
        <v>1</v>
      </c>
      <c r="T35" t="n">
        <v>1</v>
      </c>
      <c r="U35" t="inlineStr">
        <is>
          <t>2008-10-14</t>
        </is>
      </c>
      <c r="V35" t="inlineStr">
        <is>
          <t>2008-10-14</t>
        </is>
      </c>
      <c r="W35" t="inlineStr">
        <is>
          <t>1994-01-13</t>
        </is>
      </c>
      <c r="X35" t="inlineStr">
        <is>
          <t>1994-01-13</t>
        </is>
      </c>
      <c r="Y35" t="n">
        <v>101</v>
      </c>
      <c r="Z35" t="n">
        <v>42</v>
      </c>
      <c r="AA35" t="n">
        <v>42</v>
      </c>
      <c r="AB35" t="n">
        <v>1</v>
      </c>
      <c r="AC35" t="n">
        <v>1</v>
      </c>
      <c r="AD35" t="n">
        <v>2</v>
      </c>
      <c r="AE35" t="n">
        <v>2</v>
      </c>
      <c r="AF35" t="n">
        <v>0</v>
      </c>
      <c r="AG35" t="n">
        <v>0</v>
      </c>
      <c r="AH35" t="n">
        <v>1</v>
      </c>
      <c r="AI35" t="n">
        <v>1</v>
      </c>
      <c r="AJ35" t="n">
        <v>1</v>
      </c>
      <c r="AK35" t="n">
        <v>1</v>
      </c>
      <c r="AL35" t="n">
        <v>0</v>
      </c>
      <c r="AM35" t="n">
        <v>0</v>
      </c>
      <c r="AN35" t="n">
        <v>0</v>
      </c>
      <c r="AO35" t="n">
        <v>0</v>
      </c>
      <c r="AP35" t="inlineStr">
        <is>
          <t>No</t>
        </is>
      </c>
      <c r="AQ35" t="inlineStr">
        <is>
          <t>No</t>
        </is>
      </c>
      <c r="AS35">
        <f>HYPERLINK("https://creighton-primo.hosted.exlibrisgroup.com/primo-explore/search?tab=default_tab&amp;search_scope=EVERYTHING&amp;vid=01CRU&amp;lang=en_US&amp;offset=0&amp;query=any,contains,991002255579702656","Catalog Record")</f>
        <v/>
      </c>
      <c r="AT35">
        <f>HYPERLINK("http://www.worldcat.org/oclc/29847948","WorldCat Record")</f>
        <v/>
      </c>
      <c r="AU35" t="inlineStr">
        <is>
          <t>836747407:eng</t>
        </is>
      </c>
      <c r="AV35" t="inlineStr">
        <is>
          <t>29847948</t>
        </is>
      </c>
      <c r="AW35" t="inlineStr">
        <is>
          <t>991002255579702656</t>
        </is>
      </c>
      <c r="AX35" t="inlineStr">
        <is>
          <t>991002255579702656</t>
        </is>
      </c>
      <c r="AY35" t="inlineStr">
        <is>
          <t>2265598950002656</t>
        </is>
      </c>
      <c r="AZ35" t="inlineStr">
        <is>
          <t>BOOK</t>
        </is>
      </c>
      <c r="BB35" t="inlineStr">
        <is>
          <t>9780902561618</t>
        </is>
      </c>
      <c r="BC35" t="inlineStr">
        <is>
          <t>32285001831329</t>
        </is>
      </c>
      <c r="BD35" t="inlineStr">
        <is>
          <t>893710059</t>
        </is>
      </c>
    </row>
    <row r="36">
      <c r="A36" t="inlineStr">
        <is>
          <t>No</t>
        </is>
      </c>
      <c r="B36" t="inlineStr">
        <is>
          <t>G155.M6 B47 2006</t>
        </is>
      </c>
      <c r="C36" t="inlineStr">
        <is>
          <t>0                      G  0155000M  6                  B  47          2006</t>
        </is>
      </c>
      <c r="D36" t="inlineStr">
        <is>
          <t>The development of Mexico's tourism industry : pyramids by day, martinis by night / Dina Berger.</t>
        </is>
      </c>
      <c r="F36" t="inlineStr">
        <is>
          <t>No</t>
        </is>
      </c>
      <c r="G36" t="inlineStr">
        <is>
          <t>1</t>
        </is>
      </c>
      <c r="H36" t="inlineStr">
        <is>
          <t>No</t>
        </is>
      </c>
      <c r="I36" t="inlineStr">
        <is>
          <t>No</t>
        </is>
      </c>
      <c r="J36" t="inlineStr">
        <is>
          <t>0</t>
        </is>
      </c>
      <c r="K36" t="inlineStr">
        <is>
          <t>Berger, Dina.</t>
        </is>
      </c>
      <c r="L36" t="inlineStr">
        <is>
          <t>New York : Palgrave Macmillan, 2006.</t>
        </is>
      </c>
      <c r="M36" t="inlineStr">
        <is>
          <t>2006</t>
        </is>
      </c>
      <c r="N36" t="inlineStr">
        <is>
          <t>1st ed.</t>
        </is>
      </c>
      <c r="O36" t="inlineStr">
        <is>
          <t>eng</t>
        </is>
      </c>
      <c r="P36" t="inlineStr">
        <is>
          <t>nyu</t>
        </is>
      </c>
      <c r="R36" t="inlineStr">
        <is>
          <t xml:space="preserve">G  </t>
        </is>
      </c>
      <c r="S36" t="n">
        <v>1</v>
      </c>
      <c r="T36" t="n">
        <v>1</v>
      </c>
      <c r="U36" t="inlineStr">
        <is>
          <t>2010-07-20</t>
        </is>
      </c>
      <c r="V36" t="inlineStr">
        <is>
          <t>2010-07-20</t>
        </is>
      </c>
      <c r="W36" t="inlineStr">
        <is>
          <t>2007-01-04</t>
        </is>
      </c>
      <c r="X36" t="inlineStr">
        <is>
          <t>2007-01-04</t>
        </is>
      </c>
      <c r="Y36" t="n">
        <v>328</v>
      </c>
      <c r="Z36" t="n">
        <v>263</v>
      </c>
      <c r="AA36" t="n">
        <v>633</v>
      </c>
      <c r="AB36" t="n">
        <v>3</v>
      </c>
      <c r="AC36" t="n">
        <v>7</v>
      </c>
      <c r="AD36" t="n">
        <v>14</v>
      </c>
      <c r="AE36" t="n">
        <v>31</v>
      </c>
      <c r="AF36" t="n">
        <v>5</v>
      </c>
      <c r="AG36" t="n">
        <v>12</v>
      </c>
      <c r="AH36" t="n">
        <v>4</v>
      </c>
      <c r="AI36" t="n">
        <v>7</v>
      </c>
      <c r="AJ36" t="n">
        <v>6</v>
      </c>
      <c r="AK36" t="n">
        <v>11</v>
      </c>
      <c r="AL36" t="n">
        <v>2</v>
      </c>
      <c r="AM36" t="n">
        <v>6</v>
      </c>
      <c r="AN36" t="n">
        <v>0</v>
      </c>
      <c r="AO36" t="n">
        <v>1</v>
      </c>
      <c r="AP36" t="inlineStr">
        <is>
          <t>No</t>
        </is>
      </c>
      <c r="AQ36" t="inlineStr">
        <is>
          <t>No</t>
        </is>
      </c>
      <c r="AS36">
        <f>HYPERLINK("https://creighton-primo.hosted.exlibrisgroup.com/primo-explore/search?tab=default_tab&amp;search_scope=EVERYTHING&amp;vid=01CRU&amp;lang=en_US&amp;offset=0&amp;query=any,contains,991004991479702656","Catalog Record")</f>
        <v/>
      </c>
      <c r="AT36">
        <f>HYPERLINK("http://www.worldcat.org/oclc/62762331","WorldCat Record")</f>
        <v/>
      </c>
      <c r="AU36" t="inlineStr">
        <is>
          <t>793997563:eng</t>
        </is>
      </c>
      <c r="AV36" t="inlineStr">
        <is>
          <t>62762331</t>
        </is>
      </c>
      <c r="AW36" t="inlineStr">
        <is>
          <t>991004991479702656</t>
        </is>
      </c>
      <c r="AX36" t="inlineStr">
        <is>
          <t>991004991479702656</t>
        </is>
      </c>
      <c r="AY36" t="inlineStr">
        <is>
          <t>2259084170002656</t>
        </is>
      </c>
      <c r="AZ36" t="inlineStr">
        <is>
          <t>BOOK</t>
        </is>
      </c>
      <c r="BB36" t="inlineStr">
        <is>
          <t>9781403966353</t>
        </is>
      </c>
      <c r="BC36" t="inlineStr">
        <is>
          <t>32285005268593</t>
        </is>
      </c>
      <c r="BD36" t="inlineStr">
        <is>
          <t>893870332</t>
        </is>
      </c>
    </row>
    <row r="37">
      <c r="A37" t="inlineStr">
        <is>
          <t>No</t>
        </is>
      </c>
      <c r="B37" t="inlineStr">
        <is>
          <t>G156 .E37 2004</t>
        </is>
      </c>
      <c r="C37" t="inlineStr">
        <is>
          <t>0                      G  0156000E  37          2004</t>
        </is>
      </c>
      <c r="D37" t="inlineStr">
        <is>
          <t>Eastward bound : travel and travellers, 1050-1550 / edited by Rosamund Allen.</t>
        </is>
      </c>
      <c r="F37" t="inlineStr">
        <is>
          <t>No</t>
        </is>
      </c>
      <c r="G37" t="inlineStr">
        <is>
          <t>1</t>
        </is>
      </c>
      <c r="H37" t="inlineStr">
        <is>
          <t>No</t>
        </is>
      </c>
      <c r="I37" t="inlineStr">
        <is>
          <t>No</t>
        </is>
      </c>
      <c r="J37" t="inlineStr">
        <is>
          <t>0</t>
        </is>
      </c>
      <c r="L37" t="inlineStr">
        <is>
          <t>Manchester : Manchester University Press, 2004.</t>
        </is>
      </c>
      <c r="M37" t="inlineStr">
        <is>
          <t>2004</t>
        </is>
      </c>
      <c r="O37" t="inlineStr">
        <is>
          <t>eng</t>
        </is>
      </c>
      <c r="P37" t="inlineStr">
        <is>
          <t>enk</t>
        </is>
      </c>
      <c r="R37" t="inlineStr">
        <is>
          <t xml:space="preserve">G  </t>
        </is>
      </c>
      <c r="S37" t="n">
        <v>1</v>
      </c>
      <c r="T37" t="n">
        <v>1</v>
      </c>
      <c r="U37" t="inlineStr">
        <is>
          <t>2006-04-25</t>
        </is>
      </c>
      <c r="V37" t="inlineStr">
        <is>
          <t>2006-04-25</t>
        </is>
      </c>
      <c r="W37" t="inlineStr">
        <is>
          <t>2006-04-25</t>
        </is>
      </c>
      <c r="X37" t="inlineStr">
        <is>
          <t>2006-04-25</t>
        </is>
      </c>
      <c r="Y37" t="n">
        <v>267</v>
      </c>
      <c r="Z37" t="n">
        <v>168</v>
      </c>
      <c r="AA37" t="n">
        <v>170</v>
      </c>
      <c r="AB37" t="n">
        <v>2</v>
      </c>
      <c r="AC37" t="n">
        <v>2</v>
      </c>
      <c r="AD37" t="n">
        <v>11</v>
      </c>
      <c r="AE37" t="n">
        <v>11</v>
      </c>
      <c r="AF37" t="n">
        <v>2</v>
      </c>
      <c r="AG37" t="n">
        <v>2</v>
      </c>
      <c r="AH37" t="n">
        <v>5</v>
      </c>
      <c r="AI37" t="n">
        <v>5</v>
      </c>
      <c r="AJ37" t="n">
        <v>8</v>
      </c>
      <c r="AK37" t="n">
        <v>8</v>
      </c>
      <c r="AL37" t="n">
        <v>1</v>
      </c>
      <c r="AM37" t="n">
        <v>1</v>
      </c>
      <c r="AN37" t="n">
        <v>0</v>
      </c>
      <c r="AO37" t="n">
        <v>0</v>
      </c>
      <c r="AP37" t="inlineStr">
        <is>
          <t>No</t>
        </is>
      </c>
      <c r="AQ37" t="inlineStr">
        <is>
          <t>Yes</t>
        </is>
      </c>
      <c r="AR37">
        <f>HYPERLINK("http://catalog.hathitrust.org/Record/004954720","HathiTrust Record")</f>
        <v/>
      </c>
      <c r="AS37">
        <f>HYPERLINK("https://creighton-primo.hosted.exlibrisgroup.com/primo-explore/search?tab=default_tab&amp;search_scope=EVERYTHING&amp;vid=01CRU&amp;lang=en_US&amp;offset=0&amp;query=any,contains,991004789729702656","Catalog Record")</f>
        <v/>
      </c>
      <c r="AT37">
        <f>HYPERLINK("http://www.worldcat.org/oclc/56468022","WorldCat Record")</f>
        <v/>
      </c>
      <c r="AU37" t="inlineStr">
        <is>
          <t>892338159:eng</t>
        </is>
      </c>
      <c r="AV37" t="inlineStr">
        <is>
          <t>56468022</t>
        </is>
      </c>
      <c r="AW37" t="inlineStr">
        <is>
          <t>991004789729702656</t>
        </is>
      </c>
      <c r="AX37" t="inlineStr">
        <is>
          <t>991004789729702656</t>
        </is>
      </c>
      <c r="AY37" t="inlineStr">
        <is>
          <t>2268736620002656</t>
        </is>
      </c>
      <c r="AZ37" t="inlineStr">
        <is>
          <t>BOOK</t>
        </is>
      </c>
      <c r="BB37" t="inlineStr">
        <is>
          <t>9780719066900</t>
        </is>
      </c>
      <c r="BC37" t="inlineStr">
        <is>
          <t>32285005181911</t>
        </is>
      </c>
      <c r="BD37" t="inlineStr">
        <is>
          <t>893430496</t>
        </is>
      </c>
    </row>
    <row r="38">
      <c r="A38" t="inlineStr">
        <is>
          <t>No</t>
        </is>
      </c>
      <c r="B38" t="inlineStr">
        <is>
          <t>G156.5.E26 E36 1999</t>
        </is>
      </c>
      <c r="C38" t="inlineStr">
        <is>
          <t>0                      G  0156500E  26                 E  36          1999</t>
        </is>
      </c>
      <c r="D38" t="inlineStr">
        <is>
          <t>Ecoturismo y desarrollo sostenible : en República Dominicana, el Caribe y el mundo / bajo la dirección de José Serulle Ramia.</t>
        </is>
      </c>
      <c r="F38" t="inlineStr">
        <is>
          <t>No</t>
        </is>
      </c>
      <c r="G38" t="inlineStr">
        <is>
          <t>1</t>
        </is>
      </c>
      <c r="H38" t="inlineStr">
        <is>
          <t>No</t>
        </is>
      </c>
      <c r="I38" t="inlineStr">
        <is>
          <t>No</t>
        </is>
      </c>
      <c r="J38" t="inlineStr">
        <is>
          <t>0</t>
        </is>
      </c>
      <c r="L38" t="inlineStr">
        <is>
          <t>Santo Domingo : Ediciones de la Fundacion Ciencia y Arte, 1999.</t>
        </is>
      </c>
      <c r="M38" t="inlineStr">
        <is>
          <t>1999</t>
        </is>
      </c>
      <c r="N38" t="inlineStr">
        <is>
          <t>1. ed.</t>
        </is>
      </c>
      <c r="O38" t="inlineStr">
        <is>
          <t>spa</t>
        </is>
      </c>
      <c r="P38" t="inlineStr">
        <is>
          <t xml:space="preserve">dr </t>
        </is>
      </c>
      <c r="Q38" t="inlineStr">
        <is>
          <t>Colección Desarrollo integral ; no. 3</t>
        </is>
      </c>
      <c r="R38" t="inlineStr">
        <is>
          <t xml:space="preserve">G  </t>
        </is>
      </c>
      <c r="S38" t="n">
        <v>3</v>
      </c>
      <c r="T38" t="n">
        <v>3</v>
      </c>
      <c r="U38" t="inlineStr">
        <is>
          <t>2002-12-09</t>
        </is>
      </c>
      <c r="V38" t="inlineStr">
        <is>
          <t>2002-12-09</t>
        </is>
      </c>
      <c r="W38" t="inlineStr">
        <is>
          <t>2000-08-15</t>
        </is>
      </c>
      <c r="X38" t="inlineStr">
        <is>
          <t>2000-08-15</t>
        </is>
      </c>
      <c r="Y38" t="n">
        <v>14</v>
      </c>
      <c r="Z38" t="n">
        <v>13</v>
      </c>
      <c r="AA38" t="n">
        <v>15</v>
      </c>
      <c r="AB38" t="n">
        <v>1</v>
      </c>
      <c r="AC38" t="n">
        <v>1</v>
      </c>
      <c r="AD38" t="n">
        <v>1</v>
      </c>
      <c r="AE38" t="n">
        <v>1</v>
      </c>
      <c r="AF38" t="n">
        <v>0</v>
      </c>
      <c r="AG38" t="n">
        <v>0</v>
      </c>
      <c r="AH38" t="n">
        <v>1</v>
      </c>
      <c r="AI38" t="n">
        <v>1</v>
      </c>
      <c r="AJ38" t="n">
        <v>0</v>
      </c>
      <c r="AK38" t="n">
        <v>0</v>
      </c>
      <c r="AL38" t="n">
        <v>0</v>
      </c>
      <c r="AM38" t="n">
        <v>0</v>
      </c>
      <c r="AN38" t="n">
        <v>0</v>
      </c>
      <c r="AO38" t="n">
        <v>0</v>
      </c>
      <c r="AP38" t="inlineStr">
        <is>
          <t>No</t>
        </is>
      </c>
      <c r="AQ38" t="inlineStr">
        <is>
          <t>Yes</t>
        </is>
      </c>
      <c r="AR38">
        <f>HYPERLINK("http://catalog.hathitrust.org/Record/004123857","HathiTrust Record")</f>
        <v/>
      </c>
      <c r="AS38">
        <f>HYPERLINK("https://creighton-primo.hosted.exlibrisgroup.com/primo-explore/search?tab=default_tab&amp;search_scope=EVERYTHING&amp;vid=01CRU&amp;lang=en_US&amp;offset=0&amp;query=any,contains,991003246799702656","Catalog Record")</f>
        <v/>
      </c>
      <c r="AT38">
        <f>HYPERLINK("http://www.worldcat.org/oclc/42811027","WorldCat Record")</f>
        <v/>
      </c>
      <c r="AU38" t="inlineStr">
        <is>
          <t>27742995:spa</t>
        </is>
      </c>
      <c r="AV38" t="inlineStr">
        <is>
          <t>42811027</t>
        </is>
      </c>
      <c r="AW38" t="inlineStr">
        <is>
          <t>991003246799702656</t>
        </is>
      </c>
      <c r="AX38" t="inlineStr">
        <is>
          <t>991003246799702656</t>
        </is>
      </c>
      <c r="AY38" t="inlineStr">
        <is>
          <t>2263843310002656</t>
        </is>
      </c>
      <c r="AZ38" t="inlineStr">
        <is>
          <t>BOOK</t>
        </is>
      </c>
      <c r="BB38" t="inlineStr">
        <is>
          <t>9788492242429</t>
        </is>
      </c>
      <c r="BC38" t="inlineStr">
        <is>
          <t>32285003757662</t>
        </is>
      </c>
      <c r="BD38" t="inlineStr">
        <is>
          <t>893627512</t>
        </is>
      </c>
    </row>
    <row r="39">
      <c r="A39" t="inlineStr">
        <is>
          <t>No</t>
        </is>
      </c>
      <c r="B39" t="inlineStr">
        <is>
          <t>G156.5.E26 M37 2001</t>
        </is>
      </c>
      <c r="C39" t="inlineStr">
        <is>
          <t>0                      G  0156500E  26                 M  37          2001</t>
        </is>
      </c>
      <c r="D39" t="inlineStr">
        <is>
          <t>Traveling light : new paths for international tourism / Lisa Mastny ; Jane A. Peterson, editor.</t>
        </is>
      </c>
      <c r="F39" t="inlineStr">
        <is>
          <t>No</t>
        </is>
      </c>
      <c r="G39" t="inlineStr">
        <is>
          <t>1</t>
        </is>
      </c>
      <c r="H39" t="inlineStr">
        <is>
          <t>No</t>
        </is>
      </c>
      <c r="I39" t="inlineStr">
        <is>
          <t>No</t>
        </is>
      </c>
      <c r="J39" t="inlineStr">
        <is>
          <t>0</t>
        </is>
      </c>
      <c r="K39" t="inlineStr">
        <is>
          <t>Mastny, Lisa.</t>
        </is>
      </c>
      <c r="L39" t="inlineStr">
        <is>
          <t>Washington, DC : Worldwatch Institute, c2001.</t>
        </is>
      </c>
      <c r="M39" t="inlineStr">
        <is>
          <t>2001</t>
        </is>
      </c>
      <c r="O39" t="inlineStr">
        <is>
          <t>eng</t>
        </is>
      </c>
      <c r="P39" t="inlineStr">
        <is>
          <t>dcu</t>
        </is>
      </c>
      <c r="Q39" t="inlineStr">
        <is>
          <t>Worldwatch paper ; 159</t>
        </is>
      </c>
      <c r="R39" t="inlineStr">
        <is>
          <t xml:space="preserve">G  </t>
        </is>
      </c>
      <c r="S39" t="n">
        <v>4</v>
      </c>
      <c r="T39" t="n">
        <v>4</v>
      </c>
      <c r="U39" t="inlineStr">
        <is>
          <t>2007-11-11</t>
        </is>
      </c>
      <c r="V39" t="inlineStr">
        <is>
          <t>2007-11-11</t>
        </is>
      </c>
      <c r="W39" t="inlineStr">
        <is>
          <t>2002-07-25</t>
        </is>
      </c>
      <c r="X39" t="inlineStr">
        <is>
          <t>2002-07-25</t>
        </is>
      </c>
      <c r="Y39" t="n">
        <v>477</v>
      </c>
      <c r="Z39" t="n">
        <v>415</v>
      </c>
      <c r="AA39" t="n">
        <v>425</v>
      </c>
      <c r="AB39" t="n">
        <v>4</v>
      </c>
      <c r="AC39" t="n">
        <v>4</v>
      </c>
      <c r="AD39" t="n">
        <v>18</v>
      </c>
      <c r="AE39" t="n">
        <v>18</v>
      </c>
      <c r="AF39" t="n">
        <v>5</v>
      </c>
      <c r="AG39" t="n">
        <v>5</v>
      </c>
      <c r="AH39" t="n">
        <v>4</v>
      </c>
      <c r="AI39" t="n">
        <v>4</v>
      </c>
      <c r="AJ39" t="n">
        <v>9</v>
      </c>
      <c r="AK39" t="n">
        <v>9</v>
      </c>
      <c r="AL39" t="n">
        <v>3</v>
      </c>
      <c r="AM39" t="n">
        <v>3</v>
      </c>
      <c r="AN39" t="n">
        <v>1</v>
      </c>
      <c r="AO39" t="n">
        <v>1</v>
      </c>
      <c r="AP39" t="inlineStr">
        <is>
          <t>No</t>
        </is>
      </c>
      <c r="AQ39" t="inlineStr">
        <is>
          <t>Yes</t>
        </is>
      </c>
      <c r="AR39">
        <f>HYPERLINK("http://catalog.hathitrust.org/Record/003618671","HathiTrust Record")</f>
        <v/>
      </c>
      <c r="AS39">
        <f>HYPERLINK("https://creighton-primo.hosted.exlibrisgroup.com/primo-explore/search?tab=default_tab&amp;search_scope=EVERYTHING&amp;vid=01CRU&amp;lang=en_US&amp;offset=0&amp;query=any,contains,991003833149702656","Catalog Record")</f>
        <v/>
      </c>
      <c r="AT39">
        <f>HYPERLINK("http://www.worldcat.org/oclc/48657434","WorldCat Record")</f>
        <v/>
      </c>
      <c r="AU39" t="inlineStr">
        <is>
          <t>37637718:eng</t>
        </is>
      </c>
      <c r="AV39" t="inlineStr">
        <is>
          <t>48657434</t>
        </is>
      </c>
      <c r="AW39" t="inlineStr">
        <is>
          <t>991003833149702656</t>
        </is>
      </c>
      <c r="AX39" t="inlineStr">
        <is>
          <t>991003833149702656</t>
        </is>
      </c>
      <c r="AY39" t="inlineStr">
        <is>
          <t>2257526250002656</t>
        </is>
      </c>
      <c r="AZ39" t="inlineStr">
        <is>
          <t>BOOK</t>
        </is>
      </c>
      <c r="BB39" t="inlineStr">
        <is>
          <t>9781878071613</t>
        </is>
      </c>
      <c r="BC39" t="inlineStr">
        <is>
          <t>32285004499439</t>
        </is>
      </c>
      <c r="BD39" t="inlineStr">
        <is>
          <t>893343075</t>
        </is>
      </c>
    </row>
    <row r="40">
      <c r="A40" t="inlineStr">
        <is>
          <t>No</t>
        </is>
      </c>
      <c r="B40" t="inlineStr">
        <is>
          <t>G156.5.H47 B78 2005</t>
        </is>
      </c>
      <c r="C40" t="inlineStr">
        <is>
          <t>0                      G  0156500H  47                 B  78          2005</t>
        </is>
      </c>
      <c r="D40" t="inlineStr">
        <is>
          <t>Culture on tour : ethnographies of travel / Edward M. Bruner.</t>
        </is>
      </c>
      <c r="F40" t="inlineStr">
        <is>
          <t>No</t>
        </is>
      </c>
      <c r="G40" t="inlineStr">
        <is>
          <t>1</t>
        </is>
      </c>
      <c r="H40" t="inlineStr">
        <is>
          <t>No</t>
        </is>
      </c>
      <c r="I40" t="inlineStr">
        <is>
          <t>No</t>
        </is>
      </c>
      <c r="J40" t="inlineStr">
        <is>
          <t>0</t>
        </is>
      </c>
      <c r="K40" t="inlineStr">
        <is>
          <t>Bruner, Edward M.</t>
        </is>
      </c>
      <c r="L40" t="inlineStr">
        <is>
          <t>Chicago : University of Chicago Press, 2005.</t>
        </is>
      </c>
      <c r="M40" t="inlineStr">
        <is>
          <t>2005</t>
        </is>
      </c>
      <c r="O40" t="inlineStr">
        <is>
          <t>eng</t>
        </is>
      </c>
      <c r="P40" t="inlineStr">
        <is>
          <t>ilu</t>
        </is>
      </c>
      <c r="R40" t="inlineStr">
        <is>
          <t xml:space="preserve">G  </t>
        </is>
      </c>
      <c r="S40" t="n">
        <v>3</v>
      </c>
      <c r="T40" t="n">
        <v>3</v>
      </c>
      <c r="U40" t="inlineStr">
        <is>
          <t>2005-03-16</t>
        </is>
      </c>
      <c r="V40" t="inlineStr">
        <is>
          <t>2005-03-16</t>
        </is>
      </c>
      <c r="W40" t="inlineStr">
        <is>
          <t>2005-03-16</t>
        </is>
      </c>
      <c r="X40" t="inlineStr">
        <is>
          <t>2005-03-16</t>
        </is>
      </c>
      <c r="Y40" t="n">
        <v>482</v>
      </c>
      <c r="Z40" t="n">
        <v>335</v>
      </c>
      <c r="AA40" t="n">
        <v>335</v>
      </c>
      <c r="AB40" t="n">
        <v>3</v>
      </c>
      <c r="AC40" t="n">
        <v>3</v>
      </c>
      <c r="AD40" t="n">
        <v>14</v>
      </c>
      <c r="AE40" t="n">
        <v>14</v>
      </c>
      <c r="AF40" t="n">
        <v>5</v>
      </c>
      <c r="AG40" t="n">
        <v>5</v>
      </c>
      <c r="AH40" t="n">
        <v>5</v>
      </c>
      <c r="AI40" t="n">
        <v>5</v>
      </c>
      <c r="AJ40" t="n">
        <v>6</v>
      </c>
      <c r="AK40" t="n">
        <v>6</v>
      </c>
      <c r="AL40" t="n">
        <v>2</v>
      </c>
      <c r="AM40" t="n">
        <v>2</v>
      </c>
      <c r="AN40" t="n">
        <v>0</v>
      </c>
      <c r="AO40" t="n">
        <v>0</v>
      </c>
      <c r="AP40" t="inlineStr">
        <is>
          <t>No</t>
        </is>
      </c>
      <c r="AQ40" t="inlineStr">
        <is>
          <t>No</t>
        </is>
      </c>
      <c r="AS40">
        <f>HYPERLINK("https://creighton-primo.hosted.exlibrisgroup.com/primo-explore/search?tab=default_tab&amp;search_scope=EVERYTHING&amp;vid=01CRU&amp;lang=en_US&amp;offset=0&amp;query=any,contains,991004459729702656","Catalog Record")</f>
        <v/>
      </c>
      <c r="AT40">
        <f>HYPERLINK("http://www.worldcat.org/oclc/55000791","WorldCat Record")</f>
        <v/>
      </c>
      <c r="AU40" t="inlineStr">
        <is>
          <t>990839:eng</t>
        </is>
      </c>
      <c r="AV40" t="inlineStr">
        <is>
          <t>55000791</t>
        </is>
      </c>
      <c r="AW40" t="inlineStr">
        <is>
          <t>991004459729702656</t>
        </is>
      </c>
      <c r="AX40" t="inlineStr">
        <is>
          <t>991004459729702656</t>
        </is>
      </c>
      <c r="AY40" t="inlineStr">
        <is>
          <t>2262254670002656</t>
        </is>
      </c>
      <c r="AZ40" t="inlineStr">
        <is>
          <t>BOOK</t>
        </is>
      </c>
      <c r="BB40" t="inlineStr">
        <is>
          <t>9780226077628</t>
        </is>
      </c>
      <c r="BC40" t="inlineStr">
        <is>
          <t>32285005041925</t>
        </is>
      </c>
      <c r="BD40" t="inlineStr">
        <is>
          <t>893423827</t>
        </is>
      </c>
    </row>
    <row r="41">
      <c r="A41" t="inlineStr">
        <is>
          <t>No</t>
        </is>
      </c>
      <c r="B41" t="inlineStr">
        <is>
          <t>G1785 .P6 1964</t>
        </is>
      </c>
      <c r="C41" t="inlineStr">
        <is>
          <t>0                      G  1785000P  6           1964</t>
        </is>
      </c>
      <c r="D41" t="inlineStr">
        <is>
          <t>An atlas of Middle Eastern affairs / text by Norman J.G. Pounds, maps by Robert C. Kingsbury.</t>
        </is>
      </c>
      <c r="F41" t="inlineStr">
        <is>
          <t>No</t>
        </is>
      </c>
      <c r="G41" t="inlineStr">
        <is>
          <t>1</t>
        </is>
      </c>
      <c r="H41" t="inlineStr">
        <is>
          <t>No</t>
        </is>
      </c>
      <c r="I41" t="inlineStr">
        <is>
          <t>No</t>
        </is>
      </c>
      <c r="J41" t="inlineStr">
        <is>
          <t>0</t>
        </is>
      </c>
      <c r="K41" t="inlineStr">
        <is>
          <t>Pounds, Norman John Greville.</t>
        </is>
      </c>
      <c r="L41" t="inlineStr">
        <is>
          <t>New York, F.A. Praeger [1964]</t>
        </is>
      </c>
      <c r="M41" t="inlineStr">
        <is>
          <t>1964</t>
        </is>
      </c>
      <c r="N41" t="inlineStr">
        <is>
          <t>Rev. ed.</t>
        </is>
      </c>
      <c r="O41" t="inlineStr">
        <is>
          <t>eng</t>
        </is>
      </c>
      <c r="P41" t="inlineStr">
        <is>
          <t>nyu</t>
        </is>
      </c>
      <c r="Q41" t="inlineStr">
        <is>
          <t>Praeger series of world-affairs atlases</t>
        </is>
      </c>
      <c r="R41" t="inlineStr">
        <is>
          <t xml:space="preserve">G  </t>
        </is>
      </c>
      <c r="S41" t="n">
        <v>5</v>
      </c>
      <c r="T41" t="n">
        <v>5</v>
      </c>
      <c r="U41" t="inlineStr">
        <is>
          <t>2002-09-25</t>
        </is>
      </c>
      <c r="V41" t="inlineStr">
        <is>
          <t>2002-09-25</t>
        </is>
      </c>
      <c r="W41" t="inlineStr">
        <is>
          <t>1997-05-27</t>
        </is>
      </c>
      <c r="X41" t="inlineStr">
        <is>
          <t>1997-05-27</t>
        </is>
      </c>
      <c r="Y41" t="n">
        <v>238</v>
      </c>
      <c r="Z41" t="n">
        <v>229</v>
      </c>
      <c r="AA41" t="n">
        <v>435</v>
      </c>
      <c r="AB41" t="n">
        <v>2</v>
      </c>
      <c r="AC41" t="n">
        <v>3</v>
      </c>
      <c r="AD41" t="n">
        <v>11</v>
      </c>
      <c r="AE41" t="n">
        <v>19</v>
      </c>
      <c r="AF41" t="n">
        <v>7</v>
      </c>
      <c r="AG41" t="n">
        <v>9</v>
      </c>
      <c r="AH41" t="n">
        <v>1</v>
      </c>
      <c r="AI41" t="n">
        <v>3</v>
      </c>
      <c r="AJ41" t="n">
        <v>3</v>
      </c>
      <c r="AK41" t="n">
        <v>7</v>
      </c>
      <c r="AL41" t="n">
        <v>1</v>
      </c>
      <c r="AM41" t="n">
        <v>2</v>
      </c>
      <c r="AN41" t="n">
        <v>0</v>
      </c>
      <c r="AO41" t="n">
        <v>0</v>
      </c>
      <c r="AP41" t="inlineStr">
        <is>
          <t>No</t>
        </is>
      </c>
      <c r="AQ41" t="inlineStr">
        <is>
          <t>No</t>
        </is>
      </c>
      <c r="AS41">
        <f>HYPERLINK("https://creighton-primo.hosted.exlibrisgroup.com/primo-explore/search?tab=default_tab&amp;search_scope=EVERYTHING&amp;vid=01CRU&amp;lang=en_US&amp;offset=0&amp;query=any,contains,991002871359702656","Catalog Record")</f>
        <v/>
      </c>
      <c r="AT41">
        <f>HYPERLINK("http://www.worldcat.org/oclc/499374","WorldCat Record")</f>
        <v/>
      </c>
      <c r="AU41" t="inlineStr">
        <is>
          <t>1150899364:eng</t>
        </is>
      </c>
      <c r="AV41" t="inlineStr">
        <is>
          <t>499374</t>
        </is>
      </c>
      <c r="AW41" t="inlineStr">
        <is>
          <t>991002871359702656</t>
        </is>
      </c>
      <c r="AX41" t="inlineStr">
        <is>
          <t>991002871359702656</t>
        </is>
      </c>
      <c r="AY41" t="inlineStr">
        <is>
          <t>2271166330002656</t>
        </is>
      </c>
      <c r="AZ41" t="inlineStr">
        <is>
          <t>BOOK</t>
        </is>
      </c>
      <c r="BC41" t="inlineStr">
        <is>
          <t>32285002693041</t>
        </is>
      </c>
      <c r="BD41" t="inlineStr">
        <is>
          <t>893341965</t>
        </is>
      </c>
    </row>
    <row r="42">
      <c r="A42" t="inlineStr">
        <is>
          <t>No</t>
        </is>
      </c>
      <c r="B42" t="inlineStr">
        <is>
          <t>G1795 .B38</t>
        </is>
      </c>
      <c r="C42" t="inlineStr">
        <is>
          <t>0                      G  1795000B  38</t>
        </is>
      </c>
      <c r="D42" t="inlineStr">
        <is>
          <t>A literary &amp; historical atlas of Europe.</t>
        </is>
      </c>
      <c r="F42" t="inlineStr">
        <is>
          <t>No</t>
        </is>
      </c>
      <c r="G42" t="inlineStr">
        <is>
          <t>1</t>
        </is>
      </c>
      <c r="H42" t="inlineStr">
        <is>
          <t>No</t>
        </is>
      </c>
      <c r="I42" t="inlineStr">
        <is>
          <t>No</t>
        </is>
      </c>
      <c r="J42" t="inlineStr">
        <is>
          <t>0</t>
        </is>
      </c>
      <c r="K42" t="inlineStr">
        <is>
          <t>Bartholomew, J. G. (John George), 1860-1920.</t>
        </is>
      </c>
      <c r="L42" t="inlineStr">
        <is>
          <t>London, J.M. Dent &amp; Sons, Ltd.; New York, E.P. Dutton &amp; Co. [1910]</t>
        </is>
      </c>
      <c r="M42" t="inlineStr">
        <is>
          <t>1910</t>
        </is>
      </c>
      <c r="O42" t="inlineStr">
        <is>
          <t>eng</t>
        </is>
      </c>
      <c r="P42" t="inlineStr">
        <is>
          <t>enk</t>
        </is>
      </c>
      <c r="Q42" t="inlineStr">
        <is>
          <t>Everyman's library</t>
        </is>
      </c>
      <c r="R42" t="inlineStr">
        <is>
          <t xml:space="preserve">G  </t>
        </is>
      </c>
      <c r="S42" t="n">
        <v>5</v>
      </c>
      <c r="T42" t="n">
        <v>5</v>
      </c>
      <c r="U42" t="inlineStr">
        <is>
          <t>1999-09-26</t>
        </is>
      </c>
      <c r="V42" t="inlineStr">
        <is>
          <t>1999-09-26</t>
        </is>
      </c>
      <c r="W42" t="inlineStr">
        <is>
          <t>1997-05-22</t>
        </is>
      </c>
      <c r="X42" t="inlineStr">
        <is>
          <t>1997-05-22</t>
        </is>
      </c>
      <c r="Y42" t="n">
        <v>176</v>
      </c>
      <c r="Z42" t="n">
        <v>133</v>
      </c>
      <c r="AA42" t="n">
        <v>228</v>
      </c>
      <c r="AB42" t="n">
        <v>1</v>
      </c>
      <c r="AC42" t="n">
        <v>1</v>
      </c>
      <c r="AD42" t="n">
        <v>3</v>
      </c>
      <c r="AE42" t="n">
        <v>9</v>
      </c>
      <c r="AF42" t="n">
        <v>1</v>
      </c>
      <c r="AG42" t="n">
        <v>3</v>
      </c>
      <c r="AH42" t="n">
        <v>0</v>
      </c>
      <c r="AI42" t="n">
        <v>1</v>
      </c>
      <c r="AJ42" t="n">
        <v>3</v>
      </c>
      <c r="AK42" t="n">
        <v>8</v>
      </c>
      <c r="AL42" t="n">
        <v>0</v>
      </c>
      <c r="AM42" t="n">
        <v>0</v>
      </c>
      <c r="AN42" t="n">
        <v>0</v>
      </c>
      <c r="AO42" t="n">
        <v>0</v>
      </c>
      <c r="AP42" t="inlineStr">
        <is>
          <t>Yes</t>
        </is>
      </c>
      <c r="AQ42" t="inlineStr">
        <is>
          <t>No</t>
        </is>
      </c>
      <c r="AR42">
        <f>HYPERLINK("http://catalog.hathitrust.org/Record/006064616","HathiTrust Record")</f>
        <v/>
      </c>
      <c r="AS42">
        <f>HYPERLINK("https://creighton-primo.hosted.exlibrisgroup.com/primo-explore/search?tab=default_tab&amp;search_scope=EVERYTHING&amp;vid=01CRU&amp;lang=en_US&amp;offset=0&amp;query=any,contains,991002664729702656","Catalog Record")</f>
        <v/>
      </c>
      <c r="AT42">
        <f>HYPERLINK("http://www.worldcat.org/oclc/392763","WorldCat Record")</f>
        <v/>
      </c>
      <c r="AU42" t="inlineStr">
        <is>
          <t>1431239:eng</t>
        </is>
      </c>
      <c r="AV42" t="inlineStr">
        <is>
          <t>392763</t>
        </is>
      </c>
      <c r="AW42" t="inlineStr">
        <is>
          <t>991002664729702656</t>
        </is>
      </c>
      <c r="AX42" t="inlineStr">
        <is>
          <t>991002664729702656</t>
        </is>
      </c>
      <c r="AY42" t="inlineStr">
        <is>
          <t>2263587310002656</t>
        </is>
      </c>
      <c r="AZ42" t="inlineStr">
        <is>
          <t>BOOK</t>
        </is>
      </c>
      <c r="BC42" t="inlineStr">
        <is>
          <t>32285002693058</t>
        </is>
      </c>
      <c r="BD42" t="inlineStr">
        <is>
          <t>893603848</t>
        </is>
      </c>
    </row>
    <row r="43">
      <c r="A43" t="inlineStr">
        <is>
          <t>No</t>
        </is>
      </c>
      <c r="B43" t="inlineStr">
        <is>
          <t>G1795 .P6 1964</t>
        </is>
      </c>
      <c r="C43" t="inlineStr">
        <is>
          <t>0                      G  1795000P  6           1964</t>
        </is>
      </c>
      <c r="D43" t="inlineStr">
        <is>
          <t>An atlas of European affairs. Text by Norman J. G. Pounds. Maps by Robert C. Kingsbury.</t>
        </is>
      </c>
      <c r="F43" t="inlineStr">
        <is>
          <t>No</t>
        </is>
      </c>
      <c r="G43" t="inlineStr">
        <is>
          <t>1</t>
        </is>
      </c>
      <c r="H43" t="inlineStr">
        <is>
          <t>No</t>
        </is>
      </c>
      <c r="I43" t="inlineStr">
        <is>
          <t>No</t>
        </is>
      </c>
      <c r="J43" t="inlineStr">
        <is>
          <t>0</t>
        </is>
      </c>
      <c r="K43" t="inlineStr">
        <is>
          <t>Pounds, Norman John Greville.</t>
        </is>
      </c>
      <c r="L43" t="inlineStr">
        <is>
          <t>New York, Praeger [1964]</t>
        </is>
      </c>
      <c r="M43" t="inlineStr">
        <is>
          <t>1964</t>
        </is>
      </c>
      <c r="O43" t="inlineStr">
        <is>
          <t>eng</t>
        </is>
      </c>
      <c r="P43" t="inlineStr">
        <is>
          <t>nyu</t>
        </is>
      </c>
      <c r="Q43" t="inlineStr">
        <is>
          <t>Praeger series of world-affairs atlases</t>
        </is>
      </c>
      <c r="R43" t="inlineStr">
        <is>
          <t xml:space="preserve">G  </t>
        </is>
      </c>
      <c r="S43" t="n">
        <v>2</v>
      </c>
      <c r="T43" t="n">
        <v>2</v>
      </c>
      <c r="U43" t="inlineStr">
        <is>
          <t>2003-11-19</t>
        </is>
      </c>
      <c r="V43" t="inlineStr">
        <is>
          <t>2003-11-19</t>
        </is>
      </c>
      <c r="W43" t="inlineStr">
        <is>
          <t>1997-05-22</t>
        </is>
      </c>
      <c r="X43" t="inlineStr">
        <is>
          <t>1997-05-22</t>
        </is>
      </c>
      <c r="Y43" t="n">
        <v>377</v>
      </c>
      <c r="Z43" t="n">
        <v>338</v>
      </c>
      <c r="AA43" t="n">
        <v>340</v>
      </c>
      <c r="AB43" t="n">
        <v>2</v>
      </c>
      <c r="AC43" t="n">
        <v>2</v>
      </c>
      <c r="AD43" t="n">
        <v>11</v>
      </c>
      <c r="AE43" t="n">
        <v>11</v>
      </c>
      <c r="AF43" t="n">
        <v>4</v>
      </c>
      <c r="AG43" t="n">
        <v>4</v>
      </c>
      <c r="AH43" t="n">
        <v>2</v>
      </c>
      <c r="AI43" t="n">
        <v>2</v>
      </c>
      <c r="AJ43" t="n">
        <v>5</v>
      </c>
      <c r="AK43" t="n">
        <v>5</v>
      </c>
      <c r="AL43" t="n">
        <v>1</v>
      </c>
      <c r="AM43" t="n">
        <v>1</v>
      </c>
      <c r="AN43" t="n">
        <v>0</v>
      </c>
      <c r="AO43" t="n">
        <v>0</v>
      </c>
      <c r="AP43" t="inlineStr">
        <is>
          <t>No</t>
        </is>
      </c>
      <c r="AQ43" t="inlineStr">
        <is>
          <t>Yes</t>
        </is>
      </c>
      <c r="AR43">
        <f>HYPERLINK("http://catalog.hathitrust.org/Record/001272418","HathiTrust Record")</f>
        <v/>
      </c>
      <c r="AS43">
        <f>HYPERLINK("https://creighton-primo.hosted.exlibrisgroup.com/primo-explore/search?tab=default_tab&amp;search_scope=EVERYTHING&amp;vid=01CRU&amp;lang=en_US&amp;offset=0&amp;query=any,contains,991002871329702656","Catalog Record")</f>
        <v/>
      </c>
      <c r="AT43">
        <f>HYPERLINK("http://www.worldcat.org/oclc/499369","WorldCat Record")</f>
        <v/>
      </c>
      <c r="AU43" t="inlineStr">
        <is>
          <t>8909838775:eng</t>
        </is>
      </c>
      <c r="AV43" t="inlineStr">
        <is>
          <t>499369</t>
        </is>
      </c>
      <c r="AW43" t="inlineStr">
        <is>
          <t>991002871329702656</t>
        </is>
      </c>
      <c r="AX43" t="inlineStr">
        <is>
          <t>991002871329702656</t>
        </is>
      </c>
      <c r="AY43" t="inlineStr">
        <is>
          <t>2271168380002656</t>
        </is>
      </c>
      <c r="AZ43" t="inlineStr">
        <is>
          <t>BOOK</t>
        </is>
      </c>
      <c r="BC43" t="inlineStr">
        <is>
          <t>32285002693066</t>
        </is>
      </c>
      <c r="BD43" t="inlineStr">
        <is>
          <t>893524145</t>
        </is>
      </c>
    </row>
    <row r="44">
      <c r="A44" t="inlineStr">
        <is>
          <t>No</t>
        </is>
      </c>
      <c r="B44" t="inlineStr">
        <is>
          <t>G1797.21.E29 H5 1996</t>
        </is>
      </c>
      <c r="C44" t="inlineStr">
        <is>
          <t>0                      G  1797210E  29                 H  5           1996</t>
        </is>
      </c>
      <c r="D44" t="inlineStr">
        <is>
          <t>Historical atlas of the Holocaust / United States Holocaust Memorial Museum.</t>
        </is>
      </c>
      <c r="F44" t="inlineStr">
        <is>
          <t>No</t>
        </is>
      </c>
      <c r="G44" t="inlineStr">
        <is>
          <t>1</t>
        </is>
      </c>
      <c r="H44" t="inlineStr">
        <is>
          <t>No</t>
        </is>
      </c>
      <c r="I44" t="inlineStr">
        <is>
          <t>No</t>
        </is>
      </c>
      <c r="J44" t="inlineStr">
        <is>
          <t>0</t>
        </is>
      </c>
      <c r="L44" t="inlineStr">
        <is>
          <t>New York : MacMillan Pub., c1996.</t>
        </is>
      </c>
      <c r="M44" t="inlineStr">
        <is>
          <t>1996</t>
        </is>
      </c>
      <c r="O44" t="inlineStr">
        <is>
          <t>eng</t>
        </is>
      </c>
      <c r="P44" t="inlineStr">
        <is>
          <t>nyu</t>
        </is>
      </c>
      <c r="R44" t="inlineStr">
        <is>
          <t xml:space="preserve">G  </t>
        </is>
      </c>
      <c r="S44" t="n">
        <v>9</v>
      </c>
      <c r="T44" t="n">
        <v>9</v>
      </c>
      <c r="U44" t="inlineStr">
        <is>
          <t>2009-03-18</t>
        </is>
      </c>
      <c r="V44" t="inlineStr">
        <is>
          <t>2009-03-18</t>
        </is>
      </c>
      <c r="W44" t="inlineStr">
        <is>
          <t>1996-12-16</t>
        </is>
      </c>
      <c r="X44" t="inlineStr">
        <is>
          <t>1996-12-16</t>
        </is>
      </c>
      <c r="Y44" t="n">
        <v>1267</v>
      </c>
      <c r="Z44" t="n">
        <v>1145</v>
      </c>
      <c r="AA44" t="n">
        <v>1232</v>
      </c>
      <c r="AB44" t="n">
        <v>10</v>
      </c>
      <c r="AC44" t="n">
        <v>10</v>
      </c>
      <c r="AD44" t="n">
        <v>35</v>
      </c>
      <c r="AE44" t="n">
        <v>35</v>
      </c>
      <c r="AF44" t="n">
        <v>16</v>
      </c>
      <c r="AG44" t="n">
        <v>16</v>
      </c>
      <c r="AH44" t="n">
        <v>6</v>
      </c>
      <c r="AI44" t="n">
        <v>6</v>
      </c>
      <c r="AJ44" t="n">
        <v>17</v>
      </c>
      <c r="AK44" t="n">
        <v>17</v>
      </c>
      <c r="AL44" t="n">
        <v>5</v>
      </c>
      <c r="AM44" t="n">
        <v>5</v>
      </c>
      <c r="AN44" t="n">
        <v>0</v>
      </c>
      <c r="AO44" t="n">
        <v>0</v>
      </c>
      <c r="AP44" t="inlineStr">
        <is>
          <t>No</t>
        </is>
      </c>
      <c r="AQ44" t="inlineStr">
        <is>
          <t>Yes</t>
        </is>
      </c>
      <c r="AR44">
        <f>HYPERLINK("http://catalog.hathitrust.org/Record/003445453","HathiTrust Record")</f>
        <v/>
      </c>
      <c r="AS44">
        <f>HYPERLINK("https://creighton-primo.hosted.exlibrisgroup.com/primo-explore/search?tab=default_tab&amp;search_scope=EVERYTHING&amp;vid=01CRU&amp;lang=en_US&amp;offset=0&amp;query=any,contains,991002509019702656","Catalog Record")</f>
        <v/>
      </c>
      <c r="AT44">
        <f>HYPERLINK("http://www.worldcat.org/oclc/32626136","WorldCat Record")</f>
        <v/>
      </c>
      <c r="AU44" t="inlineStr">
        <is>
          <t>55935821:eng</t>
        </is>
      </c>
      <c r="AV44" t="inlineStr">
        <is>
          <t>32626136</t>
        </is>
      </c>
      <c r="AW44" t="inlineStr">
        <is>
          <t>991002509019702656</t>
        </is>
      </c>
      <c r="AX44" t="inlineStr">
        <is>
          <t>991002509019702656</t>
        </is>
      </c>
      <c r="AY44" t="inlineStr">
        <is>
          <t>2269976140002656</t>
        </is>
      </c>
      <c r="AZ44" t="inlineStr">
        <is>
          <t>BOOK</t>
        </is>
      </c>
      <c r="BB44" t="inlineStr">
        <is>
          <t>9780028974514</t>
        </is>
      </c>
      <c r="BC44" t="inlineStr">
        <is>
          <t>32285002393840</t>
        </is>
      </c>
      <c r="BD44" t="inlineStr">
        <is>
          <t>893691689</t>
        </is>
      </c>
    </row>
    <row r="45">
      <c r="A45" t="inlineStr">
        <is>
          <t>No</t>
        </is>
      </c>
      <c r="B45" t="inlineStr">
        <is>
          <t>G180 .D76 2002</t>
        </is>
      </c>
      <c r="C45" t="inlineStr">
        <is>
          <t>0                      G  0180000D  76          2002</t>
        </is>
      </c>
      <c r="D45" t="inlineStr">
        <is>
          <t>Steep passages : a world-wide eco-adventurer unlocks nature's spiritual truths / David Lee Drotar.</t>
        </is>
      </c>
      <c r="F45" t="inlineStr">
        <is>
          <t>No</t>
        </is>
      </c>
      <c r="G45" t="inlineStr">
        <is>
          <t>1</t>
        </is>
      </c>
      <c r="H45" t="inlineStr">
        <is>
          <t>No</t>
        </is>
      </c>
      <c r="I45" t="inlineStr">
        <is>
          <t>No</t>
        </is>
      </c>
      <c r="J45" t="inlineStr">
        <is>
          <t>0</t>
        </is>
      </c>
      <c r="K45" t="inlineStr">
        <is>
          <t>Drotar, David L.</t>
        </is>
      </c>
      <c r="L45" t="inlineStr">
        <is>
          <t>Castleton-on-Hudson, N.Y. : Brookview Press, 2002.</t>
        </is>
      </c>
      <c r="M45" t="inlineStr">
        <is>
          <t>2002</t>
        </is>
      </c>
      <c r="O45" t="inlineStr">
        <is>
          <t>eng</t>
        </is>
      </c>
      <c r="P45" t="inlineStr">
        <is>
          <t>nyu</t>
        </is>
      </c>
      <c r="R45" t="inlineStr">
        <is>
          <t xml:space="preserve">G  </t>
        </is>
      </c>
      <c r="S45" t="n">
        <v>1</v>
      </c>
      <c r="T45" t="n">
        <v>1</v>
      </c>
      <c r="U45" t="inlineStr">
        <is>
          <t>2003-08-07</t>
        </is>
      </c>
      <c r="V45" t="inlineStr">
        <is>
          <t>2003-08-07</t>
        </is>
      </c>
      <c r="W45" t="inlineStr">
        <is>
          <t>2003-08-06</t>
        </is>
      </c>
      <c r="X45" t="inlineStr">
        <is>
          <t>2003-08-06</t>
        </is>
      </c>
      <c r="Y45" t="n">
        <v>41</v>
      </c>
      <c r="Z45" t="n">
        <v>36</v>
      </c>
      <c r="AA45" t="n">
        <v>37</v>
      </c>
      <c r="AB45" t="n">
        <v>1</v>
      </c>
      <c r="AC45" t="n">
        <v>1</v>
      </c>
      <c r="AD45" t="n">
        <v>1</v>
      </c>
      <c r="AE45" t="n">
        <v>1</v>
      </c>
      <c r="AF45" t="n">
        <v>0</v>
      </c>
      <c r="AG45" t="n">
        <v>0</v>
      </c>
      <c r="AH45" t="n">
        <v>1</v>
      </c>
      <c r="AI45" t="n">
        <v>1</v>
      </c>
      <c r="AJ45" t="n">
        <v>1</v>
      </c>
      <c r="AK45" t="n">
        <v>1</v>
      </c>
      <c r="AL45" t="n">
        <v>0</v>
      </c>
      <c r="AM45" t="n">
        <v>0</v>
      </c>
      <c r="AN45" t="n">
        <v>0</v>
      </c>
      <c r="AO45" t="n">
        <v>0</v>
      </c>
      <c r="AP45" t="inlineStr">
        <is>
          <t>No</t>
        </is>
      </c>
      <c r="AQ45" t="inlineStr">
        <is>
          <t>Yes</t>
        </is>
      </c>
      <c r="AR45">
        <f>HYPERLINK("http://catalog.hathitrust.org/Record/007143010","HathiTrust Record")</f>
        <v/>
      </c>
      <c r="AS45">
        <f>HYPERLINK("https://creighton-primo.hosted.exlibrisgroup.com/primo-explore/search?tab=default_tab&amp;search_scope=EVERYTHING&amp;vid=01CRU&amp;lang=en_US&amp;offset=0&amp;query=any,contains,991004080969702656","Catalog Record")</f>
        <v/>
      </c>
      <c r="AT45">
        <f>HYPERLINK("http://www.worldcat.org/oclc/51279129","WorldCat Record")</f>
        <v/>
      </c>
      <c r="AU45" t="inlineStr">
        <is>
          <t>7927390:eng</t>
        </is>
      </c>
      <c r="AV45" t="inlineStr">
        <is>
          <t>51279129</t>
        </is>
      </c>
      <c r="AW45" t="inlineStr">
        <is>
          <t>991004080969702656</t>
        </is>
      </c>
      <c r="AX45" t="inlineStr">
        <is>
          <t>991004080969702656</t>
        </is>
      </c>
      <c r="AY45" t="inlineStr">
        <is>
          <t>2256600930002656</t>
        </is>
      </c>
      <c r="AZ45" t="inlineStr">
        <is>
          <t>BOOK</t>
        </is>
      </c>
      <c r="BB45" t="inlineStr">
        <is>
          <t>9780970764904</t>
        </is>
      </c>
      <c r="BC45" t="inlineStr">
        <is>
          <t>32285004758875</t>
        </is>
      </c>
      <c r="BD45" t="inlineStr">
        <is>
          <t>893324904</t>
        </is>
      </c>
    </row>
    <row r="46">
      <c r="A46" t="inlineStr">
        <is>
          <t>No</t>
        </is>
      </c>
      <c r="B46" t="inlineStr">
        <is>
          <t>G1819.L7 B3 1968</t>
        </is>
      </c>
      <c r="C46" t="inlineStr">
        <is>
          <t>0                      G  1819000L  7                  B  3           1968</t>
        </is>
      </c>
      <c r="D46" t="inlineStr">
        <is>
          <t>Bartholomew's reference atlas of Greater London : covering the whole metropolitan police area / with larger scale maps for central London and index for quick location of over 62,000 names.</t>
        </is>
      </c>
      <c r="F46" t="inlineStr">
        <is>
          <t>No</t>
        </is>
      </c>
      <c r="G46" t="inlineStr">
        <is>
          <t>1</t>
        </is>
      </c>
      <c r="H46" t="inlineStr">
        <is>
          <t>No</t>
        </is>
      </c>
      <c r="I46" t="inlineStr">
        <is>
          <t>No</t>
        </is>
      </c>
      <c r="J46" t="inlineStr">
        <is>
          <t>0</t>
        </is>
      </c>
      <c r="K46" t="inlineStr">
        <is>
          <t>John Bartholomew and Son.</t>
        </is>
      </c>
      <c r="L46" t="inlineStr">
        <is>
          <t>Edinburgh : John Bartholomew &amp; Son Ltd., 1968.</t>
        </is>
      </c>
      <c r="M46" t="inlineStr">
        <is>
          <t>1968</t>
        </is>
      </c>
      <c r="N46" t="inlineStr">
        <is>
          <t>13th ed.</t>
        </is>
      </c>
      <c r="O46" t="inlineStr">
        <is>
          <t>eng</t>
        </is>
      </c>
      <c r="P46" t="inlineStr">
        <is>
          <t xml:space="preserve">xx </t>
        </is>
      </c>
      <c r="R46" t="inlineStr">
        <is>
          <t xml:space="preserve">G  </t>
        </is>
      </c>
      <c r="S46" t="n">
        <v>2</v>
      </c>
      <c r="T46" t="n">
        <v>2</v>
      </c>
      <c r="U46" t="inlineStr">
        <is>
          <t>1997-05-28</t>
        </is>
      </c>
      <c r="V46" t="inlineStr">
        <is>
          <t>1997-05-28</t>
        </is>
      </c>
      <c r="W46" t="inlineStr">
        <is>
          <t>1996-09-09</t>
        </is>
      </c>
      <c r="X46" t="inlineStr">
        <is>
          <t>1996-09-09</t>
        </is>
      </c>
      <c r="Y46" t="n">
        <v>28</v>
      </c>
      <c r="Z46" t="n">
        <v>14</v>
      </c>
      <c r="AA46" t="n">
        <v>14</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HYPERLINK("https://creighton-primo.hosted.exlibrisgroup.com/primo-explore/search?tab=default_tab&amp;search_scope=EVERYTHING&amp;vid=01CRU&amp;lang=en_US&amp;offset=0&amp;query=any,contains,991004440549702656","Catalog Record")</f>
        <v/>
      </c>
      <c r="AT46">
        <f>HYPERLINK("http://www.worldcat.org/oclc/1007797647","WorldCat Record")</f>
        <v/>
      </c>
      <c r="AU46" t="inlineStr">
        <is>
          <t>8906898519:eng</t>
        </is>
      </c>
      <c r="AV46" t="inlineStr">
        <is>
          <t>1007797647</t>
        </is>
      </c>
      <c r="AW46" t="inlineStr">
        <is>
          <t>991004440549702656</t>
        </is>
      </c>
      <c r="AX46" t="inlineStr">
        <is>
          <t>991004440549702656</t>
        </is>
      </c>
      <c r="AY46" t="inlineStr">
        <is>
          <t>2259343840002656</t>
        </is>
      </c>
      <c r="AZ46" t="inlineStr">
        <is>
          <t>BOOK</t>
        </is>
      </c>
      <c r="BC46" t="inlineStr">
        <is>
          <t>32285002306628</t>
        </is>
      </c>
      <c r="BD46" t="inlineStr">
        <is>
          <t>893349999</t>
        </is>
      </c>
    </row>
    <row r="47">
      <c r="A47" t="inlineStr">
        <is>
          <t>No</t>
        </is>
      </c>
      <c r="B47" t="inlineStr">
        <is>
          <t>G200 .D46 2005</t>
        </is>
      </c>
      <c r="C47" t="inlineStr">
        <is>
          <t>0                      G  0200000D  46          2005</t>
        </is>
      </c>
      <c r="D47" t="inlineStr">
        <is>
          <t>Explorers : the most exciting voyages of discovery, from the African expeditions to the lunar landing / Andrea De Porti ; [English translation, Paul Holberton].</t>
        </is>
      </c>
      <c r="F47" t="inlineStr">
        <is>
          <t>No</t>
        </is>
      </c>
      <c r="G47" t="inlineStr">
        <is>
          <t>1</t>
        </is>
      </c>
      <c r="H47" t="inlineStr">
        <is>
          <t>No</t>
        </is>
      </c>
      <c r="I47" t="inlineStr">
        <is>
          <t>No</t>
        </is>
      </c>
      <c r="J47" t="inlineStr">
        <is>
          <t>0</t>
        </is>
      </c>
      <c r="K47" t="inlineStr">
        <is>
          <t>De Porti, Andrea, 1968-</t>
        </is>
      </c>
      <c r="L47" t="inlineStr">
        <is>
          <t>Richmond Hill, Ont. : Firefly Books, 2005.</t>
        </is>
      </c>
      <c r="M47" t="inlineStr">
        <is>
          <t>2005</t>
        </is>
      </c>
      <c r="O47" t="inlineStr">
        <is>
          <t>eng</t>
        </is>
      </c>
      <c r="P47" t="inlineStr">
        <is>
          <t>onc</t>
        </is>
      </c>
      <c r="R47" t="inlineStr">
        <is>
          <t xml:space="preserve">G  </t>
        </is>
      </c>
      <c r="S47" t="n">
        <v>5</v>
      </c>
      <c r="T47" t="n">
        <v>5</v>
      </c>
      <c r="U47" t="inlineStr">
        <is>
          <t>2010-05-19</t>
        </is>
      </c>
      <c r="V47" t="inlineStr">
        <is>
          <t>2010-05-19</t>
        </is>
      </c>
      <c r="W47" t="inlineStr">
        <is>
          <t>2006-01-11</t>
        </is>
      </c>
      <c r="X47" t="inlineStr">
        <is>
          <t>2006-01-11</t>
        </is>
      </c>
      <c r="Y47" t="n">
        <v>756</v>
      </c>
      <c r="Z47" t="n">
        <v>719</v>
      </c>
      <c r="AA47" t="n">
        <v>796</v>
      </c>
      <c r="AB47" t="n">
        <v>5</v>
      </c>
      <c r="AC47" t="n">
        <v>5</v>
      </c>
      <c r="AD47" t="n">
        <v>0</v>
      </c>
      <c r="AE47" t="n">
        <v>0</v>
      </c>
      <c r="AF47" t="n">
        <v>0</v>
      </c>
      <c r="AG47" t="n">
        <v>0</v>
      </c>
      <c r="AH47" t="n">
        <v>0</v>
      </c>
      <c r="AI47" t="n">
        <v>0</v>
      </c>
      <c r="AJ47" t="n">
        <v>0</v>
      </c>
      <c r="AK47" t="n">
        <v>0</v>
      </c>
      <c r="AL47" t="n">
        <v>0</v>
      </c>
      <c r="AM47" t="n">
        <v>0</v>
      </c>
      <c r="AN47" t="n">
        <v>0</v>
      </c>
      <c r="AO47" t="n">
        <v>0</v>
      </c>
      <c r="AP47" t="inlineStr">
        <is>
          <t>No</t>
        </is>
      </c>
      <c r="AQ47" t="inlineStr">
        <is>
          <t>No</t>
        </is>
      </c>
      <c r="AS47">
        <f>HYPERLINK("https://creighton-primo.hosted.exlibrisgroup.com/primo-explore/search?tab=default_tab&amp;search_scope=EVERYTHING&amp;vid=01CRU&amp;lang=en_US&amp;offset=0&amp;query=any,contains,991004701149702656","Catalog Record")</f>
        <v/>
      </c>
      <c r="AT47">
        <f>HYPERLINK("http://www.worldcat.org/oclc/58830160","WorldCat Record")</f>
        <v/>
      </c>
      <c r="AU47" t="inlineStr">
        <is>
          <t>904617341:eng</t>
        </is>
      </c>
      <c r="AV47" t="inlineStr">
        <is>
          <t>58830160</t>
        </is>
      </c>
      <c r="AW47" t="inlineStr">
        <is>
          <t>991004701149702656</t>
        </is>
      </c>
      <c r="AX47" t="inlineStr">
        <is>
          <t>991004701149702656</t>
        </is>
      </c>
      <c r="AY47" t="inlineStr">
        <is>
          <t>2257028960002656</t>
        </is>
      </c>
      <c r="AZ47" t="inlineStr">
        <is>
          <t>BOOK</t>
        </is>
      </c>
      <c r="BB47" t="inlineStr">
        <is>
          <t>9781554071012</t>
        </is>
      </c>
      <c r="BC47" t="inlineStr">
        <is>
          <t>32285005154371</t>
        </is>
      </c>
      <c r="BD47" t="inlineStr">
        <is>
          <t>893801239</t>
        </is>
      </c>
    </row>
    <row r="48">
      <c r="A48" t="inlineStr">
        <is>
          <t>No</t>
        </is>
      </c>
      <c r="B48" t="inlineStr">
        <is>
          <t>G2206.S1 G5 1976</t>
        </is>
      </c>
      <c r="C48" t="inlineStr">
        <is>
          <t>0                      G  2206000S  1                  G  5           1976</t>
        </is>
      </c>
      <c r="D48" t="inlineStr">
        <is>
          <t>The Arab-Israeli conflict : its history in maps / Martin Gilbert.</t>
        </is>
      </c>
      <c r="F48" t="inlineStr">
        <is>
          <t>No</t>
        </is>
      </c>
      <c r="G48" t="inlineStr">
        <is>
          <t>1</t>
        </is>
      </c>
      <c r="H48" t="inlineStr">
        <is>
          <t>No</t>
        </is>
      </c>
      <c r="I48" t="inlineStr">
        <is>
          <t>No</t>
        </is>
      </c>
      <c r="J48" t="inlineStr">
        <is>
          <t>0</t>
        </is>
      </c>
      <c r="K48" t="inlineStr">
        <is>
          <t>Gilbert, Martin, 1936-2015.</t>
        </is>
      </c>
      <c r="L48" t="inlineStr">
        <is>
          <t>London : Weidenfeld and Nicolson, 1976.</t>
        </is>
      </c>
      <c r="M48" t="inlineStr">
        <is>
          <t>1976</t>
        </is>
      </c>
      <c r="N48" t="inlineStr">
        <is>
          <t>2d ed.</t>
        </is>
      </c>
      <c r="O48" t="inlineStr">
        <is>
          <t>eng</t>
        </is>
      </c>
      <c r="P48" t="inlineStr">
        <is>
          <t>enk</t>
        </is>
      </c>
      <c r="R48" t="inlineStr">
        <is>
          <t xml:space="preserve">G  </t>
        </is>
      </c>
      <c r="S48" t="n">
        <v>4</v>
      </c>
      <c r="T48" t="n">
        <v>4</v>
      </c>
      <c r="U48" t="inlineStr">
        <is>
          <t>1997-09-25</t>
        </is>
      </c>
      <c r="V48" t="inlineStr">
        <is>
          <t>1997-09-25</t>
        </is>
      </c>
      <c r="W48" t="inlineStr">
        <is>
          <t>1990-03-26</t>
        </is>
      </c>
      <c r="X48" t="inlineStr">
        <is>
          <t>1990-03-26</t>
        </is>
      </c>
      <c r="Y48" t="n">
        <v>80</v>
      </c>
      <c r="Z48" t="n">
        <v>55</v>
      </c>
      <c r="AA48" t="n">
        <v>240</v>
      </c>
      <c r="AB48" t="n">
        <v>2</v>
      </c>
      <c r="AC48" t="n">
        <v>4</v>
      </c>
      <c r="AD48" t="n">
        <v>1</v>
      </c>
      <c r="AE48" t="n">
        <v>6</v>
      </c>
      <c r="AF48" t="n">
        <v>0</v>
      </c>
      <c r="AG48" t="n">
        <v>1</v>
      </c>
      <c r="AH48" t="n">
        <v>0</v>
      </c>
      <c r="AI48" t="n">
        <v>1</v>
      </c>
      <c r="AJ48" t="n">
        <v>0</v>
      </c>
      <c r="AK48" t="n">
        <v>2</v>
      </c>
      <c r="AL48" t="n">
        <v>1</v>
      </c>
      <c r="AM48" t="n">
        <v>3</v>
      </c>
      <c r="AN48" t="n">
        <v>0</v>
      </c>
      <c r="AO48" t="n">
        <v>0</v>
      </c>
      <c r="AP48" t="inlineStr">
        <is>
          <t>No</t>
        </is>
      </c>
      <c r="AQ48" t="inlineStr">
        <is>
          <t>Yes</t>
        </is>
      </c>
      <c r="AR48">
        <f>HYPERLINK("http://catalog.hathitrust.org/Record/009506989","HathiTrust Record")</f>
        <v/>
      </c>
      <c r="AS48">
        <f>HYPERLINK("https://creighton-primo.hosted.exlibrisgroup.com/primo-explore/search?tab=default_tab&amp;search_scope=EVERYTHING&amp;vid=01CRU&amp;lang=en_US&amp;offset=0&amp;query=any,contains,991004224499702656","Catalog Record")</f>
        <v/>
      </c>
      <c r="AT48">
        <f>HYPERLINK("http://www.worldcat.org/oclc/2724044","WorldCat Record")</f>
        <v/>
      </c>
      <c r="AU48" t="inlineStr">
        <is>
          <t>4203107103:eng</t>
        </is>
      </c>
      <c r="AV48" t="inlineStr">
        <is>
          <t>2724044</t>
        </is>
      </c>
      <c r="AW48" t="inlineStr">
        <is>
          <t>991004224499702656</t>
        </is>
      </c>
      <c r="AX48" t="inlineStr">
        <is>
          <t>991004224499702656</t>
        </is>
      </c>
      <c r="AY48" t="inlineStr">
        <is>
          <t>2257612140002656</t>
        </is>
      </c>
      <c r="AZ48" t="inlineStr">
        <is>
          <t>BOOK</t>
        </is>
      </c>
      <c r="BB48" t="inlineStr">
        <is>
          <t>9780297772408</t>
        </is>
      </c>
      <c r="BC48" t="inlineStr">
        <is>
          <t>32285000096627</t>
        </is>
      </c>
      <c r="BD48" t="inlineStr">
        <is>
          <t>893512980</t>
        </is>
      </c>
    </row>
    <row r="49">
      <c r="A49" t="inlineStr">
        <is>
          <t>No</t>
        </is>
      </c>
      <c r="B49" t="inlineStr">
        <is>
          <t>G2230 .A2 1968</t>
        </is>
      </c>
      <c r="C49" t="inlineStr">
        <is>
          <t>0                      G  2230000A  2           1968</t>
        </is>
      </c>
      <c r="D49" t="inlineStr">
        <is>
          <t>The Macmillan Bible atlas / by Yohanan Aharoni and Michael Avi-Yonah.</t>
        </is>
      </c>
      <c r="F49" t="inlineStr">
        <is>
          <t>No</t>
        </is>
      </c>
      <c r="G49" t="inlineStr">
        <is>
          <t>1</t>
        </is>
      </c>
      <c r="H49" t="inlineStr">
        <is>
          <t>No</t>
        </is>
      </c>
      <c r="I49" t="inlineStr">
        <is>
          <t>Yes</t>
        </is>
      </c>
      <c r="J49" t="inlineStr">
        <is>
          <t>0</t>
        </is>
      </c>
      <c r="K49" t="inlineStr">
        <is>
          <t>Aharoni, Yohanan, 1919-1976.</t>
        </is>
      </c>
      <c r="L49" t="inlineStr">
        <is>
          <t>New York, Macmillan Co. [1968]</t>
        </is>
      </c>
      <c r="M49" t="inlineStr">
        <is>
          <t>1968</t>
        </is>
      </c>
      <c r="O49" t="inlineStr">
        <is>
          <t>eng</t>
        </is>
      </c>
      <c r="P49" t="inlineStr">
        <is>
          <t>nyu</t>
        </is>
      </c>
      <c r="R49" t="inlineStr">
        <is>
          <t xml:space="preserve">G  </t>
        </is>
      </c>
      <c r="S49" t="n">
        <v>1</v>
      </c>
      <c r="T49" t="n">
        <v>1</v>
      </c>
      <c r="U49" t="inlineStr">
        <is>
          <t>2004-12-06</t>
        </is>
      </c>
      <c r="V49" t="inlineStr">
        <is>
          <t>2004-12-06</t>
        </is>
      </c>
      <c r="W49" t="inlineStr">
        <is>
          <t>1996-09-09</t>
        </is>
      </c>
      <c r="X49" t="inlineStr">
        <is>
          <t>1996-09-09</t>
        </is>
      </c>
      <c r="Y49" t="n">
        <v>916</v>
      </c>
      <c r="Z49" t="n">
        <v>818</v>
      </c>
      <c r="AA49" t="n">
        <v>1969</v>
      </c>
      <c r="AB49" t="n">
        <v>5</v>
      </c>
      <c r="AC49" t="n">
        <v>12</v>
      </c>
      <c r="AD49" t="n">
        <v>24</v>
      </c>
      <c r="AE49" t="n">
        <v>50</v>
      </c>
      <c r="AF49" t="n">
        <v>8</v>
      </c>
      <c r="AG49" t="n">
        <v>23</v>
      </c>
      <c r="AH49" t="n">
        <v>4</v>
      </c>
      <c r="AI49" t="n">
        <v>8</v>
      </c>
      <c r="AJ49" t="n">
        <v>14</v>
      </c>
      <c r="AK49" t="n">
        <v>21</v>
      </c>
      <c r="AL49" t="n">
        <v>4</v>
      </c>
      <c r="AM49" t="n">
        <v>9</v>
      </c>
      <c r="AN49" t="n">
        <v>0</v>
      </c>
      <c r="AO49" t="n">
        <v>0</v>
      </c>
      <c r="AP49" t="inlineStr">
        <is>
          <t>No</t>
        </is>
      </c>
      <c r="AQ49" t="inlineStr">
        <is>
          <t>Yes</t>
        </is>
      </c>
      <c r="AR49">
        <f>HYPERLINK("http://catalog.hathitrust.org/Record/001271960","HathiTrust Record")</f>
        <v/>
      </c>
      <c r="AS49">
        <f>HYPERLINK("https://creighton-primo.hosted.exlibrisgroup.com/primo-explore/search?tab=default_tab&amp;search_scope=EVERYTHING&amp;vid=01CRU&amp;lang=en_US&amp;offset=0&amp;query=any,contains,991002427539702656","Catalog Record")</f>
        <v/>
      </c>
      <c r="AT49">
        <f>HYPERLINK("http://www.worldcat.org/oclc/345417","WorldCat Record")</f>
        <v/>
      </c>
      <c r="AU49" t="inlineStr">
        <is>
          <t>5612435428:eng</t>
        </is>
      </c>
      <c r="AV49" t="inlineStr">
        <is>
          <t>345417</t>
        </is>
      </c>
      <c r="AW49" t="inlineStr">
        <is>
          <t>991002427539702656</t>
        </is>
      </c>
      <c r="AX49" t="inlineStr">
        <is>
          <t>991002427539702656</t>
        </is>
      </c>
      <c r="AY49" t="inlineStr">
        <is>
          <t>2269722150002656</t>
        </is>
      </c>
      <c r="AZ49" t="inlineStr">
        <is>
          <t>BOOK</t>
        </is>
      </c>
      <c r="BB49" t="inlineStr">
        <is>
          <t>9780025006003</t>
        </is>
      </c>
      <c r="BC49" t="inlineStr">
        <is>
          <t>32285002306636</t>
        </is>
      </c>
      <c r="BD49" t="inlineStr">
        <is>
          <t>893510719</t>
        </is>
      </c>
    </row>
    <row r="50">
      <c r="A50" t="inlineStr">
        <is>
          <t>No</t>
        </is>
      </c>
      <c r="B50" t="inlineStr">
        <is>
          <t>G2230 .H3 1959</t>
        </is>
      </c>
      <c r="C50" t="inlineStr">
        <is>
          <t>0                      G  2230000H  3           1959</t>
        </is>
      </c>
      <c r="D50" t="inlineStr">
        <is>
          <t>Atlas of the Bible lands.</t>
        </is>
      </c>
      <c r="F50" t="inlineStr">
        <is>
          <t>No</t>
        </is>
      </c>
      <c r="G50" t="inlineStr">
        <is>
          <t>1</t>
        </is>
      </c>
      <c r="H50" t="inlineStr">
        <is>
          <t>No</t>
        </is>
      </c>
      <c r="I50" t="inlineStr">
        <is>
          <t>No</t>
        </is>
      </c>
      <c r="J50" t="inlineStr">
        <is>
          <t>0</t>
        </is>
      </c>
      <c r="K50" t="inlineStr">
        <is>
          <t>Hammond Incorporated.</t>
        </is>
      </c>
      <c r="M50" t="inlineStr">
        <is>
          <t>1959</t>
        </is>
      </c>
      <c r="O50" t="inlineStr">
        <is>
          <t>eng</t>
        </is>
      </c>
      <c r="P50" t="inlineStr">
        <is>
          <t xml:space="preserve">xx </t>
        </is>
      </c>
      <c r="R50" t="inlineStr">
        <is>
          <t xml:space="preserve">G  </t>
        </is>
      </c>
      <c r="S50" t="n">
        <v>1</v>
      </c>
      <c r="T50" t="n">
        <v>1</v>
      </c>
      <c r="U50" t="inlineStr">
        <is>
          <t>2010-09-25</t>
        </is>
      </c>
      <c r="V50" t="inlineStr">
        <is>
          <t>2010-09-25</t>
        </is>
      </c>
      <c r="W50" t="inlineStr">
        <is>
          <t>1997-05-22</t>
        </is>
      </c>
      <c r="X50" t="inlineStr">
        <is>
          <t>1997-05-22</t>
        </is>
      </c>
      <c r="Y50" t="n">
        <v>229</v>
      </c>
      <c r="Z50" t="n">
        <v>214</v>
      </c>
      <c r="AA50" t="n">
        <v>288</v>
      </c>
      <c r="AB50" t="n">
        <v>2</v>
      </c>
      <c r="AC50" t="n">
        <v>3</v>
      </c>
      <c r="AD50" t="n">
        <v>7</v>
      </c>
      <c r="AE50" t="n">
        <v>9</v>
      </c>
      <c r="AF50" t="n">
        <v>2</v>
      </c>
      <c r="AG50" t="n">
        <v>3</v>
      </c>
      <c r="AH50" t="n">
        <v>1</v>
      </c>
      <c r="AI50" t="n">
        <v>2</v>
      </c>
      <c r="AJ50" t="n">
        <v>5</v>
      </c>
      <c r="AK50" t="n">
        <v>5</v>
      </c>
      <c r="AL50" t="n">
        <v>0</v>
      </c>
      <c r="AM50" t="n">
        <v>0</v>
      </c>
      <c r="AN50" t="n">
        <v>0</v>
      </c>
      <c r="AO50" t="n">
        <v>0</v>
      </c>
      <c r="AP50" t="inlineStr">
        <is>
          <t>No</t>
        </is>
      </c>
      <c r="AQ50" t="inlineStr">
        <is>
          <t>Yes</t>
        </is>
      </c>
      <c r="AR50">
        <f>HYPERLINK("http://catalog.hathitrust.org/Record/002781658","HathiTrust Record")</f>
        <v/>
      </c>
      <c r="AS50">
        <f>HYPERLINK("https://creighton-primo.hosted.exlibrisgroup.com/primo-explore/search?tab=default_tab&amp;search_scope=EVERYTHING&amp;vid=01CRU&amp;lang=en_US&amp;offset=0&amp;query=any,contains,991004449789702656","Catalog Record")</f>
        <v/>
      </c>
      <c r="AT50">
        <f>HYPERLINK("http://www.worldcat.org/oclc/878671","WorldCat Record")</f>
        <v/>
      </c>
      <c r="AU50" t="inlineStr">
        <is>
          <t>4066051490:eng</t>
        </is>
      </c>
      <c r="AV50" t="inlineStr">
        <is>
          <t>878671</t>
        </is>
      </c>
      <c r="AW50" t="inlineStr">
        <is>
          <t>991004449789702656</t>
        </is>
      </c>
      <c r="AX50" t="inlineStr">
        <is>
          <t>991004449789702656</t>
        </is>
      </c>
      <c r="AY50" t="inlineStr">
        <is>
          <t>2272036950002656</t>
        </is>
      </c>
      <c r="AZ50" t="inlineStr">
        <is>
          <t>BOOK</t>
        </is>
      </c>
      <c r="BC50" t="inlineStr">
        <is>
          <t>32285002693108</t>
        </is>
      </c>
      <c r="BD50" t="inlineStr">
        <is>
          <t>893712614</t>
        </is>
      </c>
    </row>
    <row r="51">
      <c r="A51" t="inlineStr">
        <is>
          <t>No</t>
        </is>
      </c>
      <c r="B51" t="inlineStr">
        <is>
          <t>G2230 .K72 1959</t>
        </is>
      </c>
      <c r="C51" t="inlineStr">
        <is>
          <t>0                      G  2230000K  72          1959</t>
        </is>
      </c>
      <c r="D51" t="inlineStr">
        <is>
          <t>Rand McNally historical atlas of the Holy land.</t>
        </is>
      </c>
      <c r="F51" t="inlineStr">
        <is>
          <t>No</t>
        </is>
      </c>
      <c r="G51" t="inlineStr">
        <is>
          <t>1</t>
        </is>
      </c>
      <c r="H51" t="inlineStr">
        <is>
          <t>No</t>
        </is>
      </c>
      <c r="I51" t="inlineStr">
        <is>
          <t>No</t>
        </is>
      </c>
      <c r="J51" t="inlineStr">
        <is>
          <t>0</t>
        </is>
      </c>
      <c r="K51" t="inlineStr">
        <is>
          <t>Kraeling, Emil G. (Emil Gottlieb), 1892-1973.</t>
        </is>
      </c>
      <c r="L51" t="inlineStr">
        <is>
          <t>Chicago : Rand McNally, c1959.</t>
        </is>
      </c>
      <c r="M51" t="inlineStr">
        <is>
          <t>1959</t>
        </is>
      </c>
      <c r="O51" t="inlineStr">
        <is>
          <t>eng</t>
        </is>
      </c>
      <c r="P51" t="inlineStr">
        <is>
          <t>ilu</t>
        </is>
      </c>
      <c r="R51" t="inlineStr">
        <is>
          <t xml:space="preserve">G  </t>
        </is>
      </c>
      <c r="S51" t="n">
        <v>3</v>
      </c>
      <c r="T51" t="n">
        <v>3</v>
      </c>
      <c r="U51" t="inlineStr">
        <is>
          <t>2010-09-25</t>
        </is>
      </c>
      <c r="V51" t="inlineStr">
        <is>
          <t>2010-09-25</t>
        </is>
      </c>
      <c r="W51" t="inlineStr">
        <is>
          <t>1997-05-22</t>
        </is>
      </c>
      <c r="X51" t="inlineStr">
        <is>
          <t>1997-05-22</t>
        </is>
      </c>
      <c r="Y51" t="n">
        <v>378</v>
      </c>
      <c r="Z51" t="n">
        <v>343</v>
      </c>
      <c r="AA51" t="n">
        <v>343</v>
      </c>
      <c r="AB51" t="n">
        <v>2</v>
      </c>
      <c r="AC51" t="n">
        <v>2</v>
      </c>
      <c r="AD51" t="n">
        <v>8</v>
      </c>
      <c r="AE51" t="n">
        <v>8</v>
      </c>
      <c r="AF51" t="n">
        <v>2</v>
      </c>
      <c r="AG51" t="n">
        <v>2</v>
      </c>
      <c r="AH51" t="n">
        <v>2</v>
      </c>
      <c r="AI51" t="n">
        <v>2</v>
      </c>
      <c r="AJ51" t="n">
        <v>4</v>
      </c>
      <c r="AK51" t="n">
        <v>4</v>
      </c>
      <c r="AL51" t="n">
        <v>1</v>
      </c>
      <c r="AM51" t="n">
        <v>1</v>
      </c>
      <c r="AN51" t="n">
        <v>0</v>
      </c>
      <c r="AO51" t="n">
        <v>0</v>
      </c>
      <c r="AP51" t="inlineStr">
        <is>
          <t>No</t>
        </is>
      </c>
      <c r="AQ51" t="inlineStr">
        <is>
          <t>Yes</t>
        </is>
      </c>
      <c r="AR51">
        <f>HYPERLINK("http://catalog.hathitrust.org/Record/012271476","HathiTrust Record")</f>
        <v/>
      </c>
      <c r="AS51">
        <f>HYPERLINK("https://creighton-primo.hosted.exlibrisgroup.com/primo-explore/search?tab=default_tab&amp;search_scope=EVERYTHING&amp;vid=01CRU&amp;lang=en_US&amp;offset=0&amp;query=any,contains,991002477639702656","Catalog Record")</f>
        <v/>
      </c>
      <c r="AT51">
        <f>HYPERLINK("http://www.worldcat.org/oclc/359042","WorldCat Record")</f>
        <v/>
      </c>
      <c r="AU51" t="inlineStr">
        <is>
          <t>5582970431:eng</t>
        </is>
      </c>
      <c r="AV51" t="inlineStr">
        <is>
          <t>359042</t>
        </is>
      </c>
      <c r="AW51" t="inlineStr">
        <is>
          <t>991002477639702656</t>
        </is>
      </c>
      <c r="AX51" t="inlineStr">
        <is>
          <t>991002477639702656</t>
        </is>
      </c>
      <c r="AY51" t="inlineStr">
        <is>
          <t>2272597900002656</t>
        </is>
      </c>
      <c r="AZ51" t="inlineStr">
        <is>
          <t>BOOK</t>
        </is>
      </c>
      <c r="BC51" t="inlineStr">
        <is>
          <t>32285002693116</t>
        </is>
      </c>
      <c r="BD51" t="inlineStr">
        <is>
          <t>893409145</t>
        </is>
      </c>
    </row>
    <row r="52">
      <c r="A52" t="inlineStr">
        <is>
          <t>No</t>
        </is>
      </c>
      <c r="B52" t="inlineStr">
        <is>
          <t>G240 .H228 1972</t>
        </is>
      </c>
      <c r="C52" t="inlineStr">
        <is>
          <t>0                      G  0240000H  228         1972</t>
        </is>
      </c>
      <c r="D52" t="inlineStr">
        <is>
          <t>Voyages and discoveries : the principal navigations, voyages, traffiques and discoveries of the English Nation / Hakluyt. Edited, abridged and introduced by Jack Beeching.</t>
        </is>
      </c>
      <c r="F52" t="inlineStr">
        <is>
          <t>No</t>
        </is>
      </c>
      <c r="G52" t="inlineStr">
        <is>
          <t>1</t>
        </is>
      </c>
      <c r="H52" t="inlineStr">
        <is>
          <t>No</t>
        </is>
      </c>
      <c r="I52" t="inlineStr">
        <is>
          <t>No</t>
        </is>
      </c>
      <c r="J52" t="inlineStr">
        <is>
          <t>0</t>
        </is>
      </c>
      <c r="K52" t="inlineStr">
        <is>
          <t>Hakluyt, Richard, 1552?-1616 compiler.</t>
        </is>
      </c>
      <c r="L52" t="inlineStr">
        <is>
          <t>[Harmondsworth, Eng. ; Baltimore] : Penguin Books, c1972, 1985 printing</t>
        </is>
      </c>
      <c r="M52" t="inlineStr">
        <is>
          <t>1972</t>
        </is>
      </c>
      <c r="O52" t="inlineStr">
        <is>
          <t>eng</t>
        </is>
      </c>
      <c r="P52" t="inlineStr">
        <is>
          <t>enk</t>
        </is>
      </c>
      <c r="Q52" t="inlineStr">
        <is>
          <t>Penguin classics</t>
        </is>
      </c>
      <c r="R52" t="inlineStr">
        <is>
          <t xml:space="preserve">G  </t>
        </is>
      </c>
      <c r="S52" t="n">
        <v>1</v>
      </c>
      <c r="T52" t="n">
        <v>1</v>
      </c>
      <c r="U52" t="inlineStr">
        <is>
          <t>2009-09-03</t>
        </is>
      </c>
      <c r="V52" t="inlineStr">
        <is>
          <t>2009-09-03</t>
        </is>
      </c>
      <c r="W52" t="inlineStr">
        <is>
          <t>1991-12-20</t>
        </is>
      </c>
      <c r="X52" t="inlineStr">
        <is>
          <t>1991-12-20</t>
        </is>
      </c>
      <c r="Y52" t="n">
        <v>258</v>
      </c>
      <c r="Z52" t="n">
        <v>143</v>
      </c>
      <c r="AA52" t="n">
        <v>276</v>
      </c>
      <c r="AB52" t="n">
        <v>2</v>
      </c>
      <c r="AC52" t="n">
        <v>2</v>
      </c>
      <c r="AD52" t="n">
        <v>9</v>
      </c>
      <c r="AE52" t="n">
        <v>12</v>
      </c>
      <c r="AF52" t="n">
        <v>4</v>
      </c>
      <c r="AG52" t="n">
        <v>6</v>
      </c>
      <c r="AH52" t="n">
        <v>1</v>
      </c>
      <c r="AI52" t="n">
        <v>1</v>
      </c>
      <c r="AJ52" t="n">
        <v>6</v>
      </c>
      <c r="AK52" t="n">
        <v>8</v>
      </c>
      <c r="AL52" t="n">
        <v>1</v>
      </c>
      <c r="AM52" t="n">
        <v>1</v>
      </c>
      <c r="AN52" t="n">
        <v>0</v>
      </c>
      <c r="AO52" t="n">
        <v>0</v>
      </c>
      <c r="AP52" t="inlineStr">
        <is>
          <t>No</t>
        </is>
      </c>
      <c r="AQ52" t="inlineStr">
        <is>
          <t>Yes</t>
        </is>
      </c>
      <c r="AR52">
        <f>HYPERLINK("http://catalog.hathitrust.org/Record/000604732","HathiTrust Record")</f>
        <v/>
      </c>
      <c r="AS52">
        <f>HYPERLINK("https://creighton-primo.hosted.exlibrisgroup.com/primo-explore/search?tab=default_tab&amp;search_scope=EVERYTHING&amp;vid=01CRU&amp;lang=en_US&amp;offset=0&amp;query=any,contains,991002730359702656","Catalog Record")</f>
        <v/>
      </c>
      <c r="AT52">
        <f>HYPERLINK("http://www.worldcat.org/oclc/416052","WorldCat Record")</f>
        <v/>
      </c>
      <c r="AU52" t="inlineStr">
        <is>
          <t>13583495:eng</t>
        </is>
      </c>
      <c r="AV52" t="inlineStr">
        <is>
          <t>416052</t>
        </is>
      </c>
      <c r="AW52" t="inlineStr">
        <is>
          <t>991002730359702656</t>
        </is>
      </c>
      <c r="AX52" t="inlineStr">
        <is>
          <t>991002730359702656</t>
        </is>
      </c>
      <c r="AY52" t="inlineStr">
        <is>
          <t>2266648420002656</t>
        </is>
      </c>
      <c r="AZ52" t="inlineStr">
        <is>
          <t>BOOK</t>
        </is>
      </c>
      <c r="BC52" t="inlineStr">
        <is>
          <t>32285000892025</t>
        </is>
      </c>
      <c r="BD52" t="inlineStr">
        <is>
          <t>893880334</t>
        </is>
      </c>
    </row>
    <row r="53">
      <c r="A53" t="inlineStr">
        <is>
          <t>No</t>
        </is>
      </c>
      <c r="B53" t="inlineStr">
        <is>
          <t>G240 .H33</t>
        </is>
      </c>
      <c r="C53" t="inlineStr">
        <is>
          <t>0                      G  0240000H  33</t>
        </is>
      </c>
      <c r="D53" t="inlineStr">
        <is>
          <t>The principal navigations, voyages, traffiques &amp; discoveries of the English nations, made by sea or overland to the remote &amp; farthest distant quarters of the earth at any time within the compasse of these 1600 yeares, by Richard Hakluyt.</t>
        </is>
      </c>
      <c r="E53" t="inlineStr">
        <is>
          <t>V.6</t>
        </is>
      </c>
      <c r="F53" t="inlineStr">
        <is>
          <t>Yes</t>
        </is>
      </c>
      <c r="G53" t="inlineStr">
        <is>
          <t>1</t>
        </is>
      </c>
      <c r="H53" t="inlineStr">
        <is>
          <t>No</t>
        </is>
      </c>
      <c r="I53" t="inlineStr">
        <is>
          <t>No</t>
        </is>
      </c>
      <c r="J53" t="inlineStr">
        <is>
          <t>0</t>
        </is>
      </c>
      <c r="K53" t="inlineStr">
        <is>
          <t>Hakluyt, Richard, 1552?-1616.</t>
        </is>
      </c>
      <c r="L53" t="inlineStr">
        <is>
          <t>London, J. M. Dent &amp; sons, ltd.; New York, E. P. Dutton &amp; co. [1907]</t>
        </is>
      </c>
      <c r="M53" t="inlineStr">
        <is>
          <t>1907</t>
        </is>
      </c>
      <c r="O53" t="inlineStr">
        <is>
          <t>eng</t>
        </is>
      </c>
      <c r="P53" t="inlineStr">
        <is>
          <t xml:space="preserve">xx </t>
        </is>
      </c>
      <c r="Q53" t="inlineStr">
        <is>
          <t>Everyman's library, ed. by Ernest Rhys. Travel. [no. 264-265, 313-314, 338-339, 388-389]</t>
        </is>
      </c>
      <c r="R53" t="inlineStr">
        <is>
          <t xml:space="preserve">G  </t>
        </is>
      </c>
      <c r="S53" t="n">
        <v>0</v>
      </c>
      <c r="T53" t="n">
        <v>0</v>
      </c>
      <c r="V53" t="inlineStr">
        <is>
          <t>2004-02-16</t>
        </is>
      </c>
      <c r="W53" t="inlineStr">
        <is>
          <t>1997-05-21</t>
        </is>
      </c>
      <c r="X53" t="inlineStr">
        <is>
          <t>1997-05-21</t>
        </is>
      </c>
      <c r="Y53" t="n">
        <v>261</v>
      </c>
      <c r="Z53" t="n">
        <v>202</v>
      </c>
      <c r="AA53" t="n">
        <v>223</v>
      </c>
      <c r="AB53" t="n">
        <v>2</v>
      </c>
      <c r="AC53" t="n">
        <v>2</v>
      </c>
      <c r="AD53" t="n">
        <v>9</v>
      </c>
      <c r="AE53" t="n">
        <v>9</v>
      </c>
      <c r="AF53" t="n">
        <v>3</v>
      </c>
      <c r="AG53" t="n">
        <v>3</v>
      </c>
      <c r="AH53" t="n">
        <v>3</v>
      </c>
      <c r="AI53" t="n">
        <v>3</v>
      </c>
      <c r="AJ53" t="n">
        <v>5</v>
      </c>
      <c r="AK53" t="n">
        <v>5</v>
      </c>
      <c r="AL53" t="n">
        <v>1</v>
      </c>
      <c r="AM53" t="n">
        <v>1</v>
      </c>
      <c r="AN53" t="n">
        <v>0</v>
      </c>
      <c r="AO53" t="n">
        <v>0</v>
      </c>
      <c r="AP53" t="inlineStr">
        <is>
          <t>Yes</t>
        </is>
      </c>
      <c r="AQ53" t="inlineStr">
        <is>
          <t>No</t>
        </is>
      </c>
      <c r="AR53">
        <f>HYPERLINK("http://catalog.hathitrust.org/Record/100320466","HathiTrust Record")</f>
        <v/>
      </c>
      <c r="AS53">
        <f>HYPERLINK("https://creighton-primo.hosted.exlibrisgroup.com/primo-explore/search?tab=default_tab&amp;search_scope=EVERYTHING&amp;vid=01CRU&amp;lang=en_US&amp;offset=0&amp;query=any,contains,991003105809702656","Catalog Record")</f>
        <v/>
      </c>
      <c r="AT53">
        <f>HYPERLINK("http://www.worldcat.org/oclc/653983","WorldCat Record")</f>
        <v/>
      </c>
      <c r="AU53" t="inlineStr">
        <is>
          <t>5377892198:eng</t>
        </is>
      </c>
      <c r="AV53" t="inlineStr">
        <is>
          <t>653983</t>
        </is>
      </c>
      <c r="AW53" t="inlineStr">
        <is>
          <t>991003105809702656</t>
        </is>
      </c>
      <c r="AX53" t="inlineStr">
        <is>
          <t>991003105809702656</t>
        </is>
      </c>
      <c r="AY53" t="inlineStr">
        <is>
          <t>2264262250002656</t>
        </is>
      </c>
      <c r="AZ53" t="inlineStr">
        <is>
          <t>BOOK</t>
        </is>
      </c>
      <c r="BC53" t="inlineStr">
        <is>
          <t>32285002691094</t>
        </is>
      </c>
      <c r="BD53" t="inlineStr">
        <is>
          <t>893252037</t>
        </is>
      </c>
    </row>
    <row r="54">
      <c r="A54" t="inlineStr">
        <is>
          <t>No</t>
        </is>
      </c>
      <c r="B54" t="inlineStr">
        <is>
          <t>G240 .H33</t>
        </is>
      </c>
      <c r="C54" t="inlineStr">
        <is>
          <t>0                      G  0240000H  33</t>
        </is>
      </c>
      <c r="D54" t="inlineStr">
        <is>
          <t>The principal navigations, voyages, traffiques &amp; discoveries of the English nations, made by sea or overland to the remote &amp; farthest distant quarters of the earth at any time within the compasse of these 1600 yeares, by Richard Hakluyt.</t>
        </is>
      </c>
      <c r="E54" t="inlineStr">
        <is>
          <t>V.5</t>
        </is>
      </c>
      <c r="F54" t="inlineStr">
        <is>
          <t>Yes</t>
        </is>
      </c>
      <c r="G54" t="inlineStr">
        <is>
          <t>1</t>
        </is>
      </c>
      <c r="H54" t="inlineStr">
        <is>
          <t>No</t>
        </is>
      </c>
      <c r="I54" t="inlineStr">
        <is>
          <t>No</t>
        </is>
      </c>
      <c r="J54" t="inlineStr">
        <is>
          <t>0</t>
        </is>
      </c>
      <c r="K54" t="inlineStr">
        <is>
          <t>Hakluyt, Richard, 1552?-1616.</t>
        </is>
      </c>
      <c r="L54" t="inlineStr">
        <is>
          <t>London, J. M. Dent &amp; sons, ltd.; New York, E. P. Dutton &amp; co. [1907]</t>
        </is>
      </c>
      <c r="M54" t="inlineStr">
        <is>
          <t>1907</t>
        </is>
      </c>
      <c r="O54" t="inlineStr">
        <is>
          <t>eng</t>
        </is>
      </c>
      <c r="P54" t="inlineStr">
        <is>
          <t xml:space="preserve">xx </t>
        </is>
      </c>
      <c r="Q54" t="inlineStr">
        <is>
          <t>Everyman's library, ed. by Ernest Rhys. Travel. [no. 264-265, 313-314, 338-339, 388-389]</t>
        </is>
      </c>
      <c r="R54" t="inlineStr">
        <is>
          <t xml:space="preserve">G  </t>
        </is>
      </c>
      <c r="S54" t="n">
        <v>0</v>
      </c>
      <c r="T54" t="n">
        <v>0</v>
      </c>
      <c r="V54" t="inlineStr">
        <is>
          <t>2004-02-16</t>
        </is>
      </c>
      <c r="W54" t="inlineStr">
        <is>
          <t>1997-05-21</t>
        </is>
      </c>
      <c r="X54" t="inlineStr">
        <is>
          <t>1997-05-21</t>
        </is>
      </c>
      <c r="Y54" t="n">
        <v>261</v>
      </c>
      <c r="Z54" t="n">
        <v>202</v>
      </c>
      <c r="AA54" t="n">
        <v>223</v>
      </c>
      <c r="AB54" t="n">
        <v>2</v>
      </c>
      <c r="AC54" t="n">
        <v>2</v>
      </c>
      <c r="AD54" t="n">
        <v>9</v>
      </c>
      <c r="AE54" t="n">
        <v>9</v>
      </c>
      <c r="AF54" t="n">
        <v>3</v>
      </c>
      <c r="AG54" t="n">
        <v>3</v>
      </c>
      <c r="AH54" t="n">
        <v>3</v>
      </c>
      <c r="AI54" t="n">
        <v>3</v>
      </c>
      <c r="AJ54" t="n">
        <v>5</v>
      </c>
      <c r="AK54" t="n">
        <v>5</v>
      </c>
      <c r="AL54" t="n">
        <v>1</v>
      </c>
      <c r="AM54" t="n">
        <v>1</v>
      </c>
      <c r="AN54" t="n">
        <v>0</v>
      </c>
      <c r="AO54" t="n">
        <v>0</v>
      </c>
      <c r="AP54" t="inlineStr">
        <is>
          <t>Yes</t>
        </is>
      </c>
      <c r="AQ54" t="inlineStr">
        <is>
          <t>No</t>
        </is>
      </c>
      <c r="AR54">
        <f>HYPERLINK("http://catalog.hathitrust.org/Record/100320466","HathiTrust Record")</f>
        <v/>
      </c>
      <c r="AS54">
        <f>HYPERLINK("https://creighton-primo.hosted.exlibrisgroup.com/primo-explore/search?tab=default_tab&amp;search_scope=EVERYTHING&amp;vid=01CRU&amp;lang=en_US&amp;offset=0&amp;query=any,contains,991003105809702656","Catalog Record")</f>
        <v/>
      </c>
      <c r="AT54">
        <f>HYPERLINK("http://www.worldcat.org/oclc/653983","WorldCat Record")</f>
        <v/>
      </c>
      <c r="AU54" t="inlineStr">
        <is>
          <t>5377892198:eng</t>
        </is>
      </c>
      <c r="AV54" t="inlineStr">
        <is>
          <t>653983</t>
        </is>
      </c>
      <c r="AW54" t="inlineStr">
        <is>
          <t>991003105809702656</t>
        </is>
      </c>
      <c r="AX54" t="inlineStr">
        <is>
          <t>991003105809702656</t>
        </is>
      </c>
      <c r="AY54" t="inlineStr">
        <is>
          <t>2264262250002656</t>
        </is>
      </c>
      <c r="AZ54" t="inlineStr">
        <is>
          <t>BOOK</t>
        </is>
      </c>
      <c r="BC54" t="inlineStr">
        <is>
          <t>32285002691086</t>
        </is>
      </c>
      <c r="BD54" t="inlineStr">
        <is>
          <t>893239886</t>
        </is>
      </c>
    </row>
    <row r="55">
      <c r="A55" t="inlineStr">
        <is>
          <t>No</t>
        </is>
      </c>
      <c r="B55" t="inlineStr">
        <is>
          <t>G240 .H33</t>
        </is>
      </c>
      <c r="C55" t="inlineStr">
        <is>
          <t>0                      G  0240000H  33</t>
        </is>
      </c>
      <c r="D55" t="inlineStr">
        <is>
          <t>The principal navigations, voyages, traffiques &amp; discoveries of the English nations, made by sea or overland to the remote &amp; farthest distant quarters of the earth at any time within the compasse of these 1600 yeares, by Richard Hakluyt.</t>
        </is>
      </c>
      <c r="E55" t="inlineStr">
        <is>
          <t>V.3</t>
        </is>
      </c>
      <c r="F55" t="inlineStr">
        <is>
          <t>Yes</t>
        </is>
      </c>
      <c r="G55" t="inlineStr">
        <is>
          <t>1</t>
        </is>
      </c>
      <c r="H55" t="inlineStr">
        <is>
          <t>No</t>
        </is>
      </c>
      <c r="I55" t="inlineStr">
        <is>
          <t>No</t>
        </is>
      </c>
      <c r="J55" t="inlineStr">
        <is>
          <t>0</t>
        </is>
      </c>
      <c r="K55" t="inlineStr">
        <is>
          <t>Hakluyt, Richard, 1552?-1616.</t>
        </is>
      </c>
      <c r="L55" t="inlineStr">
        <is>
          <t>London, J. M. Dent &amp; sons, ltd.; New York, E. P. Dutton &amp; co. [1907]</t>
        </is>
      </c>
      <c r="M55" t="inlineStr">
        <is>
          <t>1907</t>
        </is>
      </c>
      <c r="O55" t="inlineStr">
        <is>
          <t>eng</t>
        </is>
      </c>
      <c r="P55" t="inlineStr">
        <is>
          <t xml:space="preserve">xx </t>
        </is>
      </c>
      <c r="Q55" t="inlineStr">
        <is>
          <t>Everyman's library, ed. by Ernest Rhys. Travel. [no. 264-265, 313-314, 338-339, 388-389]</t>
        </is>
      </c>
      <c r="R55" t="inlineStr">
        <is>
          <t xml:space="preserve">G  </t>
        </is>
      </c>
      <c r="S55" t="n">
        <v>0</v>
      </c>
      <c r="T55" t="n">
        <v>0</v>
      </c>
      <c r="V55" t="inlineStr">
        <is>
          <t>2004-02-16</t>
        </is>
      </c>
      <c r="W55" t="inlineStr">
        <is>
          <t>1997-05-21</t>
        </is>
      </c>
      <c r="X55" t="inlineStr">
        <is>
          <t>1997-05-21</t>
        </is>
      </c>
      <c r="Y55" t="n">
        <v>261</v>
      </c>
      <c r="Z55" t="n">
        <v>202</v>
      </c>
      <c r="AA55" t="n">
        <v>223</v>
      </c>
      <c r="AB55" t="n">
        <v>2</v>
      </c>
      <c r="AC55" t="n">
        <v>2</v>
      </c>
      <c r="AD55" t="n">
        <v>9</v>
      </c>
      <c r="AE55" t="n">
        <v>9</v>
      </c>
      <c r="AF55" t="n">
        <v>3</v>
      </c>
      <c r="AG55" t="n">
        <v>3</v>
      </c>
      <c r="AH55" t="n">
        <v>3</v>
      </c>
      <c r="AI55" t="n">
        <v>3</v>
      </c>
      <c r="AJ55" t="n">
        <v>5</v>
      </c>
      <c r="AK55" t="n">
        <v>5</v>
      </c>
      <c r="AL55" t="n">
        <v>1</v>
      </c>
      <c r="AM55" t="n">
        <v>1</v>
      </c>
      <c r="AN55" t="n">
        <v>0</v>
      </c>
      <c r="AO55" t="n">
        <v>0</v>
      </c>
      <c r="AP55" t="inlineStr">
        <is>
          <t>Yes</t>
        </is>
      </c>
      <c r="AQ55" t="inlineStr">
        <is>
          <t>No</t>
        </is>
      </c>
      <c r="AR55">
        <f>HYPERLINK("http://catalog.hathitrust.org/Record/100320466","HathiTrust Record")</f>
        <v/>
      </c>
      <c r="AS55">
        <f>HYPERLINK("https://creighton-primo.hosted.exlibrisgroup.com/primo-explore/search?tab=default_tab&amp;search_scope=EVERYTHING&amp;vid=01CRU&amp;lang=en_US&amp;offset=0&amp;query=any,contains,991003105809702656","Catalog Record")</f>
        <v/>
      </c>
      <c r="AT55">
        <f>HYPERLINK("http://www.worldcat.org/oclc/653983","WorldCat Record")</f>
        <v/>
      </c>
      <c r="AU55" t="inlineStr">
        <is>
          <t>5377892198:eng</t>
        </is>
      </c>
      <c r="AV55" t="inlineStr">
        <is>
          <t>653983</t>
        </is>
      </c>
      <c r="AW55" t="inlineStr">
        <is>
          <t>991003105809702656</t>
        </is>
      </c>
      <c r="AX55" t="inlineStr">
        <is>
          <t>991003105809702656</t>
        </is>
      </c>
      <c r="AY55" t="inlineStr">
        <is>
          <t>2264262250002656</t>
        </is>
      </c>
      <c r="AZ55" t="inlineStr">
        <is>
          <t>BOOK</t>
        </is>
      </c>
      <c r="BC55" t="inlineStr">
        <is>
          <t>32285002691060</t>
        </is>
      </c>
      <c r="BD55" t="inlineStr">
        <is>
          <t>893252038</t>
        </is>
      </c>
    </row>
    <row r="56">
      <c r="A56" t="inlineStr">
        <is>
          <t>No</t>
        </is>
      </c>
      <c r="B56" t="inlineStr">
        <is>
          <t>G240 .H33</t>
        </is>
      </c>
      <c r="C56" t="inlineStr">
        <is>
          <t>0                      G  0240000H  33</t>
        </is>
      </c>
      <c r="D56" t="inlineStr">
        <is>
          <t>The principal navigations, voyages, traffiques &amp; discoveries of the English nations, made by sea or overland to the remote &amp; farthest distant quarters of the earth at any time within the compasse of these 1600 yeares, by Richard Hakluyt.</t>
        </is>
      </c>
      <c r="E56" t="inlineStr">
        <is>
          <t>V.8</t>
        </is>
      </c>
      <c r="F56" t="inlineStr">
        <is>
          <t>Yes</t>
        </is>
      </c>
      <c r="G56" t="inlineStr">
        <is>
          <t>1</t>
        </is>
      </c>
      <c r="H56" t="inlineStr">
        <is>
          <t>No</t>
        </is>
      </c>
      <c r="I56" t="inlineStr">
        <is>
          <t>No</t>
        </is>
      </c>
      <c r="J56" t="inlineStr">
        <is>
          <t>0</t>
        </is>
      </c>
      <c r="K56" t="inlineStr">
        <is>
          <t>Hakluyt, Richard, 1552?-1616.</t>
        </is>
      </c>
      <c r="L56" t="inlineStr">
        <is>
          <t>London, J. M. Dent &amp; sons, ltd.; New York, E. P. Dutton &amp; co. [1907]</t>
        </is>
      </c>
      <c r="M56" t="inlineStr">
        <is>
          <t>1907</t>
        </is>
      </c>
      <c r="O56" t="inlineStr">
        <is>
          <t>eng</t>
        </is>
      </c>
      <c r="P56" t="inlineStr">
        <is>
          <t xml:space="preserve">xx </t>
        </is>
      </c>
      <c r="Q56" t="inlineStr">
        <is>
          <t>Everyman's library, ed. by Ernest Rhys. Travel. [no. 264-265, 313-314, 338-339, 388-389]</t>
        </is>
      </c>
      <c r="R56" t="inlineStr">
        <is>
          <t xml:space="preserve">G  </t>
        </is>
      </c>
      <c r="S56" t="n">
        <v>0</v>
      </c>
      <c r="T56" t="n">
        <v>0</v>
      </c>
      <c r="V56" t="inlineStr">
        <is>
          <t>2004-02-16</t>
        </is>
      </c>
      <c r="W56" t="inlineStr">
        <is>
          <t>1997-05-21</t>
        </is>
      </c>
      <c r="X56" t="inlineStr">
        <is>
          <t>1997-05-21</t>
        </is>
      </c>
      <c r="Y56" t="n">
        <v>261</v>
      </c>
      <c r="Z56" t="n">
        <v>202</v>
      </c>
      <c r="AA56" t="n">
        <v>223</v>
      </c>
      <c r="AB56" t="n">
        <v>2</v>
      </c>
      <c r="AC56" t="n">
        <v>2</v>
      </c>
      <c r="AD56" t="n">
        <v>9</v>
      </c>
      <c r="AE56" t="n">
        <v>9</v>
      </c>
      <c r="AF56" t="n">
        <v>3</v>
      </c>
      <c r="AG56" t="n">
        <v>3</v>
      </c>
      <c r="AH56" t="n">
        <v>3</v>
      </c>
      <c r="AI56" t="n">
        <v>3</v>
      </c>
      <c r="AJ56" t="n">
        <v>5</v>
      </c>
      <c r="AK56" t="n">
        <v>5</v>
      </c>
      <c r="AL56" t="n">
        <v>1</v>
      </c>
      <c r="AM56" t="n">
        <v>1</v>
      </c>
      <c r="AN56" t="n">
        <v>0</v>
      </c>
      <c r="AO56" t="n">
        <v>0</v>
      </c>
      <c r="AP56" t="inlineStr">
        <is>
          <t>Yes</t>
        </is>
      </c>
      <c r="AQ56" t="inlineStr">
        <is>
          <t>No</t>
        </is>
      </c>
      <c r="AR56">
        <f>HYPERLINK("http://catalog.hathitrust.org/Record/100320466","HathiTrust Record")</f>
        <v/>
      </c>
      <c r="AS56">
        <f>HYPERLINK("https://creighton-primo.hosted.exlibrisgroup.com/primo-explore/search?tab=default_tab&amp;search_scope=EVERYTHING&amp;vid=01CRU&amp;lang=en_US&amp;offset=0&amp;query=any,contains,991003105809702656","Catalog Record")</f>
        <v/>
      </c>
      <c r="AT56">
        <f>HYPERLINK("http://www.worldcat.org/oclc/653983","WorldCat Record")</f>
        <v/>
      </c>
      <c r="AU56" t="inlineStr">
        <is>
          <t>5377892198:eng</t>
        </is>
      </c>
      <c r="AV56" t="inlineStr">
        <is>
          <t>653983</t>
        </is>
      </c>
      <c r="AW56" t="inlineStr">
        <is>
          <t>991003105809702656</t>
        </is>
      </c>
      <c r="AX56" t="inlineStr">
        <is>
          <t>991003105809702656</t>
        </is>
      </c>
      <c r="AY56" t="inlineStr">
        <is>
          <t>2264262250002656</t>
        </is>
      </c>
      <c r="AZ56" t="inlineStr">
        <is>
          <t>BOOK</t>
        </is>
      </c>
      <c r="BC56" t="inlineStr">
        <is>
          <t>32285002691110</t>
        </is>
      </c>
      <c r="BD56" t="inlineStr">
        <is>
          <t>893239885</t>
        </is>
      </c>
    </row>
    <row r="57">
      <c r="A57" t="inlineStr">
        <is>
          <t>No</t>
        </is>
      </c>
      <c r="B57" t="inlineStr">
        <is>
          <t>G240 .H33</t>
        </is>
      </c>
      <c r="C57" t="inlineStr">
        <is>
          <t>0                      G  0240000H  33</t>
        </is>
      </c>
      <c r="D57" t="inlineStr">
        <is>
          <t>The principal navigations, voyages, traffiques &amp; discoveries of the English nations, made by sea or overland to the remote &amp; farthest distant quarters of the earth at any time within the compasse of these 1600 yeares, by Richard Hakluyt.</t>
        </is>
      </c>
      <c r="E57" t="inlineStr">
        <is>
          <t>V.2</t>
        </is>
      </c>
      <c r="F57" t="inlineStr">
        <is>
          <t>Yes</t>
        </is>
      </c>
      <c r="G57" t="inlineStr">
        <is>
          <t>1</t>
        </is>
      </c>
      <c r="H57" t="inlineStr">
        <is>
          <t>No</t>
        </is>
      </c>
      <c r="I57" t="inlineStr">
        <is>
          <t>No</t>
        </is>
      </c>
      <c r="J57" t="inlineStr">
        <is>
          <t>0</t>
        </is>
      </c>
      <c r="K57" t="inlineStr">
        <is>
          <t>Hakluyt, Richard, 1552?-1616.</t>
        </is>
      </c>
      <c r="L57" t="inlineStr">
        <is>
          <t>London, J. M. Dent &amp; sons, ltd.; New York, E. P. Dutton &amp; co. [1907]</t>
        </is>
      </c>
      <c r="M57" t="inlineStr">
        <is>
          <t>1907</t>
        </is>
      </c>
      <c r="O57" t="inlineStr">
        <is>
          <t>eng</t>
        </is>
      </c>
      <c r="P57" t="inlineStr">
        <is>
          <t xml:space="preserve">xx </t>
        </is>
      </c>
      <c r="Q57" t="inlineStr">
        <is>
          <t>Everyman's library, ed. by Ernest Rhys. Travel. [no. 264-265, 313-314, 338-339, 388-389]</t>
        </is>
      </c>
      <c r="R57" t="inlineStr">
        <is>
          <t xml:space="preserve">G  </t>
        </is>
      </c>
      <c r="S57" t="n">
        <v>0</v>
      </c>
      <c r="T57" t="n">
        <v>0</v>
      </c>
      <c r="V57" t="inlineStr">
        <is>
          <t>2004-02-16</t>
        </is>
      </c>
      <c r="W57" t="inlineStr">
        <is>
          <t>1997-05-21</t>
        </is>
      </c>
      <c r="X57" t="inlineStr">
        <is>
          <t>1997-05-21</t>
        </is>
      </c>
      <c r="Y57" t="n">
        <v>261</v>
      </c>
      <c r="Z57" t="n">
        <v>202</v>
      </c>
      <c r="AA57" t="n">
        <v>223</v>
      </c>
      <c r="AB57" t="n">
        <v>2</v>
      </c>
      <c r="AC57" t="n">
        <v>2</v>
      </c>
      <c r="AD57" t="n">
        <v>9</v>
      </c>
      <c r="AE57" t="n">
        <v>9</v>
      </c>
      <c r="AF57" t="n">
        <v>3</v>
      </c>
      <c r="AG57" t="n">
        <v>3</v>
      </c>
      <c r="AH57" t="n">
        <v>3</v>
      </c>
      <c r="AI57" t="n">
        <v>3</v>
      </c>
      <c r="AJ57" t="n">
        <v>5</v>
      </c>
      <c r="AK57" t="n">
        <v>5</v>
      </c>
      <c r="AL57" t="n">
        <v>1</v>
      </c>
      <c r="AM57" t="n">
        <v>1</v>
      </c>
      <c r="AN57" t="n">
        <v>0</v>
      </c>
      <c r="AO57" t="n">
        <v>0</v>
      </c>
      <c r="AP57" t="inlineStr">
        <is>
          <t>Yes</t>
        </is>
      </c>
      <c r="AQ57" t="inlineStr">
        <is>
          <t>No</t>
        </is>
      </c>
      <c r="AR57">
        <f>HYPERLINK("http://catalog.hathitrust.org/Record/100320466","HathiTrust Record")</f>
        <v/>
      </c>
      <c r="AS57">
        <f>HYPERLINK("https://creighton-primo.hosted.exlibrisgroup.com/primo-explore/search?tab=default_tab&amp;search_scope=EVERYTHING&amp;vid=01CRU&amp;lang=en_US&amp;offset=0&amp;query=any,contains,991003105809702656","Catalog Record")</f>
        <v/>
      </c>
      <c r="AT57">
        <f>HYPERLINK("http://www.worldcat.org/oclc/653983","WorldCat Record")</f>
        <v/>
      </c>
      <c r="AU57" t="inlineStr">
        <is>
          <t>5377892198:eng</t>
        </is>
      </c>
      <c r="AV57" t="inlineStr">
        <is>
          <t>653983</t>
        </is>
      </c>
      <c r="AW57" t="inlineStr">
        <is>
          <t>991003105809702656</t>
        </is>
      </c>
      <c r="AX57" t="inlineStr">
        <is>
          <t>991003105809702656</t>
        </is>
      </c>
      <c r="AY57" t="inlineStr">
        <is>
          <t>2264262250002656</t>
        </is>
      </c>
      <c r="AZ57" t="inlineStr">
        <is>
          <t>BOOK</t>
        </is>
      </c>
      <c r="BC57" t="inlineStr">
        <is>
          <t>32285002691052</t>
        </is>
      </c>
      <c r="BD57" t="inlineStr">
        <is>
          <t>893252039</t>
        </is>
      </c>
    </row>
    <row r="58">
      <c r="A58" t="inlineStr">
        <is>
          <t>No</t>
        </is>
      </c>
      <c r="B58" t="inlineStr">
        <is>
          <t>G240 .H33</t>
        </is>
      </c>
      <c r="C58" t="inlineStr">
        <is>
          <t>0                      G  0240000H  33</t>
        </is>
      </c>
      <c r="D58" t="inlineStr">
        <is>
          <t>The principal navigations, voyages, traffiques &amp; discoveries of the English nations, made by sea or overland to the remote &amp; farthest distant quarters of the earth at any time within the compasse of these 1600 yeares, by Richard Hakluyt.</t>
        </is>
      </c>
      <c r="E58" t="inlineStr">
        <is>
          <t>V.1</t>
        </is>
      </c>
      <c r="F58" t="inlineStr">
        <is>
          <t>Yes</t>
        </is>
      </c>
      <c r="G58" t="inlineStr">
        <is>
          <t>1</t>
        </is>
      </c>
      <c r="H58" t="inlineStr">
        <is>
          <t>No</t>
        </is>
      </c>
      <c r="I58" t="inlineStr">
        <is>
          <t>No</t>
        </is>
      </c>
      <c r="J58" t="inlineStr">
        <is>
          <t>0</t>
        </is>
      </c>
      <c r="K58" t="inlineStr">
        <is>
          <t>Hakluyt, Richard, 1552?-1616.</t>
        </is>
      </c>
      <c r="L58" t="inlineStr">
        <is>
          <t>London, J. M. Dent &amp; sons, ltd.; New York, E. P. Dutton &amp; co. [1907]</t>
        </is>
      </c>
      <c r="M58" t="inlineStr">
        <is>
          <t>1907</t>
        </is>
      </c>
      <c r="O58" t="inlineStr">
        <is>
          <t>eng</t>
        </is>
      </c>
      <c r="P58" t="inlineStr">
        <is>
          <t xml:space="preserve">xx </t>
        </is>
      </c>
      <c r="Q58" t="inlineStr">
        <is>
          <t>Everyman's library, ed. by Ernest Rhys. Travel. [no. 264-265, 313-314, 338-339, 388-389]</t>
        </is>
      </c>
      <c r="R58" t="inlineStr">
        <is>
          <t xml:space="preserve">G  </t>
        </is>
      </c>
      <c r="S58" t="n">
        <v>0</v>
      </c>
      <c r="T58" t="n">
        <v>0</v>
      </c>
      <c r="V58" t="inlineStr">
        <is>
          <t>2004-02-16</t>
        </is>
      </c>
      <c r="W58" t="inlineStr">
        <is>
          <t>1997-05-21</t>
        </is>
      </c>
      <c r="X58" t="inlineStr">
        <is>
          <t>1997-05-21</t>
        </is>
      </c>
      <c r="Y58" t="n">
        <v>261</v>
      </c>
      <c r="Z58" t="n">
        <v>202</v>
      </c>
      <c r="AA58" t="n">
        <v>223</v>
      </c>
      <c r="AB58" t="n">
        <v>2</v>
      </c>
      <c r="AC58" t="n">
        <v>2</v>
      </c>
      <c r="AD58" t="n">
        <v>9</v>
      </c>
      <c r="AE58" t="n">
        <v>9</v>
      </c>
      <c r="AF58" t="n">
        <v>3</v>
      </c>
      <c r="AG58" t="n">
        <v>3</v>
      </c>
      <c r="AH58" t="n">
        <v>3</v>
      </c>
      <c r="AI58" t="n">
        <v>3</v>
      </c>
      <c r="AJ58" t="n">
        <v>5</v>
      </c>
      <c r="AK58" t="n">
        <v>5</v>
      </c>
      <c r="AL58" t="n">
        <v>1</v>
      </c>
      <c r="AM58" t="n">
        <v>1</v>
      </c>
      <c r="AN58" t="n">
        <v>0</v>
      </c>
      <c r="AO58" t="n">
        <v>0</v>
      </c>
      <c r="AP58" t="inlineStr">
        <is>
          <t>Yes</t>
        </is>
      </c>
      <c r="AQ58" t="inlineStr">
        <is>
          <t>No</t>
        </is>
      </c>
      <c r="AR58">
        <f>HYPERLINK("http://catalog.hathitrust.org/Record/100320466","HathiTrust Record")</f>
        <v/>
      </c>
      <c r="AS58">
        <f>HYPERLINK("https://creighton-primo.hosted.exlibrisgroup.com/primo-explore/search?tab=default_tab&amp;search_scope=EVERYTHING&amp;vid=01CRU&amp;lang=en_US&amp;offset=0&amp;query=any,contains,991003105809702656","Catalog Record")</f>
        <v/>
      </c>
      <c r="AT58">
        <f>HYPERLINK("http://www.worldcat.org/oclc/653983","WorldCat Record")</f>
        <v/>
      </c>
      <c r="AU58" t="inlineStr">
        <is>
          <t>5377892198:eng</t>
        </is>
      </c>
      <c r="AV58" t="inlineStr">
        <is>
          <t>653983</t>
        </is>
      </c>
      <c r="AW58" t="inlineStr">
        <is>
          <t>991003105809702656</t>
        </is>
      </c>
      <c r="AX58" t="inlineStr">
        <is>
          <t>991003105809702656</t>
        </is>
      </c>
      <c r="AY58" t="inlineStr">
        <is>
          <t>2264262250002656</t>
        </is>
      </c>
      <c r="AZ58" t="inlineStr">
        <is>
          <t>BOOK</t>
        </is>
      </c>
      <c r="BC58" t="inlineStr">
        <is>
          <t>32285002691045</t>
        </is>
      </c>
      <c r="BD58" t="inlineStr">
        <is>
          <t>893252040</t>
        </is>
      </c>
    </row>
    <row r="59">
      <c r="A59" t="inlineStr">
        <is>
          <t>No</t>
        </is>
      </c>
      <c r="B59" t="inlineStr">
        <is>
          <t>G240 .H33</t>
        </is>
      </c>
      <c r="C59" t="inlineStr">
        <is>
          <t>0                      G  0240000H  33</t>
        </is>
      </c>
      <c r="D59" t="inlineStr">
        <is>
          <t>The principal navigations, voyages, traffiques &amp; discoveries of the English nations, made by sea or overland to the remote &amp; farthest distant quarters of the earth at any time within the compasse of these 1600 yeares, by Richard Hakluyt.</t>
        </is>
      </c>
      <c r="E59" t="inlineStr">
        <is>
          <t>V.4</t>
        </is>
      </c>
      <c r="F59" t="inlineStr">
        <is>
          <t>Yes</t>
        </is>
      </c>
      <c r="G59" t="inlineStr">
        <is>
          <t>1</t>
        </is>
      </c>
      <c r="H59" t="inlineStr">
        <is>
          <t>No</t>
        </is>
      </c>
      <c r="I59" t="inlineStr">
        <is>
          <t>No</t>
        </is>
      </c>
      <c r="J59" t="inlineStr">
        <is>
          <t>0</t>
        </is>
      </c>
      <c r="K59" t="inlineStr">
        <is>
          <t>Hakluyt, Richard, 1552?-1616.</t>
        </is>
      </c>
      <c r="L59" t="inlineStr">
        <is>
          <t>London, J. M. Dent &amp; sons, ltd.; New York, E. P. Dutton &amp; co. [1907]</t>
        </is>
      </c>
      <c r="M59" t="inlineStr">
        <is>
          <t>1907</t>
        </is>
      </c>
      <c r="O59" t="inlineStr">
        <is>
          <t>eng</t>
        </is>
      </c>
      <c r="P59" t="inlineStr">
        <is>
          <t xml:space="preserve">xx </t>
        </is>
      </c>
      <c r="Q59" t="inlineStr">
        <is>
          <t>Everyman's library, ed. by Ernest Rhys. Travel. [no. 264-265, 313-314, 338-339, 388-389]</t>
        </is>
      </c>
      <c r="R59" t="inlineStr">
        <is>
          <t xml:space="preserve">G  </t>
        </is>
      </c>
      <c r="S59" t="n">
        <v>0</v>
      </c>
      <c r="T59" t="n">
        <v>0</v>
      </c>
      <c r="V59" t="inlineStr">
        <is>
          <t>2004-02-16</t>
        </is>
      </c>
      <c r="W59" t="inlineStr">
        <is>
          <t>1997-05-21</t>
        </is>
      </c>
      <c r="X59" t="inlineStr">
        <is>
          <t>1997-05-21</t>
        </is>
      </c>
      <c r="Y59" t="n">
        <v>261</v>
      </c>
      <c r="Z59" t="n">
        <v>202</v>
      </c>
      <c r="AA59" t="n">
        <v>223</v>
      </c>
      <c r="AB59" t="n">
        <v>2</v>
      </c>
      <c r="AC59" t="n">
        <v>2</v>
      </c>
      <c r="AD59" t="n">
        <v>9</v>
      </c>
      <c r="AE59" t="n">
        <v>9</v>
      </c>
      <c r="AF59" t="n">
        <v>3</v>
      </c>
      <c r="AG59" t="n">
        <v>3</v>
      </c>
      <c r="AH59" t="n">
        <v>3</v>
      </c>
      <c r="AI59" t="n">
        <v>3</v>
      </c>
      <c r="AJ59" t="n">
        <v>5</v>
      </c>
      <c r="AK59" t="n">
        <v>5</v>
      </c>
      <c r="AL59" t="n">
        <v>1</v>
      </c>
      <c r="AM59" t="n">
        <v>1</v>
      </c>
      <c r="AN59" t="n">
        <v>0</v>
      </c>
      <c r="AO59" t="n">
        <v>0</v>
      </c>
      <c r="AP59" t="inlineStr">
        <is>
          <t>Yes</t>
        </is>
      </c>
      <c r="AQ59" t="inlineStr">
        <is>
          <t>No</t>
        </is>
      </c>
      <c r="AR59">
        <f>HYPERLINK("http://catalog.hathitrust.org/Record/100320466","HathiTrust Record")</f>
        <v/>
      </c>
      <c r="AS59">
        <f>HYPERLINK("https://creighton-primo.hosted.exlibrisgroup.com/primo-explore/search?tab=default_tab&amp;search_scope=EVERYTHING&amp;vid=01CRU&amp;lang=en_US&amp;offset=0&amp;query=any,contains,991003105809702656","Catalog Record")</f>
        <v/>
      </c>
      <c r="AT59">
        <f>HYPERLINK("http://www.worldcat.org/oclc/653983","WorldCat Record")</f>
        <v/>
      </c>
      <c r="AU59" t="inlineStr">
        <is>
          <t>5377892198:eng</t>
        </is>
      </c>
      <c r="AV59" t="inlineStr">
        <is>
          <t>653983</t>
        </is>
      </c>
      <c r="AW59" t="inlineStr">
        <is>
          <t>991003105809702656</t>
        </is>
      </c>
      <c r="AX59" t="inlineStr">
        <is>
          <t>991003105809702656</t>
        </is>
      </c>
      <c r="AY59" t="inlineStr">
        <is>
          <t>2264262250002656</t>
        </is>
      </c>
      <c r="AZ59" t="inlineStr">
        <is>
          <t>BOOK</t>
        </is>
      </c>
      <c r="BC59" t="inlineStr">
        <is>
          <t>32285002691078</t>
        </is>
      </c>
      <c r="BD59" t="inlineStr">
        <is>
          <t>893239888</t>
        </is>
      </c>
    </row>
    <row r="60">
      <c r="A60" t="inlineStr">
        <is>
          <t>No</t>
        </is>
      </c>
      <c r="B60" t="inlineStr">
        <is>
          <t>G240 .H33</t>
        </is>
      </c>
      <c r="C60" t="inlineStr">
        <is>
          <t>0                      G  0240000H  33</t>
        </is>
      </c>
      <c r="D60" t="inlineStr">
        <is>
          <t>The principal navigations, voyages, traffiques &amp; discoveries of the English nations, made by sea or overland to the remote &amp; farthest distant quarters of the earth at any time within the compasse of these 1600 yeares, by Richard Hakluyt.</t>
        </is>
      </c>
      <c r="E60" t="inlineStr">
        <is>
          <t>V.7</t>
        </is>
      </c>
      <c r="F60" t="inlineStr">
        <is>
          <t>Yes</t>
        </is>
      </c>
      <c r="G60" t="inlineStr">
        <is>
          <t>1</t>
        </is>
      </c>
      <c r="H60" t="inlineStr">
        <is>
          <t>No</t>
        </is>
      </c>
      <c r="I60" t="inlineStr">
        <is>
          <t>No</t>
        </is>
      </c>
      <c r="J60" t="inlineStr">
        <is>
          <t>0</t>
        </is>
      </c>
      <c r="K60" t="inlineStr">
        <is>
          <t>Hakluyt, Richard, 1552?-1616.</t>
        </is>
      </c>
      <c r="L60" t="inlineStr">
        <is>
          <t>London, J. M. Dent &amp; sons, ltd.; New York, E. P. Dutton &amp; co. [1907]</t>
        </is>
      </c>
      <c r="M60" t="inlineStr">
        <is>
          <t>1907</t>
        </is>
      </c>
      <c r="O60" t="inlineStr">
        <is>
          <t>eng</t>
        </is>
      </c>
      <c r="P60" t="inlineStr">
        <is>
          <t xml:space="preserve">xx </t>
        </is>
      </c>
      <c r="Q60" t="inlineStr">
        <is>
          <t>Everyman's library, ed. by Ernest Rhys. Travel. [no. 264-265, 313-314, 338-339, 388-389]</t>
        </is>
      </c>
      <c r="R60" t="inlineStr">
        <is>
          <t xml:space="preserve">G  </t>
        </is>
      </c>
      <c r="S60" t="n">
        <v>0</v>
      </c>
      <c r="T60" t="n">
        <v>0</v>
      </c>
      <c r="U60" t="inlineStr">
        <is>
          <t>2004-02-16</t>
        </is>
      </c>
      <c r="V60" t="inlineStr">
        <is>
          <t>2004-02-16</t>
        </is>
      </c>
      <c r="W60" t="inlineStr">
        <is>
          <t>1997-05-21</t>
        </is>
      </c>
      <c r="X60" t="inlineStr">
        <is>
          <t>1997-05-21</t>
        </is>
      </c>
      <c r="Y60" t="n">
        <v>261</v>
      </c>
      <c r="Z60" t="n">
        <v>202</v>
      </c>
      <c r="AA60" t="n">
        <v>223</v>
      </c>
      <c r="AB60" t="n">
        <v>2</v>
      </c>
      <c r="AC60" t="n">
        <v>2</v>
      </c>
      <c r="AD60" t="n">
        <v>9</v>
      </c>
      <c r="AE60" t="n">
        <v>9</v>
      </c>
      <c r="AF60" t="n">
        <v>3</v>
      </c>
      <c r="AG60" t="n">
        <v>3</v>
      </c>
      <c r="AH60" t="n">
        <v>3</v>
      </c>
      <c r="AI60" t="n">
        <v>3</v>
      </c>
      <c r="AJ60" t="n">
        <v>5</v>
      </c>
      <c r="AK60" t="n">
        <v>5</v>
      </c>
      <c r="AL60" t="n">
        <v>1</v>
      </c>
      <c r="AM60" t="n">
        <v>1</v>
      </c>
      <c r="AN60" t="n">
        <v>0</v>
      </c>
      <c r="AO60" t="n">
        <v>0</v>
      </c>
      <c r="AP60" t="inlineStr">
        <is>
          <t>Yes</t>
        </is>
      </c>
      <c r="AQ60" t="inlineStr">
        <is>
          <t>No</t>
        </is>
      </c>
      <c r="AR60">
        <f>HYPERLINK("http://catalog.hathitrust.org/Record/100320466","HathiTrust Record")</f>
        <v/>
      </c>
      <c r="AS60">
        <f>HYPERLINK("https://creighton-primo.hosted.exlibrisgroup.com/primo-explore/search?tab=default_tab&amp;search_scope=EVERYTHING&amp;vid=01CRU&amp;lang=en_US&amp;offset=0&amp;query=any,contains,991003105809702656","Catalog Record")</f>
        <v/>
      </c>
      <c r="AT60">
        <f>HYPERLINK("http://www.worldcat.org/oclc/653983","WorldCat Record")</f>
        <v/>
      </c>
      <c r="AU60" t="inlineStr">
        <is>
          <t>5377892198:eng</t>
        </is>
      </c>
      <c r="AV60" t="inlineStr">
        <is>
          <t>653983</t>
        </is>
      </c>
      <c r="AW60" t="inlineStr">
        <is>
          <t>991003105809702656</t>
        </is>
      </c>
      <c r="AX60" t="inlineStr">
        <is>
          <t>991003105809702656</t>
        </is>
      </c>
      <c r="AY60" t="inlineStr">
        <is>
          <t>2264262250002656</t>
        </is>
      </c>
      <c r="AZ60" t="inlineStr">
        <is>
          <t>BOOK</t>
        </is>
      </c>
      <c r="BC60" t="inlineStr">
        <is>
          <t>32285002691102</t>
        </is>
      </c>
      <c r="BD60" t="inlineStr">
        <is>
          <t>893239887</t>
        </is>
      </c>
    </row>
    <row r="61">
      <c r="A61" t="inlineStr">
        <is>
          <t>No</t>
        </is>
      </c>
      <c r="B61" t="inlineStr">
        <is>
          <t>G2446.S1 F73 1991</t>
        </is>
      </c>
      <c r="C61" t="inlineStr">
        <is>
          <t>0                      G  2446000S  1                  F  73          1991</t>
        </is>
      </c>
      <c r="D61" t="inlineStr">
        <is>
          <t>The new atlas of African history / G.S.P. Freeman-Grenville ; cartography, Lorraine Kessel ; designed and produced by Carta.</t>
        </is>
      </c>
      <c r="F61" t="inlineStr">
        <is>
          <t>No</t>
        </is>
      </c>
      <c r="G61" t="inlineStr">
        <is>
          <t>1</t>
        </is>
      </c>
      <c r="H61" t="inlineStr">
        <is>
          <t>No</t>
        </is>
      </c>
      <c r="I61" t="inlineStr">
        <is>
          <t>No</t>
        </is>
      </c>
      <c r="J61" t="inlineStr">
        <is>
          <t>0</t>
        </is>
      </c>
      <c r="K61" t="inlineStr">
        <is>
          <t>Freeman-Grenville, G. S. P. (Greville Stewart Parker)</t>
        </is>
      </c>
      <c r="L61" t="inlineStr">
        <is>
          <t>New York : Simon &amp; Schuster, c1991.</t>
        </is>
      </c>
      <c r="M61" t="inlineStr">
        <is>
          <t>1991</t>
        </is>
      </c>
      <c r="O61" t="inlineStr">
        <is>
          <t>eng</t>
        </is>
      </c>
      <c r="P61" t="inlineStr">
        <is>
          <t>nyu</t>
        </is>
      </c>
      <c r="R61" t="inlineStr">
        <is>
          <t xml:space="preserve">G  </t>
        </is>
      </c>
      <c r="S61" t="n">
        <v>8</v>
      </c>
      <c r="T61" t="n">
        <v>8</v>
      </c>
      <c r="U61" t="inlineStr">
        <is>
          <t>1998-04-08</t>
        </is>
      </c>
      <c r="V61" t="inlineStr">
        <is>
          <t>1998-04-08</t>
        </is>
      </c>
      <c r="W61" t="inlineStr">
        <is>
          <t>1995-01-14</t>
        </is>
      </c>
      <c r="X61" t="inlineStr">
        <is>
          <t>1995-01-14</t>
        </is>
      </c>
      <c r="Y61" t="n">
        <v>781</v>
      </c>
      <c r="Z61" t="n">
        <v>692</v>
      </c>
      <c r="AA61" t="n">
        <v>693</v>
      </c>
      <c r="AB61" t="n">
        <v>6</v>
      </c>
      <c r="AC61" t="n">
        <v>6</v>
      </c>
      <c r="AD61" t="n">
        <v>17</v>
      </c>
      <c r="AE61" t="n">
        <v>17</v>
      </c>
      <c r="AF61" t="n">
        <v>9</v>
      </c>
      <c r="AG61" t="n">
        <v>9</v>
      </c>
      <c r="AH61" t="n">
        <v>1</v>
      </c>
      <c r="AI61" t="n">
        <v>1</v>
      </c>
      <c r="AJ61" t="n">
        <v>8</v>
      </c>
      <c r="AK61" t="n">
        <v>8</v>
      </c>
      <c r="AL61" t="n">
        <v>3</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HYPERLINK("https://creighton-primo.hosted.exlibrisgroup.com/primo-explore/search?tab=default_tab&amp;search_scope=EVERYTHING&amp;vid=01CRU&amp;lang=en_US&amp;offset=0&amp;query=any,contains,991001773559702656","Catalog Record")</f>
        <v/>
      </c>
      <c r="AT61">
        <f>HYPERLINK("http://www.worldcat.org/oclc/22388576","WorldCat Record")</f>
        <v/>
      </c>
      <c r="AU61" t="inlineStr">
        <is>
          <t>4152854034:eng</t>
        </is>
      </c>
      <c r="AV61" t="inlineStr">
        <is>
          <t>22388576</t>
        </is>
      </c>
      <c r="AW61" t="inlineStr">
        <is>
          <t>991001773559702656</t>
        </is>
      </c>
      <c r="AX61" t="inlineStr">
        <is>
          <t>991001773559702656</t>
        </is>
      </c>
      <c r="AY61" t="inlineStr">
        <is>
          <t>2264773110002656</t>
        </is>
      </c>
      <c r="AZ61" t="inlineStr">
        <is>
          <t>BOOK</t>
        </is>
      </c>
      <c r="BB61" t="inlineStr">
        <is>
          <t>9780136121510</t>
        </is>
      </c>
      <c r="BC61" t="inlineStr">
        <is>
          <t>32285001992626</t>
        </is>
      </c>
      <c r="BD61" t="inlineStr">
        <is>
          <t>893232243</t>
        </is>
      </c>
    </row>
    <row r="62">
      <c r="A62" t="inlineStr">
        <is>
          <t>No</t>
        </is>
      </c>
      <c r="B62" t="inlineStr">
        <is>
          <t>G246.B8 R46 1990</t>
        </is>
      </c>
      <c r="C62" t="inlineStr">
        <is>
          <t>0                      G  0246000B  8                  R  46          1990</t>
        </is>
      </c>
      <c r="D62" t="inlineStr">
        <is>
          <t>Captain Sir Richard Francis Burton : the secret agent who made the pilgrimage to Mecca, discovered the Kama Sutra, and brought the Arabian nights to the West / Edward Rice.</t>
        </is>
      </c>
      <c r="F62" t="inlineStr">
        <is>
          <t>No</t>
        </is>
      </c>
      <c r="G62" t="inlineStr">
        <is>
          <t>1</t>
        </is>
      </c>
      <c r="H62" t="inlineStr">
        <is>
          <t>No</t>
        </is>
      </c>
      <c r="I62" t="inlineStr">
        <is>
          <t>No</t>
        </is>
      </c>
      <c r="J62" t="inlineStr">
        <is>
          <t>0</t>
        </is>
      </c>
      <c r="K62" t="inlineStr">
        <is>
          <t>Rice, Edward.</t>
        </is>
      </c>
      <c r="L62" t="inlineStr">
        <is>
          <t>New York : Scribner's, c1990.</t>
        </is>
      </c>
      <c r="M62" t="inlineStr">
        <is>
          <t>1990</t>
        </is>
      </c>
      <c r="O62" t="inlineStr">
        <is>
          <t>eng</t>
        </is>
      </c>
      <c r="P62" t="inlineStr">
        <is>
          <t>nyu</t>
        </is>
      </c>
      <c r="R62" t="inlineStr">
        <is>
          <t xml:space="preserve">G  </t>
        </is>
      </c>
      <c r="S62" t="n">
        <v>10</v>
      </c>
      <c r="T62" t="n">
        <v>10</v>
      </c>
      <c r="U62" t="inlineStr">
        <is>
          <t>2000-02-04</t>
        </is>
      </c>
      <c r="V62" t="inlineStr">
        <is>
          <t>2000-02-04</t>
        </is>
      </c>
      <c r="W62" t="inlineStr">
        <is>
          <t>1990-08-06</t>
        </is>
      </c>
      <c r="X62" t="inlineStr">
        <is>
          <t>1990-08-06</t>
        </is>
      </c>
      <c r="Y62" t="n">
        <v>1532</v>
      </c>
      <c r="Z62" t="n">
        <v>1447</v>
      </c>
      <c r="AA62" t="n">
        <v>1648</v>
      </c>
      <c r="AB62" t="n">
        <v>6</v>
      </c>
      <c r="AC62" t="n">
        <v>9</v>
      </c>
      <c r="AD62" t="n">
        <v>35</v>
      </c>
      <c r="AE62" t="n">
        <v>38</v>
      </c>
      <c r="AF62" t="n">
        <v>14</v>
      </c>
      <c r="AG62" t="n">
        <v>15</v>
      </c>
      <c r="AH62" t="n">
        <v>8</v>
      </c>
      <c r="AI62" t="n">
        <v>8</v>
      </c>
      <c r="AJ62" t="n">
        <v>20</v>
      </c>
      <c r="AK62" t="n">
        <v>20</v>
      </c>
      <c r="AL62" t="n">
        <v>2</v>
      </c>
      <c r="AM62" t="n">
        <v>4</v>
      </c>
      <c r="AN62" t="n">
        <v>0</v>
      </c>
      <c r="AO62" t="n">
        <v>0</v>
      </c>
      <c r="AP62" t="inlineStr">
        <is>
          <t>No</t>
        </is>
      </c>
      <c r="AQ62" t="inlineStr">
        <is>
          <t>Yes</t>
        </is>
      </c>
      <c r="AR62">
        <f>HYPERLINK("http://catalog.hathitrust.org/Record/002057420","HathiTrust Record")</f>
        <v/>
      </c>
      <c r="AS62">
        <f>HYPERLINK("https://creighton-primo.hosted.exlibrisgroup.com/primo-explore/search?tab=default_tab&amp;search_scope=EVERYTHING&amp;vid=01CRU&amp;lang=en_US&amp;offset=0&amp;query=any,contains,991001560059702656","Catalog Record")</f>
        <v/>
      </c>
      <c r="AT62">
        <f>HYPERLINK("http://www.worldcat.org/oclc/20296326","WorldCat Record")</f>
        <v/>
      </c>
      <c r="AU62" t="inlineStr">
        <is>
          <t>22701550:eng</t>
        </is>
      </c>
      <c r="AV62" t="inlineStr">
        <is>
          <t>20296326</t>
        </is>
      </c>
      <c r="AW62" t="inlineStr">
        <is>
          <t>991001560059702656</t>
        </is>
      </c>
      <c r="AX62" t="inlineStr">
        <is>
          <t>991001560059702656</t>
        </is>
      </c>
      <c r="AY62" t="inlineStr">
        <is>
          <t>2260340630002656</t>
        </is>
      </c>
      <c r="AZ62" t="inlineStr">
        <is>
          <t>BOOK</t>
        </is>
      </c>
      <c r="BB62" t="inlineStr">
        <is>
          <t>9780684191379</t>
        </is>
      </c>
      <c r="BC62" t="inlineStr">
        <is>
          <t>32285000242098</t>
        </is>
      </c>
      <c r="BD62" t="inlineStr">
        <is>
          <t>893497164</t>
        </is>
      </c>
    </row>
    <row r="63">
      <c r="A63" t="inlineStr">
        <is>
          <t>No</t>
        </is>
      </c>
      <c r="B63" t="inlineStr">
        <is>
          <t>G246.C7 B38</t>
        </is>
      </c>
      <c r="C63" t="inlineStr">
        <is>
          <t>0                      G  0246000C  7                  B  38</t>
        </is>
      </c>
      <c r="D63" t="inlineStr">
        <is>
          <t>The life of Captain James Cook.</t>
        </is>
      </c>
      <c r="F63" t="inlineStr">
        <is>
          <t>No</t>
        </is>
      </c>
      <c r="G63" t="inlineStr">
        <is>
          <t>1</t>
        </is>
      </c>
      <c r="H63" t="inlineStr">
        <is>
          <t>No</t>
        </is>
      </c>
      <c r="I63" t="inlineStr">
        <is>
          <t>No</t>
        </is>
      </c>
      <c r="J63" t="inlineStr">
        <is>
          <t>0</t>
        </is>
      </c>
      <c r="K63" t="inlineStr">
        <is>
          <t>Beaglehole, J. C. (John Cawte)</t>
        </is>
      </c>
      <c r="L63" t="inlineStr">
        <is>
          <t>Stanford, Calif., Stanford University Press [1974]</t>
        </is>
      </c>
      <c r="M63" t="inlineStr">
        <is>
          <t>1974</t>
        </is>
      </c>
      <c r="O63" t="inlineStr">
        <is>
          <t>eng</t>
        </is>
      </c>
      <c r="P63" t="inlineStr">
        <is>
          <t>cau</t>
        </is>
      </c>
      <c r="R63" t="inlineStr">
        <is>
          <t xml:space="preserve">G  </t>
        </is>
      </c>
      <c r="S63" t="n">
        <v>1</v>
      </c>
      <c r="T63" t="n">
        <v>1</v>
      </c>
      <c r="U63" t="inlineStr">
        <is>
          <t>2004-03-11</t>
        </is>
      </c>
      <c r="V63" t="inlineStr">
        <is>
          <t>2004-03-11</t>
        </is>
      </c>
      <c r="W63" t="inlineStr">
        <is>
          <t>1997-05-21</t>
        </is>
      </c>
      <c r="X63" t="inlineStr">
        <is>
          <t>1997-05-21</t>
        </is>
      </c>
      <c r="Y63" t="n">
        <v>1215</v>
      </c>
      <c r="Z63" t="n">
        <v>1095</v>
      </c>
      <c r="AA63" t="n">
        <v>1124</v>
      </c>
      <c r="AB63" t="n">
        <v>7</v>
      </c>
      <c r="AC63" t="n">
        <v>7</v>
      </c>
      <c r="AD63" t="n">
        <v>38</v>
      </c>
      <c r="AE63" t="n">
        <v>38</v>
      </c>
      <c r="AF63" t="n">
        <v>15</v>
      </c>
      <c r="AG63" t="n">
        <v>15</v>
      </c>
      <c r="AH63" t="n">
        <v>9</v>
      </c>
      <c r="AI63" t="n">
        <v>9</v>
      </c>
      <c r="AJ63" t="n">
        <v>19</v>
      </c>
      <c r="AK63" t="n">
        <v>19</v>
      </c>
      <c r="AL63" t="n">
        <v>4</v>
      </c>
      <c r="AM63" t="n">
        <v>4</v>
      </c>
      <c r="AN63" t="n">
        <v>0</v>
      </c>
      <c r="AO63" t="n">
        <v>0</v>
      </c>
      <c r="AP63" t="inlineStr">
        <is>
          <t>No</t>
        </is>
      </c>
      <c r="AQ63" t="inlineStr">
        <is>
          <t>No</t>
        </is>
      </c>
      <c r="AS63">
        <f>HYPERLINK("https://creighton-primo.hosted.exlibrisgroup.com/primo-explore/search?tab=default_tab&amp;search_scope=EVERYTHING&amp;vid=01CRU&amp;lang=en_US&amp;offset=0&amp;query=any,contains,991003321389702656","Catalog Record")</f>
        <v/>
      </c>
      <c r="AT63">
        <f>HYPERLINK("http://www.worldcat.org/oclc/849404","WorldCat Record")</f>
        <v/>
      </c>
      <c r="AU63" t="inlineStr">
        <is>
          <t>4535716499:eng</t>
        </is>
      </c>
      <c r="AV63" t="inlineStr">
        <is>
          <t>849404</t>
        </is>
      </c>
      <c r="AW63" t="inlineStr">
        <is>
          <t>991003321389702656</t>
        </is>
      </c>
      <c r="AX63" t="inlineStr">
        <is>
          <t>991003321389702656</t>
        </is>
      </c>
      <c r="AY63" t="inlineStr">
        <is>
          <t>2269272290002656</t>
        </is>
      </c>
      <c r="AZ63" t="inlineStr">
        <is>
          <t>BOOK</t>
        </is>
      </c>
      <c r="BB63" t="inlineStr">
        <is>
          <t>9780804708487</t>
        </is>
      </c>
      <c r="BC63" t="inlineStr">
        <is>
          <t>32285002691169</t>
        </is>
      </c>
      <c r="BD63" t="inlineStr">
        <is>
          <t>893518376</t>
        </is>
      </c>
    </row>
    <row r="64">
      <c r="A64" t="inlineStr">
        <is>
          <t>No</t>
        </is>
      </c>
      <c r="B64" t="inlineStr">
        <is>
          <t>G246.C7 C59 2002</t>
        </is>
      </c>
      <c r="C64" t="inlineStr">
        <is>
          <t>0                      G  0246000C  7                  C  59          2002</t>
        </is>
      </c>
      <c r="D64" t="inlineStr">
        <is>
          <t>Captain Cook : a legacy under fire / Vanessa Collingridge.</t>
        </is>
      </c>
      <c r="F64" t="inlineStr">
        <is>
          <t>No</t>
        </is>
      </c>
      <c r="G64" t="inlineStr">
        <is>
          <t>1</t>
        </is>
      </c>
      <c r="H64" t="inlineStr">
        <is>
          <t>No</t>
        </is>
      </c>
      <c r="I64" t="inlineStr">
        <is>
          <t>No</t>
        </is>
      </c>
      <c r="J64" t="inlineStr">
        <is>
          <t>0</t>
        </is>
      </c>
      <c r="K64" t="inlineStr">
        <is>
          <t>Collingridge, Vanessa.</t>
        </is>
      </c>
      <c r="L64" t="inlineStr">
        <is>
          <t>Guilford, Conn. : Lyons Press, c2002.</t>
        </is>
      </c>
      <c r="M64" t="inlineStr">
        <is>
          <t>2002</t>
        </is>
      </c>
      <c r="O64" t="inlineStr">
        <is>
          <t>eng</t>
        </is>
      </c>
      <c r="P64" t="inlineStr">
        <is>
          <t>ctu</t>
        </is>
      </c>
      <c r="R64" t="inlineStr">
        <is>
          <t xml:space="preserve">G  </t>
        </is>
      </c>
      <c r="S64" t="n">
        <v>3</v>
      </c>
      <c r="T64" t="n">
        <v>3</v>
      </c>
      <c r="U64" t="inlineStr">
        <is>
          <t>2005-04-28</t>
        </is>
      </c>
      <c r="V64" t="inlineStr">
        <is>
          <t>2005-04-28</t>
        </is>
      </c>
      <c r="W64" t="inlineStr">
        <is>
          <t>2002-10-09</t>
        </is>
      </c>
      <c r="X64" t="inlineStr">
        <is>
          <t>2002-10-09</t>
        </is>
      </c>
      <c r="Y64" t="n">
        <v>277</v>
      </c>
      <c r="Z64" t="n">
        <v>248</v>
      </c>
      <c r="AA64" t="n">
        <v>248</v>
      </c>
      <c r="AB64" t="n">
        <v>2</v>
      </c>
      <c r="AC64" t="n">
        <v>2</v>
      </c>
      <c r="AD64" t="n">
        <v>7</v>
      </c>
      <c r="AE64" t="n">
        <v>7</v>
      </c>
      <c r="AF64" t="n">
        <v>5</v>
      </c>
      <c r="AG64" t="n">
        <v>5</v>
      </c>
      <c r="AH64" t="n">
        <v>1</v>
      </c>
      <c r="AI64" t="n">
        <v>1</v>
      </c>
      <c r="AJ64" t="n">
        <v>2</v>
      </c>
      <c r="AK64" t="n">
        <v>2</v>
      </c>
      <c r="AL64" t="n">
        <v>1</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HYPERLINK("https://creighton-primo.hosted.exlibrisgroup.com/primo-explore/search?tab=default_tab&amp;search_scope=EVERYTHING&amp;vid=01CRU&amp;lang=en_US&amp;offset=0&amp;query=any,contains,991003901569702656","Catalog Record")</f>
        <v/>
      </c>
      <c r="AT64">
        <f>HYPERLINK("http://www.worldcat.org/oclc/49891512","WorldCat Record")</f>
        <v/>
      </c>
      <c r="AU64" t="inlineStr">
        <is>
          <t>3769346542:eng</t>
        </is>
      </c>
      <c r="AV64" t="inlineStr">
        <is>
          <t>49891512</t>
        </is>
      </c>
      <c r="AW64" t="inlineStr">
        <is>
          <t>991003901569702656</t>
        </is>
      </c>
      <c r="AX64" t="inlineStr">
        <is>
          <t>991003901569702656</t>
        </is>
      </c>
      <c r="AY64" t="inlineStr">
        <is>
          <t>2258121200002656</t>
        </is>
      </c>
      <c r="AZ64" t="inlineStr">
        <is>
          <t>BOOK</t>
        </is>
      </c>
      <c r="BB64" t="inlineStr">
        <is>
          <t>9781585747252</t>
        </is>
      </c>
      <c r="BC64" t="inlineStr">
        <is>
          <t>32285004653878</t>
        </is>
      </c>
      <c r="BD64" t="inlineStr">
        <is>
          <t>893324687</t>
        </is>
      </c>
    </row>
    <row r="65">
      <c r="A65" t="inlineStr">
        <is>
          <t>No</t>
        </is>
      </c>
      <c r="B65" t="inlineStr">
        <is>
          <t>G246.C7 M3 1972</t>
        </is>
      </c>
      <c r="C65" t="inlineStr">
        <is>
          <t>0                      G  0246000C  7                  M  3           1972</t>
        </is>
      </c>
      <c r="D65" t="inlineStr">
        <is>
          <t>Captain Cook.</t>
        </is>
      </c>
      <c r="F65" t="inlineStr">
        <is>
          <t>No</t>
        </is>
      </c>
      <c r="G65" t="inlineStr">
        <is>
          <t>1</t>
        </is>
      </c>
      <c r="H65" t="inlineStr">
        <is>
          <t>No</t>
        </is>
      </c>
      <c r="I65" t="inlineStr">
        <is>
          <t>No</t>
        </is>
      </c>
      <c r="J65" t="inlineStr">
        <is>
          <t>0</t>
        </is>
      </c>
      <c r="K65" t="inlineStr">
        <is>
          <t>MacLean, Alistair, 1922-1987.</t>
        </is>
      </c>
      <c r="L65" t="inlineStr">
        <is>
          <t>Garden City, N.Y., Doubleday [1972]</t>
        </is>
      </c>
      <c r="M65" t="inlineStr">
        <is>
          <t>1972</t>
        </is>
      </c>
      <c r="N65" t="inlineStr">
        <is>
          <t>[1st ed. in U.S.]</t>
        </is>
      </c>
      <c r="O65" t="inlineStr">
        <is>
          <t>eng</t>
        </is>
      </c>
      <c r="P65" t="inlineStr">
        <is>
          <t>nyu</t>
        </is>
      </c>
      <c r="R65" t="inlineStr">
        <is>
          <t xml:space="preserve">G  </t>
        </is>
      </c>
      <c r="S65" t="n">
        <v>1</v>
      </c>
      <c r="T65" t="n">
        <v>1</v>
      </c>
      <c r="U65" t="inlineStr">
        <is>
          <t>2005-04-28</t>
        </is>
      </c>
      <c r="V65" t="inlineStr">
        <is>
          <t>2005-04-28</t>
        </is>
      </c>
      <c r="W65" t="inlineStr">
        <is>
          <t>1997-05-21</t>
        </is>
      </c>
      <c r="X65" t="inlineStr">
        <is>
          <t>1997-05-21</t>
        </is>
      </c>
      <c r="Y65" t="n">
        <v>1566</v>
      </c>
      <c r="Z65" t="n">
        <v>1540</v>
      </c>
      <c r="AA65" t="n">
        <v>1598</v>
      </c>
      <c r="AB65" t="n">
        <v>15</v>
      </c>
      <c r="AC65" t="n">
        <v>15</v>
      </c>
      <c r="AD65" t="n">
        <v>17</v>
      </c>
      <c r="AE65" t="n">
        <v>17</v>
      </c>
      <c r="AF65" t="n">
        <v>4</v>
      </c>
      <c r="AG65" t="n">
        <v>4</v>
      </c>
      <c r="AH65" t="n">
        <v>7</v>
      </c>
      <c r="AI65" t="n">
        <v>7</v>
      </c>
      <c r="AJ65" t="n">
        <v>7</v>
      </c>
      <c r="AK65" t="n">
        <v>7</v>
      </c>
      <c r="AL65" t="n">
        <v>3</v>
      </c>
      <c r="AM65" t="n">
        <v>3</v>
      </c>
      <c r="AN65" t="n">
        <v>0</v>
      </c>
      <c r="AO65" t="n">
        <v>0</v>
      </c>
      <c r="AP65" t="inlineStr">
        <is>
          <t>No</t>
        </is>
      </c>
      <c r="AQ65" t="inlineStr">
        <is>
          <t>No</t>
        </is>
      </c>
      <c r="AS65">
        <f>HYPERLINK("https://creighton-primo.hosted.exlibrisgroup.com/primo-explore/search?tab=default_tab&amp;search_scope=EVERYTHING&amp;vid=01CRU&amp;lang=en_US&amp;offset=0&amp;query=any,contains,991002654869702656","Catalog Record")</f>
        <v/>
      </c>
      <c r="AT65">
        <f>HYPERLINK("http://www.worldcat.org/oclc/388402","WorldCat Record")</f>
        <v/>
      </c>
      <c r="AU65" t="inlineStr">
        <is>
          <t>51746325:eng</t>
        </is>
      </c>
      <c r="AV65" t="inlineStr">
        <is>
          <t>388402</t>
        </is>
      </c>
      <c r="AW65" t="inlineStr">
        <is>
          <t>991002654869702656</t>
        </is>
      </c>
      <c r="AX65" t="inlineStr">
        <is>
          <t>991002654869702656</t>
        </is>
      </c>
      <c r="AY65" t="inlineStr">
        <is>
          <t>2255042940002656</t>
        </is>
      </c>
      <c r="AZ65" t="inlineStr">
        <is>
          <t>BOOK</t>
        </is>
      </c>
      <c r="BC65" t="inlineStr">
        <is>
          <t>32285002691185</t>
        </is>
      </c>
      <c r="BD65" t="inlineStr">
        <is>
          <t>893504646</t>
        </is>
      </c>
    </row>
    <row r="66">
      <c r="A66" t="inlineStr">
        <is>
          <t>No</t>
        </is>
      </c>
      <c r="B66" t="inlineStr">
        <is>
          <t>G246.C77 L5</t>
        </is>
      </c>
      <c r="C66" t="inlineStr">
        <is>
          <t>0                      G  0246000C  77                 L  5</t>
        </is>
      </c>
      <c r="D66" t="inlineStr">
        <is>
          <t>Captain Cook.</t>
        </is>
      </c>
      <c r="F66" t="inlineStr">
        <is>
          <t>No</t>
        </is>
      </c>
      <c r="G66" t="inlineStr">
        <is>
          <t>1</t>
        </is>
      </c>
      <c r="H66" t="inlineStr">
        <is>
          <t>No</t>
        </is>
      </c>
      <c r="I66" t="inlineStr">
        <is>
          <t>No</t>
        </is>
      </c>
      <c r="J66" t="inlineStr">
        <is>
          <t>0</t>
        </is>
      </c>
      <c r="K66" t="inlineStr">
        <is>
          <t>Lloyd, Christopher, 1906-1986.</t>
        </is>
      </c>
      <c r="L66" t="inlineStr">
        <is>
          <t>New York, Roy Publishers [1955?]</t>
        </is>
      </c>
      <c r="M66" t="inlineStr">
        <is>
          <t>1955</t>
        </is>
      </c>
      <c r="O66" t="inlineStr">
        <is>
          <t>eng</t>
        </is>
      </c>
      <c r="P66" t="inlineStr">
        <is>
          <t>nyu</t>
        </is>
      </c>
      <c r="R66" t="inlineStr">
        <is>
          <t xml:space="preserve">G  </t>
        </is>
      </c>
      <c r="S66" t="n">
        <v>1</v>
      </c>
      <c r="T66" t="n">
        <v>1</v>
      </c>
      <c r="U66" t="inlineStr">
        <is>
          <t>2005-04-28</t>
        </is>
      </c>
      <c r="V66" t="inlineStr">
        <is>
          <t>2005-04-28</t>
        </is>
      </c>
      <c r="W66" t="inlineStr">
        <is>
          <t>1997-05-21</t>
        </is>
      </c>
      <c r="X66" t="inlineStr">
        <is>
          <t>1997-05-21</t>
        </is>
      </c>
      <c r="Y66" t="n">
        <v>47</v>
      </c>
      <c r="Z66" t="n">
        <v>44</v>
      </c>
      <c r="AA66" t="n">
        <v>99</v>
      </c>
      <c r="AB66" t="n">
        <v>1</v>
      </c>
      <c r="AC66" t="n">
        <v>1</v>
      </c>
      <c r="AD66" t="n">
        <v>1</v>
      </c>
      <c r="AE66" t="n">
        <v>3</v>
      </c>
      <c r="AF66" t="n">
        <v>1</v>
      </c>
      <c r="AG66" t="n">
        <v>1</v>
      </c>
      <c r="AH66" t="n">
        <v>0</v>
      </c>
      <c r="AI66" t="n">
        <v>1</v>
      </c>
      <c r="AJ66" t="n">
        <v>0</v>
      </c>
      <c r="AK66" t="n">
        <v>2</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HYPERLINK("https://creighton-primo.hosted.exlibrisgroup.com/primo-explore/search?tab=default_tab&amp;search_scope=EVERYTHING&amp;vid=01CRU&amp;lang=en_US&amp;offset=0&amp;query=any,contains,991004154379702656","Catalog Record")</f>
        <v/>
      </c>
      <c r="AT66">
        <f>HYPERLINK("http://www.worldcat.org/oclc/2536571","WorldCat Record")</f>
        <v/>
      </c>
      <c r="AU66" t="inlineStr">
        <is>
          <t>3288008:eng</t>
        </is>
      </c>
      <c r="AV66" t="inlineStr">
        <is>
          <t>2536571</t>
        </is>
      </c>
      <c r="AW66" t="inlineStr">
        <is>
          <t>991004154379702656</t>
        </is>
      </c>
      <c r="AX66" t="inlineStr">
        <is>
          <t>991004154379702656</t>
        </is>
      </c>
      <c r="AY66" t="inlineStr">
        <is>
          <t>2270295650002656</t>
        </is>
      </c>
      <c r="AZ66" t="inlineStr">
        <is>
          <t>BOOK</t>
        </is>
      </c>
      <c r="BC66" t="inlineStr">
        <is>
          <t>32285002691193</t>
        </is>
      </c>
      <c r="BD66" t="inlineStr">
        <is>
          <t>893532051</t>
        </is>
      </c>
    </row>
    <row r="67">
      <c r="A67" t="inlineStr">
        <is>
          <t>No</t>
        </is>
      </c>
      <c r="B67" t="inlineStr">
        <is>
          <t>G269.52.M87 A34 1980</t>
        </is>
      </c>
      <c r="C67" t="inlineStr">
        <is>
          <t>0                      G  0269520M  87                 A  34          1980</t>
        </is>
      </c>
      <c r="D67" t="inlineStr">
        <is>
          <t>Wheels within wheels / Dervla Murphy.</t>
        </is>
      </c>
      <c r="F67" t="inlineStr">
        <is>
          <t>No</t>
        </is>
      </c>
      <c r="G67" t="inlineStr">
        <is>
          <t>1</t>
        </is>
      </c>
      <c r="H67" t="inlineStr">
        <is>
          <t>No</t>
        </is>
      </c>
      <c r="I67" t="inlineStr">
        <is>
          <t>No</t>
        </is>
      </c>
      <c r="J67" t="inlineStr">
        <is>
          <t>0</t>
        </is>
      </c>
      <c r="K67" t="inlineStr">
        <is>
          <t>Murphy, Dervla, 1931-</t>
        </is>
      </c>
      <c r="L67" t="inlineStr">
        <is>
          <t>New Haven : Ticknor &amp; Fields, 1980, c1979.</t>
        </is>
      </c>
      <c r="M67" t="inlineStr">
        <is>
          <t>1980</t>
        </is>
      </c>
      <c r="O67" t="inlineStr">
        <is>
          <t>eng</t>
        </is>
      </c>
      <c r="P67" t="inlineStr">
        <is>
          <t>ctu</t>
        </is>
      </c>
      <c r="R67" t="inlineStr">
        <is>
          <t xml:space="preserve">G  </t>
        </is>
      </c>
      <c r="S67" t="n">
        <v>1</v>
      </c>
      <c r="T67" t="n">
        <v>1</v>
      </c>
      <c r="U67" t="inlineStr">
        <is>
          <t>2006-10-13</t>
        </is>
      </c>
      <c r="V67" t="inlineStr">
        <is>
          <t>2006-10-13</t>
        </is>
      </c>
      <c r="W67" t="inlineStr">
        <is>
          <t>1991-12-20</t>
        </is>
      </c>
      <c r="X67" t="inlineStr">
        <is>
          <t>1991-12-20</t>
        </is>
      </c>
      <c r="Y67" t="n">
        <v>226</v>
      </c>
      <c r="Z67" t="n">
        <v>221</v>
      </c>
      <c r="AA67" t="n">
        <v>238</v>
      </c>
      <c r="AB67" t="n">
        <v>1</v>
      </c>
      <c r="AC67" t="n">
        <v>1</v>
      </c>
      <c r="AD67" t="n">
        <v>8</v>
      </c>
      <c r="AE67" t="n">
        <v>9</v>
      </c>
      <c r="AF67" t="n">
        <v>3</v>
      </c>
      <c r="AG67" t="n">
        <v>3</v>
      </c>
      <c r="AH67" t="n">
        <v>5</v>
      </c>
      <c r="AI67" t="n">
        <v>5</v>
      </c>
      <c r="AJ67" t="n">
        <v>4</v>
      </c>
      <c r="AK67" t="n">
        <v>5</v>
      </c>
      <c r="AL67" t="n">
        <v>0</v>
      </c>
      <c r="AM67" t="n">
        <v>0</v>
      </c>
      <c r="AN67" t="n">
        <v>0</v>
      </c>
      <c r="AO67" t="n">
        <v>0</v>
      </c>
      <c r="AP67" t="inlineStr">
        <is>
          <t>No</t>
        </is>
      </c>
      <c r="AQ67" t="inlineStr">
        <is>
          <t>No</t>
        </is>
      </c>
      <c r="AS67">
        <f>HYPERLINK("https://creighton-primo.hosted.exlibrisgroup.com/primo-explore/search?tab=default_tab&amp;search_scope=EVERYTHING&amp;vid=01CRU&amp;lang=en_US&amp;offset=0&amp;query=any,contains,991004895289702656","Catalog Record")</f>
        <v/>
      </c>
      <c r="AT67">
        <f>HYPERLINK("http://www.worldcat.org/oclc/5892873","WorldCat Record")</f>
        <v/>
      </c>
      <c r="AU67" t="inlineStr">
        <is>
          <t>555132:eng</t>
        </is>
      </c>
      <c r="AV67" t="inlineStr">
        <is>
          <t>5892873</t>
        </is>
      </c>
      <c r="AW67" t="inlineStr">
        <is>
          <t>991004895289702656</t>
        </is>
      </c>
      <c r="AX67" t="inlineStr">
        <is>
          <t>991004895289702656</t>
        </is>
      </c>
      <c r="AY67" t="inlineStr">
        <is>
          <t>2264735900002656</t>
        </is>
      </c>
      <c r="AZ67" t="inlineStr">
        <is>
          <t>BOOK</t>
        </is>
      </c>
      <c r="BB67" t="inlineStr">
        <is>
          <t>9780899190068</t>
        </is>
      </c>
      <c r="BC67" t="inlineStr">
        <is>
          <t>32285000892058</t>
        </is>
      </c>
      <c r="BD67" t="inlineStr">
        <is>
          <t>893807585</t>
        </is>
      </c>
    </row>
    <row r="68">
      <c r="A68" t="inlineStr">
        <is>
          <t>No</t>
        </is>
      </c>
      <c r="B68" t="inlineStr">
        <is>
          <t>G286.M2 B62 1973</t>
        </is>
      </c>
      <c r="C68" t="inlineStr">
        <is>
          <t>0                      G  0286000M  2                  B  62          1973</t>
        </is>
      </c>
      <c r="D68" t="inlineStr">
        <is>
          <t>Magellan of the Pacific.</t>
        </is>
      </c>
      <c r="F68" t="inlineStr">
        <is>
          <t>No</t>
        </is>
      </c>
      <c r="G68" t="inlineStr">
        <is>
          <t>1</t>
        </is>
      </c>
      <c r="H68" t="inlineStr">
        <is>
          <t>No</t>
        </is>
      </c>
      <c r="I68" t="inlineStr">
        <is>
          <t>No</t>
        </is>
      </c>
      <c r="J68" t="inlineStr">
        <is>
          <t>0</t>
        </is>
      </c>
      <c r="K68" t="inlineStr">
        <is>
          <t>Roditi, Edouard.</t>
        </is>
      </c>
      <c r="L68" t="inlineStr">
        <is>
          <t>New York, McGraw-Hill Book Co. [1973, c1972]</t>
        </is>
      </c>
      <c r="M68" t="inlineStr">
        <is>
          <t>1973</t>
        </is>
      </c>
      <c r="N68" t="inlineStr">
        <is>
          <t>[1st American ed.]</t>
        </is>
      </c>
      <c r="O68" t="inlineStr">
        <is>
          <t>eng</t>
        </is>
      </c>
      <c r="P68" t="inlineStr">
        <is>
          <t>nyu</t>
        </is>
      </c>
      <c r="R68" t="inlineStr">
        <is>
          <t xml:space="preserve">G  </t>
        </is>
      </c>
      <c r="S68" t="n">
        <v>2</v>
      </c>
      <c r="T68" t="n">
        <v>2</v>
      </c>
      <c r="U68" t="inlineStr">
        <is>
          <t>2002-03-18</t>
        </is>
      </c>
      <c r="V68" t="inlineStr">
        <is>
          <t>2002-03-18</t>
        </is>
      </c>
      <c r="W68" t="inlineStr">
        <is>
          <t>1997-05-21</t>
        </is>
      </c>
      <c r="X68" t="inlineStr">
        <is>
          <t>1997-05-21</t>
        </is>
      </c>
      <c r="Y68" t="n">
        <v>467</v>
      </c>
      <c r="Z68" t="n">
        <v>457</v>
      </c>
      <c r="AA68" t="n">
        <v>548</v>
      </c>
      <c r="AB68" t="n">
        <v>3</v>
      </c>
      <c r="AC68" t="n">
        <v>4</v>
      </c>
      <c r="AD68" t="n">
        <v>15</v>
      </c>
      <c r="AE68" t="n">
        <v>18</v>
      </c>
      <c r="AF68" t="n">
        <v>5</v>
      </c>
      <c r="AG68" t="n">
        <v>7</v>
      </c>
      <c r="AH68" t="n">
        <v>3</v>
      </c>
      <c r="AI68" t="n">
        <v>4</v>
      </c>
      <c r="AJ68" t="n">
        <v>9</v>
      </c>
      <c r="AK68" t="n">
        <v>10</v>
      </c>
      <c r="AL68" t="n">
        <v>1</v>
      </c>
      <c r="AM68" t="n">
        <v>2</v>
      </c>
      <c r="AN68" t="n">
        <v>0</v>
      </c>
      <c r="AO68" t="n">
        <v>0</v>
      </c>
      <c r="AP68" t="inlineStr">
        <is>
          <t>No</t>
        </is>
      </c>
      <c r="AQ68" t="inlineStr">
        <is>
          <t>Yes</t>
        </is>
      </c>
      <c r="AR68">
        <f>HYPERLINK("http://catalog.hathitrust.org/Record/101179804","HathiTrust Record")</f>
        <v/>
      </c>
      <c r="AS68">
        <f>HYPERLINK("https://creighton-primo.hosted.exlibrisgroup.com/primo-explore/search?tab=default_tab&amp;search_scope=EVERYTHING&amp;vid=01CRU&amp;lang=en_US&amp;offset=0&amp;query=any,contains,991003065329702656","Catalog Record")</f>
        <v/>
      </c>
      <c r="AT68">
        <f>HYPERLINK("http://www.worldcat.org/oclc/621943","WorldCat Record")</f>
        <v/>
      </c>
      <c r="AU68" t="inlineStr">
        <is>
          <t>1687716:eng</t>
        </is>
      </c>
      <c r="AV68" t="inlineStr">
        <is>
          <t>621943</t>
        </is>
      </c>
      <c r="AW68" t="inlineStr">
        <is>
          <t>991003065329702656</t>
        </is>
      </c>
      <c r="AX68" t="inlineStr">
        <is>
          <t>991003065329702656</t>
        </is>
      </c>
      <c r="AY68" t="inlineStr">
        <is>
          <t>2257092100002656</t>
        </is>
      </c>
      <c r="AZ68" t="inlineStr">
        <is>
          <t>BOOK</t>
        </is>
      </c>
      <c r="BB68" t="inlineStr">
        <is>
          <t>9780070737549</t>
        </is>
      </c>
      <c r="BC68" t="inlineStr">
        <is>
          <t>32285002691276</t>
        </is>
      </c>
      <c r="BD68" t="inlineStr">
        <is>
          <t>893239855</t>
        </is>
      </c>
    </row>
    <row r="69">
      <c r="A69" t="inlineStr">
        <is>
          <t>No</t>
        </is>
      </c>
      <c r="B69" t="inlineStr">
        <is>
          <t>G286.M2 H5</t>
        </is>
      </c>
      <c r="C69" t="inlineStr">
        <is>
          <t>0                      G  0286000M  2                  H  5</t>
        </is>
      </c>
      <c r="D69" t="inlineStr">
        <is>
          <t>Magellan: a general account of the life and times and remarkable adventures, by land and by sea, of the most eminent and renowned navigator, Ferdinand Magellan (Fernao de Magalhaes) ... by Arthur Sturges Hildebrand.</t>
        </is>
      </c>
      <c r="F69" t="inlineStr">
        <is>
          <t>No</t>
        </is>
      </c>
      <c r="G69" t="inlineStr">
        <is>
          <t>1</t>
        </is>
      </c>
      <c r="H69" t="inlineStr">
        <is>
          <t>No</t>
        </is>
      </c>
      <c r="I69" t="inlineStr">
        <is>
          <t>No</t>
        </is>
      </c>
      <c r="J69" t="inlineStr">
        <is>
          <t>0</t>
        </is>
      </c>
      <c r="K69" t="inlineStr">
        <is>
          <t>Hildebrand, Arthur Sturges, 1887-1924?</t>
        </is>
      </c>
      <c r="L69" t="inlineStr">
        <is>
          <t>New York, Harcourt, Brace and company [c1924]</t>
        </is>
      </c>
      <c r="M69" t="inlineStr">
        <is>
          <t>1924</t>
        </is>
      </c>
      <c r="O69" t="inlineStr">
        <is>
          <t>eng</t>
        </is>
      </c>
      <c r="P69" t="inlineStr">
        <is>
          <t xml:space="preserve">xx </t>
        </is>
      </c>
      <c r="R69" t="inlineStr">
        <is>
          <t xml:space="preserve">G  </t>
        </is>
      </c>
      <c r="S69" t="n">
        <v>2</v>
      </c>
      <c r="T69" t="n">
        <v>2</v>
      </c>
      <c r="U69" t="inlineStr">
        <is>
          <t>2002-11-04</t>
        </is>
      </c>
      <c r="V69" t="inlineStr">
        <is>
          <t>2002-11-04</t>
        </is>
      </c>
      <c r="W69" t="inlineStr">
        <is>
          <t>1997-05-21</t>
        </is>
      </c>
      <c r="X69" t="inlineStr">
        <is>
          <t>1997-05-21</t>
        </is>
      </c>
      <c r="Y69" t="n">
        <v>348</v>
      </c>
      <c r="Z69" t="n">
        <v>331</v>
      </c>
      <c r="AA69" t="n">
        <v>340</v>
      </c>
      <c r="AB69" t="n">
        <v>4</v>
      </c>
      <c r="AC69" t="n">
        <v>4</v>
      </c>
      <c r="AD69" t="n">
        <v>15</v>
      </c>
      <c r="AE69" t="n">
        <v>16</v>
      </c>
      <c r="AF69" t="n">
        <v>4</v>
      </c>
      <c r="AG69" t="n">
        <v>4</v>
      </c>
      <c r="AH69" t="n">
        <v>4</v>
      </c>
      <c r="AI69" t="n">
        <v>5</v>
      </c>
      <c r="AJ69" t="n">
        <v>8</v>
      </c>
      <c r="AK69" t="n">
        <v>8</v>
      </c>
      <c r="AL69" t="n">
        <v>2</v>
      </c>
      <c r="AM69" t="n">
        <v>2</v>
      </c>
      <c r="AN69" t="n">
        <v>0</v>
      </c>
      <c r="AO69" t="n">
        <v>0</v>
      </c>
      <c r="AP69" t="inlineStr">
        <is>
          <t>Yes</t>
        </is>
      </c>
      <c r="AQ69" t="inlineStr">
        <is>
          <t>No</t>
        </is>
      </c>
      <c r="AR69">
        <f>HYPERLINK("http://catalog.hathitrust.org/Record/001285802","HathiTrust Record")</f>
        <v/>
      </c>
      <c r="AS69">
        <f>HYPERLINK("https://creighton-primo.hosted.exlibrisgroup.com/primo-explore/search?tab=default_tab&amp;search_scope=EVERYTHING&amp;vid=01CRU&amp;lang=en_US&amp;offset=0&amp;query=any,contains,991003223629702656","Catalog Record")</f>
        <v/>
      </c>
      <c r="AT69">
        <f>HYPERLINK("http://www.worldcat.org/oclc/748897","WorldCat Record")</f>
        <v/>
      </c>
      <c r="AU69" t="inlineStr">
        <is>
          <t>1831044:eng</t>
        </is>
      </c>
      <c r="AV69" t="inlineStr">
        <is>
          <t>748897</t>
        </is>
      </c>
      <c r="AW69" t="inlineStr">
        <is>
          <t>991003223629702656</t>
        </is>
      </c>
      <c r="AX69" t="inlineStr">
        <is>
          <t>991003223629702656</t>
        </is>
      </c>
      <c r="AY69" t="inlineStr">
        <is>
          <t>2255051500002656</t>
        </is>
      </c>
      <c r="AZ69" t="inlineStr">
        <is>
          <t>BOOK</t>
        </is>
      </c>
      <c r="BC69" t="inlineStr">
        <is>
          <t>32285002691284</t>
        </is>
      </c>
      <c r="BD69" t="inlineStr">
        <is>
          <t>893518260</t>
        </is>
      </c>
    </row>
    <row r="70">
      <c r="A70" t="inlineStr">
        <is>
          <t>No</t>
        </is>
      </c>
      <c r="B70" t="inlineStr">
        <is>
          <t>G286.M2 P3 1975</t>
        </is>
      </c>
      <c r="C70" t="inlineStr">
        <is>
          <t>0                      G  0286000M  2                  P  3           1975</t>
        </is>
      </c>
      <c r="D70" t="inlineStr">
        <is>
          <t>So noble a captain : the life and times of Ferdinand Magellan / Charles McKew Parr.</t>
        </is>
      </c>
      <c r="F70" t="inlineStr">
        <is>
          <t>No</t>
        </is>
      </c>
      <c r="G70" t="inlineStr">
        <is>
          <t>1</t>
        </is>
      </c>
      <c r="H70" t="inlineStr">
        <is>
          <t>No</t>
        </is>
      </c>
      <c r="I70" t="inlineStr">
        <is>
          <t>No</t>
        </is>
      </c>
      <c r="J70" t="inlineStr">
        <is>
          <t>0</t>
        </is>
      </c>
      <c r="K70" t="inlineStr">
        <is>
          <t>Parr, Charles McKew.</t>
        </is>
      </c>
      <c r="L70" t="inlineStr">
        <is>
          <t>Westport, Conn. : Greenwood Press, 1975, c1953.</t>
        </is>
      </c>
      <c r="M70" t="inlineStr">
        <is>
          <t>1975</t>
        </is>
      </c>
      <c r="O70" t="inlineStr">
        <is>
          <t>eng</t>
        </is>
      </c>
      <c r="P70" t="inlineStr">
        <is>
          <t>ctu</t>
        </is>
      </c>
      <c r="R70" t="inlineStr">
        <is>
          <t xml:space="preserve">G  </t>
        </is>
      </c>
      <c r="S70" t="n">
        <v>2</v>
      </c>
      <c r="T70" t="n">
        <v>2</v>
      </c>
      <c r="U70" t="inlineStr">
        <is>
          <t>2006-03-13</t>
        </is>
      </c>
      <c r="V70" t="inlineStr">
        <is>
          <t>2006-03-13</t>
        </is>
      </c>
      <c r="W70" t="inlineStr">
        <is>
          <t>1997-05-21</t>
        </is>
      </c>
      <c r="X70" t="inlineStr">
        <is>
          <t>1997-05-21</t>
        </is>
      </c>
      <c r="Y70" t="n">
        <v>66</v>
      </c>
      <c r="Z70" t="n">
        <v>60</v>
      </c>
      <c r="AA70" t="n">
        <v>640</v>
      </c>
      <c r="AB70" t="n">
        <v>1</v>
      </c>
      <c r="AC70" t="n">
        <v>5</v>
      </c>
      <c r="AD70" t="n">
        <v>3</v>
      </c>
      <c r="AE70" t="n">
        <v>30</v>
      </c>
      <c r="AF70" t="n">
        <v>2</v>
      </c>
      <c r="AG70" t="n">
        <v>12</v>
      </c>
      <c r="AH70" t="n">
        <v>1</v>
      </c>
      <c r="AI70" t="n">
        <v>6</v>
      </c>
      <c r="AJ70" t="n">
        <v>1</v>
      </c>
      <c r="AK70" t="n">
        <v>16</v>
      </c>
      <c r="AL70" t="n">
        <v>0</v>
      </c>
      <c r="AM70" t="n">
        <v>3</v>
      </c>
      <c r="AN70" t="n">
        <v>0</v>
      </c>
      <c r="AO70" t="n">
        <v>0</v>
      </c>
      <c r="AP70" t="inlineStr">
        <is>
          <t>No</t>
        </is>
      </c>
      <c r="AQ70" t="inlineStr">
        <is>
          <t>No</t>
        </is>
      </c>
      <c r="AS70">
        <f>HYPERLINK("https://creighton-primo.hosted.exlibrisgroup.com/primo-explore/search?tab=default_tab&amp;search_scope=EVERYTHING&amp;vid=01CRU&amp;lang=en_US&amp;offset=0&amp;query=any,contains,991004031329702656","Catalog Record")</f>
        <v/>
      </c>
      <c r="AT70">
        <f>HYPERLINK("http://www.worldcat.org/oclc/2154744","WorldCat Record")</f>
        <v/>
      </c>
      <c r="AU70" t="inlineStr">
        <is>
          <t>192998828:eng</t>
        </is>
      </c>
      <c r="AV70" t="inlineStr">
        <is>
          <t>2154744</t>
        </is>
      </c>
      <c r="AW70" t="inlineStr">
        <is>
          <t>991004031329702656</t>
        </is>
      </c>
      <c r="AX70" t="inlineStr">
        <is>
          <t>991004031329702656</t>
        </is>
      </c>
      <c r="AY70" t="inlineStr">
        <is>
          <t>2257315940002656</t>
        </is>
      </c>
      <c r="AZ70" t="inlineStr">
        <is>
          <t>BOOK</t>
        </is>
      </c>
      <c r="BB70" t="inlineStr">
        <is>
          <t>9780837185217</t>
        </is>
      </c>
      <c r="BC70" t="inlineStr">
        <is>
          <t>32285002691292</t>
        </is>
      </c>
      <c r="BD70" t="inlineStr">
        <is>
          <t>893718382</t>
        </is>
      </c>
    </row>
    <row r="71">
      <c r="A71" t="inlineStr">
        <is>
          <t>No</t>
        </is>
      </c>
      <c r="B71" t="inlineStr">
        <is>
          <t>G3 .P66 2006</t>
        </is>
      </c>
      <c r="C71" t="inlineStr">
        <is>
          <t>0                      G  0003000P  66          2006</t>
        </is>
      </c>
      <c r="D71" t="inlineStr">
        <is>
          <t>Explorers house : National Geographic and the world it made / Robert M. Poole.</t>
        </is>
      </c>
      <c r="F71" t="inlineStr">
        <is>
          <t>No</t>
        </is>
      </c>
      <c r="G71" t="inlineStr">
        <is>
          <t>1</t>
        </is>
      </c>
      <c r="H71" t="inlineStr">
        <is>
          <t>No</t>
        </is>
      </c>
      <c r="I71" t="inlineStr">
        <is>
          <t>No</t>
        </is>
      </c>
      <c r="J71" t="inlineStr">
        <is>
          <t>0</t>
        </is>
      </c>
      <c r="K71" t="inlineStr">
        <is>
          <t>Poole, Robert M.</t>
        </is>
      </c>
      <c r="L71" t="inlineStr">
        <is>
          <t>New York : Penguin Press, 2006, c2004.</t>
        </is>
      </c>
      <c r="M71" t="inlineStr">
        <is>
          <t>2006</t>
        </is>
      </c>
      <c r="O71" t="inlineStr">
        <is>
          <t>eng</t>
        </is>
      </c>
      <c r="P71" t="inlineStr">
        <is>
          <t>nyu</t>
        </is>
      </c>
      <c r="R71" t="inlineStr">
        <is>
          <t xml:space="preserve">G  </t>
        </is>
      </c>
      <c r="S71" t="n">
        <v>1</v>
      </c>
      <c r="T71" t="n">
        <v>1</v>
      </c>
      <c r="U71" t="inlineStr">
        <is>
          <t>2006-07-13</t>
        </is>
      </c>
      <c r="V71" t="inlineStr">
        <is>
          <t>2006-07-13</t>
        </is>
      </c>
      <c r="W71" t="inlineStr">
        <is>
          <t>2006-07-13</t>
        </is>
      </c>
      <c r="X71" t="inlineStr">
        <is>
          <t>2006-07-13</t>
        </is>
      </c>
      <c r="Y71" t="n">
        <v>32</v>
      </c>
      <c r="Z71" t="n">
        <v>30</v>
      </c>
      <c r="AA71" t="n">
        <v>709</v>
      </c>
      <c r="AB71" t="n">
        <v>2</v>
      </c>
      <c r="AC71" t="n">
        <v>4</v>
      </c>
      <c r="AD71" t="n">
        <v>0</v>
      </c>
      <c r="AE71" t="n">
        <v>17</v>
      </c>
      <c r="AF71" t="n">
        <v>0</v>
      </c>
      <c r="AG71" t="n">
        <v>6</v>
      </c>
      <c r="AH71" t="n">
        <v>0</v>
      </c>
      <c r="AI71" t="n">
        <v>5</v>
      </c>
      <c r="AJ71" t="n">
        <v>0</v>
      </c>
      <c r="AK71" t="n">
        <v>9</v>
      </c>
      <c r="AL71" t="n">
        <v>0</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HYPERLINK("https://creighton-primo.hosted.exlibrisgroup.com/primo-explore/search?tab=default_tab&amp;search_scope=EVERYTHING&amp;vid=01CRU&amp;lang=en_US&amp;offset=0&amp;query=any,contains,991004850029702656","Catalog Record")</f>
        <v/>
      </c>
      <c r="AT71">
        <f>HYPERLINK("http://www.worldcat.org/oclc/65516648","WorldCat Record")</f>
        <v/>
      </c>
      <c r="AU71" t="inlineStr">
        <is>
          <t>950158:eng</t>
        </is>
      </c>
      <c r="AV71" t="inlineStr">
        <is>
          <t>65516648</t>
        </is>
      </c>
      <c r="AW71" t="inlineStr">
        <is>
          <t>991004850029702656</t>
        </is>
      </c>
      <c r="AX71" t="inlineStr">
        <is>
          <t>991004850029702656</t>
        </is>
      </c>
      <c r="AY71" t="inlineStr">
        <is>
          <t>2257300070002656</t>
        </is>
      </c>
      <c r="AZ71" t="inlineStr">
        <is>
          <t>BOOK</t>
        </is>
      </c>
      <c r="BB71" t="inlineStr">
        <is>
          <t>9780143035930</t>
        </is>
      </c>
      <c r="BC71" t="inlineStr">
        <is>
          <t>32285005194377</t>
        </is>
      </c>
      <c r="BD71" t="inlineStr">
        <is>
          <t>893713129</t>
        </is>
      </c>
    </row>
    <row r="72">
      <c r="A72" t="inlineStr">
        <is>
          <t>No</t>
        </is>
      </c>
      <c r="B72" t="inlineStr">
        <is>
          <t>G302 .J6 1986</t>
        </is>
      </c>
      <c r="C72" t="inlineStr">
        <is>
          <t>0                      G  0302000J  6           1986</t>
        </is>
      </c>
      <c r="D72" t="inlineStr">
        <is>
          <t>The Norse Atlantic saga : being the Norse voyages of discovery and settlement to Iceland, Greenland, and North America / Gwyn Jones.</t>
        </is>
      </c>
      <c r="F72" t="inlineStr">
        <is>
          <t>No</t>
        </is>
      </c>
      <c r="G72" t="inlineStr">
        <is>
          <t>1</t>
        </is>
      </c>
      <c r="H72" t="inlineStr">
        <is>
          <t>No</t>
        </is>
      </c>
      <c r="I72" t="inlineStr">
        <is>
          <t>No</t>
        </is>
      </c>
      <c r="J72" t="inlineStr">
        <is>
          <t>0</t>
        </is>
      </c>
      <c r="K72" t="inlineStr">
        <is>
          <t>Jones, Gwyn, 1907-1999.</t>
        </is>
      </c>
      <c r="L72" t="inlineStr">
        <is>
          <t>Oxford ; New York : Oxford University Press, 1986.</t>
        </is>
      </c>
      <c r="M72" t="inlineStr">
        <is>
          <t>1986</t>
        </is>
      </c>
      <c r="N72" t="inlineStr">
        <is>
          <t>A new and enl. ed., 2nd ed. / with contributions by Robert McGhee, Thomas H. McGovern and colleagues, and Birgitta Linderoth Wallace.</t>
        </is>
      </c>
      <c r="O72" t="inlineStr">
        <is>
          <t>eng</t>
        </is>
      </c>
      <c r="P72" t="inlineStr">
        <is>
          <t>enk</t>
        </is>
      </c>
      <c r="R72" t="inlineStr">
        <is>
          <t xml:space="preserve">G  </t>
        </is>
      </c>
      <c r="S72" t="n">
        <v>4</v>
      </c>
      <c r="T72" t="n">
        <v>4</v>
      </c>
      <c r="U72" t="inlineStr">
        <is>
          <t>1996-02-03</t>
        </is>
      </c>
      <c r="V72" t="inlineStr">
        <is>
          <t>1996-02-03</t>
        </is>
      </c>
      <c r="W72" t="inlineStr">
        <is>
          <t>1990-08-10</t>
        </is>
      </c>
      <c r="X72" t="inlineStr">
        <is>
          <t>1990-08-10</t>
        </is>
      </c>
      <c r="Y72" t="n">
        <v>521</v>
      </c>
      <c r="Z72" t="n">
        <v>420</v>
      </c>
      <c r="AA72" t="n">
        <v>1249</v>
      </c>
      <c r="AB72" t="n">
        <v>4</v>
      </c>
      <c r="AC72" t="n">
        <v>16</v>
      </c>
      <c r="AD72" t="n">
        <v>13</v>
      </c>
      <c r="AE72" t="n">
        <v>53</v>
      </c>
      <c r="AF72" t="n">
        <v>4</v>
      </c>
      <c r="AG72" t="n">
        <v>20</v>
      </c>
      <c r="AH72" t="n">
        <v>4</v>
      </c>
      <c r="AI72" t="n">
        <v>9</v>
      </c>
      <c r="AJ72" t="n">
        <v>7</v>
      </c>
      <c r="AK72" t="n">
        <v>21</v>
      </c>
      <c r="AL72" t="n">
        <v>3</v>
      </c>
      <c r="AM72" t="n">
        <v>15</v>
      </c>
      <c r="AN72" t="n">
        <v>0</v>
      </c>
      <c r="AO72" t="n">
        <v>0</v>
      </c>
      <c r="AP72" t="inlineStr">
        <is>
          <t>No</t>
        </is>
      </c>
      <c r="AQ72" t="inlineStr">
        <is>
          <t>Yes</t>
        </is>
      </c>
      <c r="AR72">
        <f>HYPERLINK("http://catalog.hathitrust.org/Record/000556824","HathiTrust Record")</f>
        <v/>
      </c>
      <c r="AS72">
        <f>HYPERLINK("https://creighton-primo.hosted.exlibrisgroup.com/primo-explore/search?tab=default_tab&amp;search_scope=EVERYTHING&amp;vid=01CRU&amp;lang=en_US&amp;offset=0&amp;query=any,contains,991000725489702656","Catalog Record")</f>
        <v/>
      </c>
      <c r="AT72">
        <f>HYPERLINK("http://www.worldcat.org/oclc/12695047","WorldCat Record")</f>
        <v/>
      </c>
      <c r="AU72" t="inlineStr">
        <is>
          <t>198028178:eng</t>
        </is>
      </c>
      <c r="AV72" t="inlineStr">
        <is>
          <t>12695047</t>
        </is>
      </c>
      <c r="AW72" t="inlineStr">
        <is>
          <t>991000725489702656</t>
        </is>
      </c>
      <c r="AX72" t="inlineStr">
        <is>
          <t>991000725489702656</t>
        </is>
      </c>
      <c r="AY72" t="inlineStr">
        <is>
          <t>2254967200002656</t>
        </is>
      </c>
      <c r="AZ72" t="inlineStr">
        <is>
          <t>BOOK</t>
        </is>
      </c>
      <c r="BB72" t="inlineStr">
        <is>
          <t>9780192158864</t>
        </is>
      </c>
      <c r="BC72" t="inlineStr">
        <is>
          <t>32285000242999</t>
        </is>
      </c>
      <c r="BD72" t="inlineStr">
        <is>
          <t>893261585</t>
        </is>
      </c>
    </row>
    <row r="73">
      <c r="A73" t="inlineStr">
        <is>
          <t>No</t>
        </is>
      </c>
      <c r="B73" t="inlineStr">
        <is>
          <t>G370 .P665 1976</t>
        </is>
      </c>
      <c r="C73" t="inlineStr">
        <is>
          <t>0                      G  0370000P  665         1976</t>
        </is>
      </c>
      <c r="D73" t="inlineStr">
        <is>
          <t>The description of the world / Marco Polo ; [translated and annotated by] A.C. Moule &amp; Paul Pelliot.</t>
        </is>
      </c>
      <c r="E73" t="inlineStr">
        <is>
          <t>V.2</t>
        </is>
      </c>
      <c r="F73" t="inlineStr">
        <is>
          <t>Yes</t>
        </is>
      </c>
      <c r="G73" t="inlineStr">
        <is>
          <t>1</t>
        </is>
      </c>
      <c r="H73" t="inlineStr">
        <is>
          <t>No</t>
        </is>
      </c>
      <c r="I73" t="inlineStr">
        <is>
          <t>Yes</t>
        </is>
      </c>
      <c r="J73" t="inlineStr">
        <is>
          <t>0</t>
        </is>
      </c>
      <c r="K73" t="inlineStr">
        <is>
          <t>Polo, Marco, 1254-1323?.</t>
        </is>
      </c>
      <c r="L73" t="inlineStr">
        <is>
          <t>New York : AMS Press, 1976.</t>
        </is>
      </c>
      <c r="M73" t="inlineStr">
        <is>
          <t>1976</t>
        </is>
      </c>
      <c r="O73" t="inlineStr">
        <is>
          <t>eng</t>
        </is>
      </c>
      <c r="P73" t="inlineStr">
        <is>
          <t>nyu</t>
        </is>
      </c>
      <c r="R73" t="inlineStr">
        <is>
          <t xml:space="preserve">G  </t>
        </is>
      </c>
      <c r="S73" t="n">
        <v>0</v>
      </c>
      <c r="T73" t="n">
        <v>1</v>
      </c>
      <c r="U73" t="inlineStr">
        <is>
          <t>2005-11-03</t>
        </is>
      </c>
      <c r="V73" t="inlineStr">
        <is>
          <t>2005-11-03</t>
        </is>
      </c>
      <c r="W73" t="inlineStr">
        <is>
          <t>1997-05-21</t>
        </is>
      </c>
      <c r="X73" t="inlineStr">
        <is>
          <t>1997-05-21</t>
        </is>
      </c>
      <c r="Y73" t="n">
        <v>126</v>
      </c>
      <c r="Z73" t="n">
        <v>108</v>
      </c>
      <c r="AA73" t="n">
        <v>3478</v>
      </c>
      <c r="AB73" t="n">
        <v>1</v>
      </c>
      <c r="AC73" t="n">
        <v>25</v>
      </c>
      <c r="AD73" t="n">
        <v>5</v>
      </c>
      <c r="AE73" t="n">
        <v>62</v>
      </c>
      <c r="AF73" t="n">
        <v>2</v>
      </c>
      <c r="AG73" t="n">
        <v>28</v>
      </c>
      <c r="AH73" t="n">
        <v>4</v>
      </c>
      <c r="AI73" t="n">
        <v>11</v>
      </c>
      <c r="AJ73" t="n">
        <v>2</v>
      </c>
      <c r="AK73" t="n">
        <v>28</v>
      </c>
      <c r="AL73" t="n">
        <v>0</v>
      </c>
      <c r="AM73" t="n">
        <v>9</v>
      </c>
      <c r="AN73" t="n">
        <v>0</v>
      </c>
      <c r="AO73" t="n">
        <v>0</v>
      </c>
      <c r="AP73" t="inlineStr">
        <is>
          <t>No</t>
        </is>
      </c>
      <c r="AQ73" t="inlineStr">
        <is>
          <t>Yes</t>
        </is>
      </c>
      <c r="AR73">
        <f>HYPERLINK("http://catalog.hathitrust.org/Record/002190097","HathiTrust Record")</f>
        <v/>
      </c>
      <c r="AS73">
        <f>HYPERLINK("https://creighton-primo.hosted.exlibrisgroup.com/primo-explore/search?tab=default_tab&amp;search_scope=EVERYTHING&amp;vid=01CRU&amp;lang=en_US&amp;offset=0&amp;query=any,contains,991003917119702656","Catalog Record")</f>
        <v/>
      </c>
      <c r="AT73">
        <f>HYPERLINK("http://www.worldcat.org/oclc/1863251","WorldCat Record")</f>
        <v/>
      </c>
      <c r="AU73" t="inlineStr">
        <is>
          <t>1929914503:eng</t>
        </is>
      </c>
      <c r="AV73" t="inlineStr">
        <is>
          <t>1863251</t>
        </is>
      </c>
      <c r="AW73" t="inlineStr">
        <is>
          <t>991003917119702656</t>
        </is>
      </c>
      <c r="AX73" t="inlineStr">
        <is>
          <t>991003917119702656</t>
        </is>
      </c>
      <c r="AY73" t="inlineStr">
        <is>
          <t>2263112200002656</t>
        </is>
      </c>
      <c r="AZ73" t="inlineStr">
        <is>
          <t>BOOK</t>
        </is>
      </c>
      <c r="BB73" t="inlineStr">
        <is>
          <t>9780404115258</t>
        </is>
      </c>
      <c r="BC73" t="inlineStr">
        <is>
          <t>32285002691359</t>
        </is>
      </c>
      <c r="BD73" t="inlineStr">
        <is>
          <t>893599205</t>
        </is>
      </c>
    </row>
    <row r="74">
      <c r="A74" t="inlineStr">
        <is>
          <t>No</t>
        </is>
      </c>
      <c r="B74" t="inlineStr">
        <is>
          <t>G370 .P665 1976</t>
        </is>
      </c>
      <c r="C74" t="inlineStr">
        <is>
          <t>0                      G  0370000P  665         1976</t>
        </is>
      </c>
      <c r="D74" t="inlineStr">
        <is>
          <t>The description of the world / Marco Polo ; [translated and annotated by] A.C. Moule &amp; Paul Pelliot.</t>
        </is>
      </c>
      <c r="E74" t="inlineStr">
        <is>
          <t>V.1</t>
        </is>
      </c>
      <c r="F74" t="inlineStr">
        <is>
          <t>Yes</t>
        </is>
      </c>
      <c r="G74" t="inlineStr">
        <is>
          <t>1</t>
        </is>
      </c>
      <c r="H74" t="inlineStr">
        <is>
          <t>No</t>
        </is>
      </c>
      <c r="I74" t="inlineStr">
        <is>
          <t>Yes</t>
        </is>
      </c>
      <c r="J74" t="inlineStr">
        <is>
          <t>0</t>
        </is>
      </c>
      <c r="K74" t="inlineStr">
        <is>
          <t>Polo, Marco, 1254-1323?.</t>
        </is>
      </c>
      <c r="L74" t="inlineStr">
        <is>
          <t>New York : AMS Press, 1976.</t>
        </is>
      </c>
      <c r="M74" t="inlineStr">
        <is>
          <t>1976</t>
        </is>
      </c>
      <c r="O74" t="inlineStr">
        <is>
          <t>eng</t>
        </is>
      </c>
      <c r="P74" t="inlineStr">
        <is>
          <t>nyu</t>
        </is>
      </c>
      <c r="R74" t="inlineStr">
        <is>
          <t xml:space="preserve">G  </t>
        </is>
      </c>
      <c r="S74" t="n">
        <v>1</v>
      </c>
      <c r="T74" t="n">
        <v>1</v>
      </c>
      <c r="U74" t="inlineStr">
        <is>
          <t>2005-11-03</t>
        </is>
      </c>
      <c r="V74" t="inlineStr">
        <is>
          <t>2005-11-03</t>
        </is>
      </c>
      <c r="W74" t="inlineStr">
        <is>
          <t>1997-05-21</t>
        </is>
      </c>
      <c r="X74" t="inlineStr">
        <is>
          <t>1997-05-21</t>
        </is>
      </c>
      <c r="Y74" t="n">
        <v>126</v>
      </c>
      <c r="Z74" t="n">
        <v>108</v>
      </c>
      <c r="AA74" t="n">
        <v>3478</v>
      </c>
      <c r="AB74" t="n">
        <v>1</v>
      </c>
      <c r="AC74" t="n">
        <v>25</v>
      </c>
      <c r="AD74" t="n">
        <v>5</v>
      </c>
      <c r="AE74" t="n">
        <v>62</v>
      </c>
      <c r="AF74" t="n">
        <v>2</v>
      </c>
      <c r="AG74" t="n">
        <v>28</v>
      </c>
      <c r="AH74" t="n">
        <v>4</v>
      </c>
      <c r="AI74" t="n">
        <v>11</v>
      </c>
      <c r="AJ74" t="n">
        <v>2</v>
      </c>
      <c r="AK74" t="n">
        <v>28</v>
      </c>
      <c r="AL74" t="n">
        <v>0</v>
      </c>
      <c r="AM74" t="n">
        <v>9</v>
      </c>
      <c r="AN74" t="n">
        <v>0</v>
      </c>
      <c r="AO74" t="n">
        <v>0</v>
      </c>
      <c r="AP74" t="inlineStr">
        <is>
          <t>No</t>
        </is>
      </c>
      <c r="AQ74" t="inlineStr">
        <is>
          <t>Yes</t>
        </is>
      </c>
      <c r="AR74">
        <f>HYPERLINK("http://catalog.hathitrust.org/Record/002190097","HathiTrust Record")</f>
        <v/>
      </c>
      <c r="AS74">
        <f>HYPERLINK("https://creighton-primo.hosted.exlibrisgroup.com/primo-explore/search?tab=default_tab&amp;search_scope=EVERYTHING&amp;vid=01CRU&amp;lang=en_US&amp;offset=0&amp;query=any,contains,991003917119702656","Catalog Record")</f>
        <v/>
      </c>
      <c r="AT74">
        <f>HYPERLINK("http://www.worldcat.org/oclc/1863251","WorldCat Record")</f>
        <v/>
      </c>
      <c r="AU74" t="inlineStr">
        <is>
          <t>1929914503:eng</t>
        </is>
      </c>
      <c r="AV74" t="inlineStr">
        <is>
          <t>1863251</t>
        </is>
      </c>
      <c r="AW74" t="inlineStr">
        <is>
          <t>991003917119702656</t>
        </is>
      </c>
      <c r="AX74" t="inlineStr">
        <is>
          <t>991003917119702656</t>
        </is>
      </c>
      <c r="AY74" t="inlineStr">
        <is>
          <t>2263112200002656</t>
        </is>
      </c>
      <c r="AZ74" t="inlineStr">
        <is>
          <t>BOOK</t>
        </is>
      </c>
      <c r="BB74" t="inlineStr">
        <is>
          <t>9780404115258</t>
        </is>
      </c>
      <c r="BC74" t="inlineStr">
        <is>
          <t>32285002691342</t>
        </is>
      </c>
      <c r="BD74" t="inlineStr">
        <is>
          <t>893599206</t>
        </is>
      </c>
    </row>
    <row r="75">
      <c r="A75" t="inlineStr">
        <is>
          <t>No</t>
        </is>
      </c>
      <c r="B75" t="inlineStr">
        <is>
          <t>G370 .P72 1926</t>
        </is>
      </c>
      <c r="C75" t="inlineStr">
        <is>
          <t>0                      G  0370000P  72          1926</t>
        </is>
      </c>
      <c r="D75" t="inlineStr">
        <is>
          <t>The travels of Marco Polo / revised from Marsden's translation and edited with an introduction by Manuel Komroff.</t>
        </is>
      </c>
      <c r="F75" t="inlineStr">
        <is>
          <t>No</t>
        </is>
      </c>
      <c r="G75" t="inlineStr">
        <is>
          <t>1</t>
        </is>
      </c>
      <c r="H75" t="inlineStr">
        <is>
          <t>No</t>
        </is>
      </c>
      <c r="I75" t="inlineStr">
        <is>
          <t>Yes</t>
        </is>
      </c>
      <c r="J75" t="inlineStr">
        <is>
          <t>0</t>
        </is>
      </c>
      <c r="K75" t="inlineStr">
        <is>
          <t>Polo, Marco, 1254-1323?.</t>
        </is>
      </c>
      <c r="L75" t="inlineStr">
        <is>
          <t>New York : The Modern library, [1926]</t>
        </is>
      </c>
      <c r="M75" t="inlineStr">
        <is>
          <t>1926</t>
        </is>
      </c>
      <c r="O75" t="inlineStr">
        <is>
          <t>eng</t>
        </is>
      </c>
      <c r="P75" t="inlineStr">
        <is>
          <t xml:space="preserve">xx </t>
        </is>
      </c>
      <c r="Q75" t="inlineStr">
        <is>
          <t>The modern library of the world's best books</t>
        </is>
      </c>
      <c r="R75" t="inlineStr">
        <is>
          <t xml:space="preserve">G  </t>
        </is>
      </c>
      <c r="S75" t="n">
        <v>3</v>
      </c>
      <c r="T75" t="n">
        <v>3</v>
      </c>
      <c r="U75" t="inlineStr">
        <is>
          <t>2003-11-24</t>
        </is>
      </c>
      <c r="V75" t="inlineStr">
        <is>
          <t>2003-11-24</t>
        </is>
      </c>
      <c r="W75" t="inlineStr">
        <is>
          <t>1993-05-03</t>
        </is>
      </c>
      <c r="X75" t="inlineStr">
        <is>
          <t>1993-05-03</t>
        </is>
      </c>
      <c r="Y75" t="n">
        <v>250</v>
      </c>
      <c r="Z75" t="n">
        <v>229</v>
      </c>
      <c r="AA75" t="n">
        <v>3478</v>
      </c>
      <c r="AB75" t="n">
        <v>1</v>
      </c>
      <c r="AC75" t="n">
        <v>25</v>
      </c>
      <c r="AD75" t="n">
        <v>7</v>
      </c>
      <c r="AE75" t="n">
        <v>62</v>
      </c>
      <c r="AF75" t="n">
        <v>2</v>
      </c>
      <c r="AG75" t="n">
        <v>28</v>
      </c>
      <c r="AH75" t="n">
        <v>0</v>
      </c>
      <c r="AI75" t="n">
        <v>11</v>
      </c>
      <c r="AJ75" t="n">
        <v>6</v>
      </c>
      <c r="AK75" t="n">
        <v>28</v>
      </c>
      <c r="AL75" t="n">
        <v>0</v>
      </c>
      <c r="AM75" t="n">
        <v>9</v>
      </c>
      <c r="AN75" t="n">
        <v>0</v>
      </c>
      <c r="AO75" t="n">
        <v>0</v>
      </c>
      <c r="AP75" t="inlineStr">
        <is>
          <t>No</t>
        </is>
      </c>
      <c r="AQ75" t="inlineStr">
        <is>
          <t>Yes</t>
        </is>
      </c>
      <c r="AR75">
        <f>HYPERLINK("http://catalog.hathitrust.org/Record/102072193","HathiTrust Record")</f>
        <v/>
      </c>
      <c r="AS75">
        <f>HYPERLINK("https://creighton-primo.hosted.exlibrisgroup.com/primo-explore/search?tab=default_tab&amp;search_scope=EVERYTHING&amp;vid=01CRU&amp;lang=en_US&amp;offset=0&amp;query=any,contains,991003440599702656","Catalog Record")</f>
        <v/>
      </c>
      <c r="AT75">
        <f>HYPERLINK("http://www.worldcat.org/oclc/37158526","WorldCat Record")</f>
        <v/>
      </c>
      <c r="AU75" t="inlineStr">
        <is>
          <t>1929914503:eng</t>
        </is>
      </c>
      <c r="AV75" t="inlineStr">
        <is>
          <t>37158526</t>
        </is>
      </c>
      <c r="AW75" t="inlineStr">
        <is>
          <t>991003440599702656</t>
        </is>
      </c>
      <c r="AX75" t="inlineStr">
        <is>
          <t>991003440599702656</t>
        </is>
      </c>
      <c r="AY75" t="inlineStr">
        <is>
          <t>2261709910002656</t>
        </is>
      </c>
      <c r="AZ75" t="inlineStr">
        <is>
          <t>BOOK</t>
        </is>
      </c>
      <c r="BC75" t="inlineStr">
        <is>
          <t>32285001632669</t>
        </is>
      </c>
      <c r="BD75" t="inlineStr">
        <is>
          <t>893611042</t>
        </is>
      </c>
    </row>
    <row r="76">
      <c r="A76" t="inlineStr">
        <is>
          <t>No</t>
        </is>
      </c>
      <c r="B76" t="inlineStr">
        <is>
          <t>G420.C65 T56 2004</t>
        </is>
      </c>
      <c r="C76" t="inlineStr">
        <is>
          <t>0                      G  0420000C  65                 T  56          2004</t>
        </is>
      </c>
      <c r="D76" t="inlineStr">
        <is>
          <t>Cook : the extraordinary voyages of Captain James Cook / Nicholas Thomas.</t>
        </is>
      </c>
      <c r="F76" t="inlineStr">
        <is>
          <t>No</t>
        </is>
      </c>
      <c r="G76" t="inlineStr">
        <is>
          <t>1</t>
        </is>
      </c>
      <c r="H76" t="inlineStr">
        <is>
          <t>No</t>
        </is>
      </c>
      <c r="I76" t="inlineStr">
        <is>
          <t>No</t>
        </is>
      </c>
      <c r="J76" t="inlineStr">
        <is>
          <t>0</t>
        </is>
      </c>
      <c r="K76" t="inlineStr">
        <is>
          <t>Thomas, Nicholas, 1960-</t>
        </is>
      </c>
      <c r="L76" t="inlineStr">
        <is>
          <t>New York : Walker &amp; Co., 2004, c2003.</t>
        </is>
      </c>
      <c r="M76" t="inlineStr">
        <is>
          <t>2004</t>
        </is>
      </c>
      <c r="N76" t="inlineStr">
        <is>
          <t>1st pbk. ed.</t>
        </is>
      </c>
      <c r="O76" t="inlineStr">
        <is>
          <t>eng</t>
        </is>
      </c>
      <c r="P76" t="inlineStr">
        <is>
          <t>nyu</t>
        </is>
      </c>
      <c r="R76" t="inlineStr">
        <is>
          <t xml:space="preserve">G  </t>
        </is>
      </c>
      <c r="S76" t="n">
        <v>2</v>
      </c>
      <c r="T76" t="n">
        <v>2</v>
      </c>
      <c r="U76" t="inlineStr">
        <is>
          <t>2005-04-19</t>
        </is>
      </c>
      <c r="V76" t="inlineStr">
        <is>
          <t>2005-04-19</t>
        </is>
      </c>
      <c r="W76" t="inlineStr">
        <is>
          <t>2004-10-06</t>
        </is>
      </c>
      <c r="X76" t="inlineStr">
        <is>
          <t>2004-10-06</t>
        </is>
      </c>
      <c r="Y76" t="n">
        <v>1210</v>
      </c>
      <c r="Z76" t="n">
        <v>1141</v>
      </c>
      <c r="AA76" t="n">
        <v>1147</v>
      </c>
      <c r="AB76" t="n">
        <v>7</v>
      </c>
      <c r="AC76" t="n">
        <v>7</v>
      </c>
      <c r="AD76" t="n">
        <v>26</v>
      </c>
      <c r="AE76" t="n">
        <v>26</v>
      </c>
      <c r="AF76" t="n">
        <v>11</v>
      </c>
      <c r="AG76" t="n">
        <v>11</v>
      </c>
      <c r="AH76" t="n">
        <v>7</v>
      </c>
      <c r="AI76" t="n">
        <v>7</v>
      </c>
      <c r="AJ76" t="n">
        <v>13</v>
      </c>
      <c r="AK76" t="n">
        <v>13</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HYPERLINK("https://creighton-primo.hosted.exlibrisgroup.com/primo-explore/search?tab=default_tab&amp;search_scope=EVERYTHING&amp;vid=01CRU&amp;lang=en_US&amp;offset=0&amp;query=any,contains,991004358099702656","Catalog Record")</f>
        <v/>
      </c>
      <c r="AT76">
        <f>HYPERLINK("http://www.worldcat.org/oclc/52858507","WorldCat Record")</f>
        <v/>
      </c>
      <c r="AU76" t="inlineStr">
        <is>
          <t>308257407:eng</t>
        </is>
      </c>
      <c r="AV76" t="inlineStr">
        <is>
          <t>52858507</t>
        </is>
      </c>
      <c r="AW76" t="inlineStr">
        <is>
          <t>991004358099702656</t>
        </is>
      </c>
      <c r="AX76" t="inlineStr">
        <is>
          <t>991004358099702656</t>
        </is>
      </c>
      <c r="AY76" t="inlineStr">
        <is>
          <t>2267482860002656</t>
        </is>
      </c>
      <c r="AZ76" t="inlineStr">
        <is>
          <t>BOOK</t>
        </is>
      </c>
      <c r="BB76" t="inlineStr">
        <is>
          <t>9780802777119</t>
        </is>
      </c>
      <c r="BC76" t="inlineStr">
        <is>
          <t>32285005001184</t>
        </is>
      </c>
      <c r="BD76" t="inlineStr">
        <is>
          <t>893700133</t>
        </is>
      </c>
    </row>
    <row r="77">
      <c r="A77" t="inlineStr">
        <is>
          <t>No</t>
        </is>
      </c>
      <c r="B77" t="inlineStr">
        <is>
          <t>G420.C68 G9</t>
        </is>
      </c>
      <c r="C77" t="inlineStr">
        <is>
          <t>0                      G  0420000C  68                 G  9</t>
        </is>
      </c>
      <c r="D77" t="inlineStr">
        <is>
          <t>Captain Cook and the South Pacific; the voyage of the "Endeavour," 1768-1771.</t>
        </is>
      </c>
      <c r="F77" t="inlineStr">
        <is>
          <t>No</t>
        </is>
      </c>
      <c r="G77" t="inlineStr">
        <is>
          <t>1</t>
        </is>
      </c>
      <c r="H77" t="inlineStr">
        <is>
          <t>No</t>
        </is>
      </c>
      <c r="I77" t="inlineStr">
        <is>
          <t>No</t>
        </is>
      </c>
      <c r="J77" t="inlineStr">
        <is>
          <t>0</t>
        </is>
      </c>
      <c r="K77" t="inlineStr">
        <is>
          <t>Gwyther, John.</t>
        </is>
      </c>
      <c r="L77" t="inlineStr">
        <is>
          <t>Boston, Houghton Mifflin, 1955 [c1954]</t>
        </is>
      </c>
      <c r="M77" t="inlineStr">
        <is>
          <t>1955</t>
        </is>
      </c>
      <c r="O77" t="inlineStr">
        <is>
          <t>eng</t>
        </is>
      </c>
      <c r="P77" t="inlineStr">
        <is>
          <t>mau</t>
        </is>
      </c>
      <c r="R77" t="inlineStr">
        <is>
          <t xml:space="preserve">G  </t>
        </is>
      </c>
      <c r="S77" t="n">
        <v>1</v>
      </c>
      <c r="T77" t="n">
        <v>1</v>
      </c>
      <c r="U77" t="inlineStr">
        <is>
          <t>2005-04-19</t>
        </is>
      </c>
      <c r="V77" t="inlineStr">
        <is>
          <t>2005-04-19</t>
        </is>
      </c>
      <c r="W77" t="inlineStr">
        <is>
          <t>1997-05-21</t>
        </is>
      </c>
      <c r="X77" t="inlineStr">
        <is>
          <t>1997-05-21</t>
        </is>
      </c>
      <c r="Y77" t="n">
        <v>497</v>
      </c>
      <c r="Z77" t="n">
        <v>463</v>
      </c>
      <c r="AA77" t="n">
        <v>485</v>
      </c>
      <c r="AB77" t="n">
        <v>3</v>
      </c>
      <c r="AC77" t="n">
        <v>3</v>
      </c>
      <c r="AD77" t="n">
        <v>15</v>
      </c>
      <c r="AE77" t="n">
        <v>15</v>
      </c>
      <c r="AF77" t="n">
        <v>6</v>
      </c>
      <c r="AG77" t="n">
        <v>6</v>
      </c>
      <c r="AH77" t="n">
        <v>3</v>
      </c>
      <c r="AI77" t="n">
        <v>3</v>
      </c>
      <c r="AJ77" t="n">
        <v>9</v>
      </c>
      <c r="AK77" t="n">
        <v>9</v>
      </c>
      <c r="AL77" t="n">
        <v>1</v>
      </c>
      <c r="AM77" t="n">
        <v>1</v>
      </c>
      <c r="AN77" t="n">
        <v>0</v>
      </c>
      <c r="AO77" t="n">
        <v>0</v>
      </c>
      <c r="AP77" t="inlineStr">
        <is>
          <t>No</t>
        </is>
      </c>
      <c r="AQ77" t="inlineStr">
        <is>
          <t>Yes</t>
        </is>
      </c>
      <c r="AR77">
        <f>HYPERLINK("http://catalog.hathitrust.org/Record/001270923","HathiTrust Record")</f>
        <v/>
      </c>
      <c r="AS77">
        <f>HYPERLINK("https://creighton-primo.hosted.exlibrisgroup.com/primo-explore/search?tab=default_tab&amp;search_scope=EVERYTHING&amp;vid=01CRU&amp;lang=en_US&amp;offset=0&amp;query=any,contains,991002889379702656","Catalog Record")</f>
        <v/>
      </c>
      <c r="AT77">
        <f>HYPERLINK("http://www.worldcat.org/oclc/510736","WorldCat Record")</f>
        <v/>
      </c>
      <c r="AU77" t="inlineStr">
        <is>
          <t>1473594:eng</t>
        </is>
      </c>
      <c r="AV77" t="inlineStr">
        <is>
          <t>510736</t>
        </is>
      </c>
      <c r="AW77" t="inlineStr">
        <is>
          <t>991002889379702656</t>
        </is>
      </c>
      <c r="AX77" t="inlineStr">
        <is>
          <t>991002889379702656</t>
        </is>
      </c>
      <c r="AY77" t="inlineStr">
        <is>
          <t>2260143620002656</t>
        </is>
      </c>
      <c r="AZ77" t="inlineStr">
        <is>
          <t>BOOK</t>
        </is>
      </c>
      <c r="BC77" t="inlineStr">
        <is>
          <t>32285002691367</t>
        </is>
      </c>
      <c r="BD77" t="inlineStr">
        <is>
          <t>893434414</t>
        </is>
      </c>
    </row>
    <row r="78">
      <c r="A78" t="inlineStr">
        <is>
          <t>No</t>
        </is>
      </c>
      <c r="B78" t="inlineStr">
        <is>
          <t>G420.C69 1781 .B</t>
        </is>
      </c>
      <c r="C78" t="inlineStr">
        <is>
          <t>0                      G  0420000C  69          1781                                        .B</t>
        </is>
      </c>
      <c r="D78" t="inlineStr">
        <is>
          <t>Journal of Captain Cook's last voyage to the Pacific Ocean / by John Rickman.</t>
        </is>
      </c>
      <c r="F78" t="inlineStr">
        <is>
          <t>No</t>
        </is>
      </c>
      <c r="G78" t="inlineStr">
        <is>
          <t>1</t>
        </is>
      </c>
      <c r="H78" t="inlineStr">
        <is>
          <t>No</t>
        </is>
      </c>
      <c r="I78" t="inlineStr">
        <is>
          <t>No</t>
        </is>
      </c>
      <c r="J78" t="inlineStr">
        <is>
          <t>0</t>
        </is>
      </c>
      <c r="K78" t="inlineStr">
        <is>
          <t>Rickman, John.</t>
        </is>
      </c>
      <c r="L78" t="inlineStr">
        <is>
          <t>New York : Readex Microprint, c1966.</t>
        </is>
      </c>
      <c r="M78" t="inlineStr">
        <is>
          <t>1966</t>
        </is>
      </c>
      <c r="O78" t="inlineStr">
        <is>
          <t>eng</t>
        </is>
      </c>
      <c r="P78" t="inlineStr">
        <is>
          <t>nyu</t>
        </is>
      </c>
      <c r="Q78" t="inlineStr">
        <is>
          <t>Great Americana</t>
        </is>
      </c>
      <c r="R78" t="inlineStr">
        <is>
          <t xml:space="preserve">G  </t>
        </is>
      </c>
      <c r="S78" t="n">
        <v>1</v>
      </c>
      <c r="T78" t="n">
        <v>1</v>
      </c>
      <c r="U78" t="inlineStr">
        <is>
          <t>2005-04-19</t>
        </is>
      </c>
      <c r="V78" t="inlineStr">
        <is>
          <t>2005-04-19</t>
        </is>
      </c>
      <c r="W78" t="inlineStr">
        <is>
          <t>1997-05-21</t>
        </is>
      </c>
      <c r="X78" t="inlineStr">
        <is>
          <t>1997-05-21</t>
        </is>
      </c>
      <c r="Y78" t="n">
        <v>783</v>
      </c>
      <c r="Z78" t="n">
        <v>725</v>
      </c>
      <c r="AA78" t="n">
        <v>870</v>
      </c>
      <c r="AB78" t="n">
        <v>6</v>
      </c>
      <c r="AC78" t="n">
        <v>8</v>
      </c>
      <c r="AD78" t="n">
        <v>28</v>
      </c>
      <c r="AE78" t="n">
        <v>36</v>
      </c>
      <c r="AF78" t="n">
        <v>12</v>
      </c>
      <c r="AG78" t="n">
        <v>13</v>
      </c>
      <c r="AH78" t="n">
        <v>8</v>
      </c>
      <c r="AI78" t="n">
        <v>10</v>
      </c>
      <c r="AJ78" t="n">
        <v>9</v>
      </c>
      <c r="AK78" t="n">
        <v>14</v>
      </c>
      <c r="AL78" t="n">
        <v>4</v>
      </c>
      <c r="AM78" t="n">
        <v>6</v>
      </c>
      <c r="AN78" t="n">
        <v>0</v>
      </c>
      <c r="AO78" t="n">
        <v>0</v>
      </c>
      <c r="AP78" t="inlineStr">
        <is>
          <t>No</t>
        </is>
      </c>
      <c r="AQ78" t="inlineStr">
        <is>
          <t>Yes</t>
        </is>
      </c>
      <c r="AR78">
        <f>HYPERLINK("http://catalog.hathitrust.org/Record/002997119","HathiTrust Record")</f>
        <v/>
      </c>
      <c r="AS78">
        <f>HYPERLINK("https://creighton-primo.hosted.exlibrisgroup.com/primo-explore/search?tab=default_tab&amp;search_scope=EVERYTHING&amp;vid=01CRU&amp;lang=en_US&amp;offset=0&amp;query=any,contains,991002310539702656","Catalog Record")</f>
        <v/>
      </c>
      <c r="AT78">
        <f>HYPERLINK("http://www.worldcat.org/oclc/966058","WorldCat Record")</f>
        <v/>
      </c>
      <c r="AU78" t="inlineStr">
        <is>
          <t>3943543496:eng</t>
        </is>
      </c>
      <c r="AV78" t="inlineStr">
        <is>
          <t>966058</t>
        </is>
      </c>
      <c r="AW78" t="inlineStr">
        <is>
          <t>991002310539702656</t>
        </is>
      </c>
      <c r="AX78" t="inlineStr">
        <is>
          <t>991002310539702656</t>
        </is>
      </c>
      <c r="AY78" t="inlineStr">
        <is>
          <t>2267364470002656</t>
        </is>
      </c>
      <c r="AZ78" t="inlineStr">
        <is>
          <t>BOOK</t>
        </is>
      </c>
      <c r="BC78" t="inlineStr">
        <is>
          <t>32285002691375</t>
        </is>
      </c>
      <c r="BD78" t="inlineStr">
        <is>
          <t>893226693</t>
        </is>
      </c>
    </row>
    <row r="79">
      <c r="A79" t="inlineStr">
        <is>
          <t>No</t>
        </is>
      </c>
      <c r="B79" t="inlineStr">
        <is>
          <t>G440 .B67</t>
        </is>
      </c>
      <c r="C79" t="inlineStr">
        <is>
          <t>0                      G  0440000B  67</t>
        </is>
      </c>
      <c r="D79" t="inlineStr">
        <is>
          <t>O'er oceans and continents with the setting sun. 3d series: Jerusalem, Palestine in Bedouin garb, Syria and the islands of the Mediterranean, Smyrna, Constantinople, Athens, Corfu, by Fiscar Marison [pseud.]</t>
        </is>
      </c>
      <c r="F79" t="inlineStr">
        <is>
          <t>No</t>
        </is>
      </c>
      <c r="G79" t="inlineStr">
        <is>
          <t>1</t>
        </is>
      </c>
      <c r="H79" t="inlineStr">
        <is>
          <t>No</t>
        </is>
      </c>
      <c r="I79" t="inlineStr">
        <is>
          <t>No</t>
        </is>
      </c>
      <c r="J79" t="inlineStr">
        <is>
          <t>0</t>
        </is>
      </c>
      <c r="K79" t="inlineStr">
        <is>
          <t>Blatter, Geo. J. (George John), 1861-</t>
        </is>
      </c>
      <c r="L79" t="inlineStr">
        <is>
          <t>Chicago, Author's edition [c1909]</t>
        </is>
      </c>
      <c r="M79" t="inlineStr">
        <is>
          <t>1909</t>
        </is>
      </c>
      <c r="O79" t="inlineStr">
        <is>
          <t>eng</t>
        </is>
      </c>
      <c r="P79" t="inlineStr">
        <is>
          <t>ilu</t>
        </is>
      </c>
      <c r="R79" t="inlineStr">
        <is>
          <t xml:space="preserve">G  </t>
        </is>
      </c>
      <c r="S79" t="n">
        <v>0</v>
      </c>
      <c r="T79" t="n">
        <v>0</v>
      </c>
      <c r="U79" t="inlineStr">
        <is>
          <t>2001-07-06</t>
        </is>
      </c>
      <c r="V79" t="inlineStr">
        <is>
          <t>2001-07-06</t>
        </is>
      </c>
      <c r="W79" t="inlineStr">
        <is>
          <t>1997-05-21</t>
        </is>
      </c>
      <c r="X79" t="inlineStr">
        <is>
          <t>1997-05-21</t>
        </is>
      </c>
      <c r="Y79" t="n">
        <v>22</v>
      </c>
      <c r="Z79" t="n">
        <v>21</v>
      </c>
      <c r="AA79" t="n">
        <v>46</v>
      </c>
      <c r="AB79" t="n">
        <v>1</v>
      </c>
      <c r="AC79" t="n">
        <v>2</v>
      </c>
      <c r="AD79" t="n">
        <v>6</v>
      </c>
      <c r="AE79" t="n">
        <v>8</v>
      </c>
      <c r="AF79" t="n">
        <v>1</v>
      </c>
      <c r="AG79" t="n">
        <v>1</v>
      </c>
      <c r="AH79" t="n">
        <v>3</v>
      </c>
      <c r="AI79" t="n">
        <v>4</v>
      </c>
      <c r="AJ79" t="n">
        <v>3</v>
      </c>
      <c r="AK79" t="n">
        <v>3</v>
      </c>
      <c r="AL79" t="n">
        <v>0</v>
      </c>
      <c r="AM79" t="n">
        <v>1</v>
      </c>
      <c r="AN79" t="n">
        <v>0</v>
      </c>
      <c r="AO79" t="n">
        <v>0</v>
      </c>
      <c r="AP79" t="inlineStr">
        <is>
          <t>Yes</t>
        </is>
      </c>
      <c r="AQ79" t="inlineStr">
        <is>
          <t>No</t>
        </is>
      </c>
      <c r="AR79">
        <f>HYPERLINK("http://catalog.hathitrust.org/Record/007646671","HathiTrust Record")</f>
        <v/>
      </c>
      <c r="AS79">
        <f>HYPERLINK("https://creighton-primo.hosted.exlibrisgroup.com/primo-explore/search?tab=default_tab&amp;search_scope=EVERYTHING&amp;vid=01CRU&amp;lang=en_US&amp;offset=0&amp;query=any,contains,991005239219702656","Catalog Record")</f>
        <v/>
      </c>
      <c r="AT79">
        <f>HYPERLINK("http://www.worldcat.org/oclc/8406688","WorldCat Record")</f>
        <v/>
      </c>
      <c r="AU79" t="inlineStr">
        <is>
          <t>2862824218:eng</t>
        </is>
      </c>
      <c r="AV79" t="inlineStr">
        <is>
          <t>8406688</t>
        </is>
      </c>
      <c r="AW79" t="inlineStr">
        <is>
          <t>991005239219702656</t>
        </is>
      </c>
      <c r="AX79" t="inlineStr">
        <is>
          <t>991005239219702656</t>
        </is>
      </c>
      <c r="AY79" t="inlineStr">
        <is>
          <t>2262818560002656</t>
        </is>
      </c>
      <c r="AZ79" t="inlineStr">
        <is>
          <t>BOOK</t>
        </is>
      </c>
      <c r="BC79" t="inlineStr">
        <is>
          <t>32285002691409</t>
        </is>
      </c>
      <c r="BD79" t="inlineStr">
        <is>
          <t>893320299</t>
        </is>
      </c>
    </row>
    <row r="80">
      <c r="A80" t="inlineStr">
        <is>
          <t>No</t>
        </is>
      </c>
      <c r="B80" t="inlineStr">
        <is>
          <t>G440 .T68</t>
        </is>
      </c>
      <c r="C80" t="inlineStr">
        <is>
          <t>0                      G  0440000T  68</t>
        </is>
      </c>
      <c r="D80" t="inlineStr">
        <is>
          <t>East to west; a journey round the world.</t>
        </is>
      </c>
      <c r="F80" t="inlineStr">
        <is>
          <t>No</t>
        </is>
      </c>
      <c r="G80" t="inlineStr">
        <is>
          <t>1</t>
        </is>
      </c>
      <c r="H80" t="inlineStr">
        <is>
          <t>No</t>
        </is>
      </c>
      <c r="I80" t="inlineStr">
        <is>
          <t>No</t>
        </is>
      </c>
      <c r="J80" t="inlineStr">
        <is>
          <t>0</t>
        </is>
      </c>
      <c r="K80" t="inlineStr">
        <is>
          <t>Toynbee, Arnold, 1889-1975.</t>
        </is>
      </c>
      <c r="L80" t="inlineStr">
        <is>
          <t>New York, Oxford University Press, 1958.</t>
        </is>
      </c>
      <c r="M80" t="inlineStr">
        <is>
          <t>1958</t>
        </is>
      </c>
      <c r="O80" t="inlineStr">
        <is>
          <t>eng</t>
        </is>
      </c>
      <c r="P80" t="inlineStr">
        <is>
          <t>nyu</t>
        </is>
      </c>
      <c r="R80" t="inlineStr">
        <is>
          <t xml:space="preserve">G  </t>
        </is>
      </c>
      <c r="S80" t="n">
        <v>2</v>
      </c>
      <c r="T80" t="n">
        <v>2</v>
      </c>
      <c r="U80" t="inlineStr">
        <is>
          <t>1999-09-01</t>
        </is>
      </c>
      <c r="V80" t="inlineStr">
        <is>
          <t>1999-09-01</t>
        </is>
      </c>
      <c r="W80" t="inlineStr">
        <is>
          <t>1997-05-21</t>
        </is>
      </c>
      <c r="X80" t="inlineStr">
        <is>
          <t>1997-05-21</t>
        </is>
      </c>
      <c r="Y80" t="n">
        <v>880</v>
      </c>
      <c r="Z80" t="n">
        <v>786</v>
      </c>
      <c r="AA80" t="n">
        <v>807</v>
      </c>
      <c r="AB80" t="n">
        <v>9</v>
      </c>
      <c r="AC80" t="n">
        <v>9</v>
      </c>
      <c r="AD80" t="n">
        <v>24</v>
      </c>
      <c r="AE80" t="n">
        <v>25</v>
      </c>
      <c r="AF80" t="n">
        <v>5</v>
      </c>
      <c r="AG80" t="n">
        <v>5</v>
      </c>
      <c r="AH80" t="n">
        <v>6</v>
      </c>
      <c r="AI80" t="n">
        <v>6</v>
      </c>
      <c r="AJ80" t="n">
        <v>13</v>
      </c>
      <c r="AK80" t="n">
        <v>14</v>
      </c>
      <c r="AL80" t="n">
        <v>6</v>
      </c>
      <c r="AM80" t="n">
        <v>6</v>
      </c>
      <c r="AN80" t="n">
        <v>0</v>
      </c>
      <c r="AO80" t="n">
        <v>0</v>
      </c>
      <c r="AP80" t="inlineStr">
        <is>
          <t>No</t>
        </is>
      </c>
      <c r="AQ80" t="inlineStr">
        <is>
          <t>No</t>
        </is>
      </c>
      <c r="AR80">
        <f>HYPERLINK("http://catalog.hathitrust.org/Record/001271016","HathiTrust Record")</f>
        <v/>
      </c>
      <c r="AS80">
        <f>HYPERLINK("https://creighton-primo.hosted.exlibrisgroup.com/primo-explore/search?tab=default_tab&amp;search_scope=EVERYTHING&amp;vid=01CRU&amp;lang=en_US&amp;offset=0&amp;query=any,contains,991002564329702656","Catalog Record")</f>
        <v/>
      </c>
      <c r="AT80">
        <f>HYPERLINK("http://www.worldcat.org/oclc/372306","WorldCat Record")</f>
        <v/>
      </c>
      <c r="AU80" t="inlineStr">
        <is>
          <t>1451885:eng</t>
        </is>
      </c>
      <c r="AV80" t="inlineStr">
        <is>
          <t>372306</t>
        </is>
      </c>
      <c r="AW80" t="inlineStr">
        <is>
          <t>991002564329702656</t>
        </is>
      </c>
      <c r="AX80" t="inlineStr">
        <is>
          <t>991002564329702656</t>
        </is>
      </c>
      <c r="AY80" t="inlineStr">
        <is>
          <t>2261720210002656</t>
        </is>
      </c>
      <c r="AZ80" t="inlineStr">
        <is>
          <t>BOOK</t>
        </is>
      </c>
      <c r="BC80" t="inlineStr">
        <is>
          <t>32285002691458</t>
        </is>
      </c>
      <c r="BD80" t="inlineStr">
        <is>
          <t>893804750</t>
        </is>
      </c>
    </row>
    <row r="81">
      <c r="A81" t="inlineStr">
        <is>
          <t>No</t>
        </is>
      </c>
      <c r="B81" t="inlineStr">
        <is>
          <t>G440.G7 M12 1879</t>
        </is>
      </c>
      <c r="C81" t="inlineStr">
        <is>
          <t>0                      G  0440000G  7                  M  12          1879</t>
        </is>
      </c>
      <c r="D81" t="inlineStr">
        <is>
          <t>A tour around the world by General Grant : being a narrative of the incidents and events of his journey ... / edited and compiled from the most authentic sources by James D. McCabe.</t>
        </is>
      </c>
      <c r="F81" t="inlineStr">
        <is>
          <t>No</t>
        </is>
      </c>
      <c r="G81" t="inlineStr">
        <is>
          <t>1</t>
        </is>
      </c>
      <c r="H81" t="inlineStr">
        <is>
          <t>No</t>
        </is>
      </c>
      <c r="I81" t="inlineStr">
        <is>
          <t>No</t>
        </is>
      </c>
      <c r="J81" t="inlineStr">
        <is>
          <t>0</t>
        </is>
      </c>
      <c r="K81" t="inlineStr">
        <is>
          <t>McCabe, James D., 1842-1883.</t>
        </is>
      </c>
      <c r="L81" t="inlineStr">
        <is>
          <t>Cincinnati : Jones Brothers, 1879.</t>
        </is>
      </c>
      <c r="M81" t="inlineStr">
        <is>
          <t>1879</t>
        </is>
      </c>
      <c r="O81" t="inlineStr">
        <is>
          <t>eng</t>
        </is>
      </c>
      <c r="P81" t="inlineStr">
        <is>
          <t>ohu</t>
        </is>
      </c>
      <c r="R81" t="inlineStr">
        <is>
          <t xml:space="preserve">G  </t>
        </is>
      </c>
      <c r="S81" t="n">
        <v>4</v>
      </c>
      <c r="T81" t="n">
        <v>4</v>
      </c>
      <c r="U81" t="inlineStr">
        <is>
          <t>1993-10-04</t>
        </is>
      </c>
      <c r="V81" t="inlineStr">
        <is>
          <t>1993-10-04</t>
        </is>
      </c>
      <c r="W81" t="inlineStr">
        <is>
          <t>1992-05-29</t>
        </is>
      </c>
      <c r="X81" t="inlineStr">
        <is>
          <t>1992-05-29</t>
        </is>
      </c>
      <c r="Y81" t="n">
        <v>12</v>
      </c>
      <c r="Z81" t="n">
        <v>12</v>
      </c>
      <c r="AA81" t="n">
        <v>158</v>
      </c>
      <c r="AB81" t="n">
        <v>1</v>
      </c>
      <c r="AC81" t="n">
        <v>3</v>
      </c>
      <c r="AD81" t="n">
        <v>0</v>
      </c>
      <c r="AE81" t="n">
        <v>7</v>
      </c>
      <c r="AF81" t="n">
        <v>0</v>
      </c>
      <c r="AG81" t="n">
        <v>1</v>
      </c>
      <c r="AH81" t="n">
        <v>0</v>
      </c>
      <c r="AI81" t="n">
        <v>1</v>
      </c>
      <c r="AJ81" t="n">
        <v>0</v>
      </c>
      <c r="AK81" t="n">
        <v>3</v>
      </c>
      <c r="AL81" t="n">
        <v>0</v>
      </c>
      <c r="AM81" t="n">
        <v>2</v>
      </c>
      <c r="AN81" t="n">
        <v>0</v>
      </c>
      <c r="AO81" t="n">
        <v>0</v>
      </c>
      <c r="AP81" t="inlineStr">
        <is>
          <t>Yes</t>
        </is>
      </c>
      <c r="AQ81" t="inlineStr">
        <is>
          <t>No</t>
        </is>
      </c>
      <c r="AR81">
        <f>HYPERLINK("http://catalog.hathitrust.org/Record/100154360","HathiTrust Record")</f>
        <v/>
      </c>
      <c r="AS81">
        <f>HYPERLINK("https://creighton-primo.hosted.exlibrisgroup.com/primo-explore/search?tab=default_tab&amp;search_scope=EVERYTHING&amp;vid=01CRU&amp;lang=en_US&amp;offset=0&amp;query=any,contains,991004242229702656","Catalog Record")</f>
        <v/>
      </c>
      <c r="AT81">
        <f>HYPERLINK("http://www.worldcat.org/oclc/2790416","WorldCat Record")</f>
        <v/>
      </c>
      <c r="AU81" t="inlineStr">
        <is>
          <t>1685878:eng</t>
        </is>
      </c>
      <c r="AV81" t="inlineStr">
        <is>
          <t>2790416</t>
        </is>
      </c>
      <c r="AW81" t="inlineStr">
        <is>
          <t>991004242229702656</t>
        </is>
      </c>
      <c r="AX81" t="inlineStr">
        <is>
          <t>991004242229702656</t>
        </is>
      </c>
      <c r="AY81" t="inlineStr">
        <is>
          <t>2266514950002656</t>
        </is>
      </c>
      <c r="AZ81" t="inlineStr">
        <is>
          <t>BOOK</t>
        </is>
      </c>
      <c r="BC81" t="inlineStr">
        <is>
          <t>32285001114148</t>
        </is>
      </c>
      <c r="BD81" t="inlineStr">
        <is>
          <t>893687513</t>
        </is>
      </c>
    </row>
    <row r="82">
      <c r="A82" t="inlineStr">
        <is>
          <t>No</t>
        </is>
      </c>
      <c r="B82" t="inlineStr">
        <is>
          <t>G463 .H245</t>
        </is>
      </c>
      <c r="C82" t="inlineStr">
        <is>
          <t>0                      G  0463000H  245</t>
        </is>
      </c>
      <c r="D82" t="inlineStr">
        <is>
          <t>Richard Halliburton's Complete book of marvels.</t>
        </is>
      </c>
      <c r="F82" t="inlineStr">
        <is>
          <t>No</t>
        </is>
      </c>
      <c r="G82" t="inlineStr">
        <is>
          <t>1</t>
        </is>
      </c>
      <c r="H82" t="inlineStr">
        <is>
          <t>No</t>
        </is>
      </c>
      <c r="I82" t="inlineStr">
        <is>
          <t>No</t>
        </is>
      </c>
      <c r="J82" t="inlineStr">
        <is>
          <t>0</t>
        </is>
      </c>
      <c r="K82" t="inlineStr">
        <is>
          <t>Halliburton, Richard, 1900-1939.</t>
        </is>
      </c>
      <c r="L82" t="inlineStr">
        <is>
          <t>Indianapolis, New York, The Bobbs-Merrill Company [c1941]</t>
        </is>
      </c>
      <c r="M82" t="inlineStr">
        <is>
          <t>1941</t>
        </is>
      </c>
      <c r="O82" t="inlineStr">
        <is>
          <t>eng</t>
        </is>
      </c>
      <c r="P82" t="inlineStr">
        <is>
          <t>inu</t>
        </is>
      </c>
      <c r="R82" t="inlineStr">
        <is>
          <t xml:space="preserve">G  </t>
        </is>
      </c>
      <c r="S82" t="n">
        <v>3</v>
      </c>
      <c r="T82" t="n">
        <v>3</v>
      </c>
      <c r="U82" t="inlineStr">
        <is>
          <t>2001-11-03</t>
        </is>
      </c>
      <c r="V82" t="inlineStr">
        <is>
          <t>2001-11-03</t>
        </is>
      </c>
      <c r="W82" t="inlineStr">
        <is>
          <t>1997-05-21</t>
        </is>
      </c>
      <c r="X82" t="inlineStr">
        <is>
          <t>1997-05-21</t>
        </is>
      </c>
      <c r="Y82" t="n">
        <v>279</v>
      </c>
      <c r="Z82" t="n">
        <v>270</v>
      </c>
      <c r="AA82" t="n">
        <v>774</v>
      </c>
      <c r="AB82" t="n">
        <v>4</v>
      </c>
      <c r="AC82" t="n">
        <v>9</v>
      </c>
      <c r="AD82" t="n">
        <v>8</v>
      </c>
      <c r="AE82" t="n">
        <v>17</v>
      </c>
      <c r="AF82" t="n">
        <v>5</v>
      </c>
      <c r="AG82" t="n">
        <v>8</v>
      </c>
      <c r="AH82" t="n">
        <v>2</v>
      </c>
      <c r="AI82" t="n">
        <v>4</v>
      </c>
      <c r="AJ82" t="n">
        <v>3</v>
      </c>
      <c r="AK82" t="n">
        <v>5</v>
      </c>
      <c r="AL82" t="n">
        <v>0</v>
      </c>
      <c r="AM82" t="n">
        <v>3</v>
      </c>
      <c r="AN82" t="n">
        <v>0</v>
      </c>
      <c r="AO82" t="n">
        <v>0</v>
      </c>
      <c r="AP82" t="inlineStr">
        <is>
          <t>No</t>
        </is>
      </c>
      <c r="AQ82" t="inlineStr">
        <is>
          <t>No</t>
        </is>
      </c>
      <c r="AS82">
        <f>HYPERLINK("https://creighton-primo.hosted.exlibrisgroup.com/primo-explore/search?tab=default_tab&amp;search_scope=EVERYTHING&amp;vid=01CRU&amp;lang=en_US&amp;offset=0&amp;query=any,contains,991003921749702656","Catalog Record")</f>
        <v/>
      </c>
      <c r="AT82">
        <f>HYPERLINK("http://www.worldcat.org/oclc/1872652","WorldCat Record")</f>
        <v/>
      </c>
      <c r="AU82" t="inlineStr">
        <is>
          <t>3373529803:eng</t>
        </is>
      </c>
      <c r="AV82" t="inlineStr">
        <is>
          <t>1872652</t>
        </is>
      </c>
      <c r="AW82" t="inlineStr">
        <is>
          <t>991003921749702656</t>
        </is>
      </c>
      <c r="AX82" t="inlineStr">
        <is>
          <t>991003921749702656</t>
        </is>
      </c>
      <c r="AY82" t="inlineStr">
        <is>
          <t>2255380740002656</t>
        </is>
      </c>
      <c r="AZ82" t="inlineStr">
        <is>
          <t>BOOK</t>
        </is>
      </c>
      <c r="BC82" t="inlineStr">
        <is>
          <t>32285002691508</t>
        </is>
      </c>
      <c r="BD82" t="inlineStr">
        <is>
          <t>893240788</t>
        </is>
      </c>
    </row>
    <row r="83">
      <c r="A83" t="inlineStr">
        <is>
          <t>No</t>
        </is>
      </c>
      <c r="B83" t="inlineStr">
        <is>
          <t>G463 .H39</t>
        </is>
      </c>
      <c r="C83" t="inlineStr">
        <is>
          <t>0                      G  0463000H  39</t>
        </is>
      </c>
      <c r="D83" t="inlineStr">
        <is>
          <t>The Orient and its people. By Mrs. I. L. Hauser ...</t>
        </is>
      </c>
      <c r="F83" t="inlineStr">
        <is>
          <t>No</t>
        </is>
      </c>
      <c r="G83" t="inlineStr">
        <is>
          <t>1</t>
        </is>
      </c>
      <c r="H83" t="inlineStr">
        <is>
          <t>No</t>
        </is>
      </c>
      <c r="I83" t="inlineStr">
        <is>
          <t>No</t>
        </is>
      </c>
      <c r="J83" t="inlineStr">
        <is>
          <t>0</t>
        </is>
      </c>
      <c r="K83" t="inlineStr">
        <is>
          <t>Hauser, Jeannette L.</t>
        </is>
      </c>
      <c r="L83" t="inlineStr">
        <is>
          <t>Milwaukee, I. L. Hauser &amp; company, 1876.</t>
        </is>
      </c>
      <c r="M83" t="inlineStr">
        <is>
          <t>1876</t>
        </is>
      </c>
      <c r="O83" t="inlineStr">
        <is>
          <t>eng</t>
        </is>
      </c>
      <c r="P83" t="inlineStr">
        <is>
          <t xml:space="preserve">xx </t>
        </is>
      </c>
      <c r="R83" t="inlineStr">
        <is>
          <t xml:space="preserve">G  </t>
        </is>
      </c>
      <c r="S83" t="n">
        <v>4</v>
      </c>
      <c r="T83" t="n">
        <v>4</v>
      </c>
      <c r="U83" t="inlineStr">
        <is>
          <t>2004-01-19</t>
        </is>
      </c>
      <c r="V83" t="inlineStr">
        <is>
          <t>2004-01-19</t>
        </is>
      </c>
      <c r="W83" t="inlineStr">
        <is>
          <t>1997-05-21</t>
        </is>
      </c>
      <c r="X83" t="inlineStr">
        <is>
          <t>1997-05-21</t>
        </is>
      </c>
      <c r="Y83" t="n">
        <v>81</v>
      </c>
      <c r="Z83" t="n">
        <v>67</v>
      </c>
      <c r="AA83" t="n">
        <v>184</v>
      </c>
      <c r="AB83" t="n">
        <v>3</v>
      </c>
      <c r="AC83" t="n">
        <v>4</v>
      </c>
      <c r="AD83" t="n">
        <v>4</v>
      </c>
      <c r="AE83" t="n">
        <v>11</v>
      </c>
      <c r="AF83" t="n">
        <v>1</v>
      </c>
      <c r="AG83" t="n">
        <v>3</v>
      </c>
      <c r="AH83" t="n">
        <v>1</v>
      </c>
      <c r="AI83" t="n">
        <v>2</v>
      </c>
      <c r="AJ83" t="n">
        <v>1</v>
      </c>
      <c r="AK83" t="n">
        <v>5</v>
      </c>
      <c r="AL83" t="n">
        <v>2</v>
      </c>
      <c r="AM83" t="n">
        <v>3</v>
      </c>
      <c r="AN83" t="n">
        <v>0</v>
      </c>
      <c r="AO83" t="n">
        <v>1</v>
      </c>
      <c r="AP83" t="inlineStr">
        <is>
          <t>Yes</t>
        </is>
      </c>
      <c r="AQ83" t="inlineStr">
        <is>
          <t>No</t>
        </is>
      </c>
      <c r="AR83">
        <f>HYPERLINK("http://catalog.hathitrust.org/Record/005895861","HathiTrust Record")</f>
        <v/>
      </c>
      <c r="AS83">
        <f>HYPERLINK("https://creighton-primo.hosted.exlibrisgroup.com/primo-explore/search?tab=default_tab&amp;search_scope=EVERYTHING&amp;vid=01CRU&amp;lang=en_US&amp;offset=0&amp;query=any,contains,991003793659702656","Catalog Record")</f>
        <v/>
      </c>
      <c r="AT83">
        <f>HYPERLINK("http://www.worldcat.org/oclc/1513654","WorldCat Record")</f>
        <v/>
      </c>
      <c r="AU83" t="inlineStr">
        <is>
          <t>7437107:eng</t>
        </is>
      </c>
      <c r="AV83" t="inlineStr">
        <is>
          <t>1513654</t>
        </is>
      </c>
      <c r="AW83" t="inlineStr">
        <is>
          <t>991003793659702656</t>
        </is>
      </c>
      <c r="AX83" t="inlineStr">
        <is>
          <t>991003793659702656</t>
        </is>
      </c>
      <c r="AY83" t="inlineStr">
        <is>
          <t>2258329920002656</t>
        </is>
      </c>
      <c r="AZ83" t="inlineStr">
        <is>
          <t>BOOK</t>
        </is>
      </c>
      <c r="BC83" t="inlineStr">
        <is>
          <t>32285002691516</t>
        </is>
      </c>
      <c r="BD83" t="inlineStr">
        <is>
          <t>893499717</t>
        </is>
      </c>
    </row>
    <row r="84">
      <c r="A84" t="inlineStr">
        <is>
          <t>No</t>
        </is>
      </c>
      <c r="B84" t="inlineStr">
        <is>
          <t>G465 .E46 2004</t>
        </is>
      </c>
      <c r="C84" t="inlineStr">
        <is>
          <t>0                      G  0465000E  46          2004</t>
        </is>
      </c>
      <c r="D84" t="inlineStr">
        <is>
          <t>The future of ice : a journey into cold / Gretel Ehrlich.</t>
        </is>
      </c>
      <c r="F84" t="inlineStr">
        <is>
          <t>No</t>
        </is>
      </c>
      <c r="G84" t="inlineStr">
        <is>
          <t>1</t>
        </is>
      </c>
      <c r="H84" t="inlineStr">
        <is>
          <t>No</t>
        </is>
      </c>
      <c r="I84" t="inlineStr">
        <is>
          <t>No</t>
        </is>
      </c>
      <c r="J84" t="inlineStr">
        <is>
          <t>0</t>
        </is>
      </c>
      <c r="K84" t="inlineStr">
        <is>
          <t>Ehrlich, Gretel.</t>
        </is>
      </c>
      <c r="L84" t="inlineStr">
        <is>
          <t>New York : Pantheon Books, c2004.</t>
        </is>
      </c>
      <c r="M84" t="inlineStr">
        <is>
          <t>2004</t>
        </is>
      </c>
      <c r="N84" t="inlineStr">
        <is>
          <t>1st ed.</t>
        </is>
      </c>
      <c r="O84" t="inlineStr">
        <is>
          <t>eng</t>
        </is>
      </c>
      <c r="P84" t="inlineStr">
        <is>
          <t>nyu</t>
        </is>
      </c>
      <c r="R84" t="inlineStr">
        <is>
          <t xml:space="preserve">G  </t>
        </is>
      </c>
      <c r="S84" t="n">
        <v>2</v>
      </c>
      <c r="T84" t="n">
        <v>2</v>
      </c>
      <c r="U84" t="inlineStr">
        <is>
          <t>2005-01-28</t>
        </is>
      </c>
      <c r="V84" t="inlineStr">
        <is>
          <t>2005-01-28</t>
        </is>
      </c>
      <c r="W84" t="inlineStr">
        <is>
          <t>2004-12-14</t>
        </is>
      </c>
      <c r="X84" t="inlineStr">
        <is>
          <t>2004-12-14</t>
        </is>
      </c>
      <c r="Y84" t="n">
        <v>909</v>
      </c>
      <c r="Z84" t="n">
        <v>862</v>
      </c>
      <c r="AA84" t="n">
        <v>963</v>
      </c>
      <c r="AB84" t="n">
        <v>7</v>
      </c>
      <c r="AC84" t="n">
        <v>10</v>
      </c>
      <c r="AD84" t="n">
        <v>16</v>
      </c>
      <c r="AE84" t="n">
        <v>19</v>
      </c>
      <c r="AF84" t="n">
        <v>5</v>
      </c>
      <c r="AG84" t="n">
        <v>6</v>
      </c>
      <c r="AH84" t="n">
        <v>3</v>
      </c>
      <c r="AI84" t="n">
        <v>3</v>
      </c>
      <c r="AJ84" t="n">
        <v>7</v>
      </c>
      <c r="AK84" t="n">
        <v>9</v>
      </c>
      <c r="AL84" t="n">
        <v>3</v>
      </c>
      <c r="AM84" t="n">
        <v>4</v>
      </c>
      <c r="AN84" t="n">
        <v>0</v>
      </c>
      <c r="AO84" t="n">
        <v>0</v>
      </c>
      <c r="AP84" t="inlineStr">
        <is>
          <t>No</t>
        </is>
      </c>
      <c r="AQ84" t="inlineStr">
        <is>
          <t>Yes</t>
        </is>
      </c>
      <c r="AR84">
        <f>HYPERLINK("http://catalog.hathitrust.org/Record/004921140","HathiTrust Record")</f>
        <v/>
      </c>
      <c r="AS84">
        <f>HYPERLINK("https://creighton-primo.hosted.exlibrisgroup.com/primo-explore/search?tab=default_tab&amp;search_scope=EVERYTHING&amp;vid=01CRU&amp;lang=en_US&amp;offset=0&amp;query=any,contains,991004406059702656","Catalog Record")</f>
        <v/>
      </c>
      <c r="AT84">
        <f>HYPERLINK("http://www.worldcat.org/oclc/54865321","WorldCat Record")</f>
        <v/>
      </c>
      <c r="AU84" t="inlineStr">
        <is>
          <t>392156559:eng</t>
        </is>
      </c>
      <c r="AV84" t="inlineStr">
        <is>
          <t>54865321</t>
        </is>
      </c>
      <c r="AW84" t="inlineStr">
        <is>
          <t>991004406059702656</t>
        </is>
      </c>
      <c r="AX84" t="inlineStr">
        <is>
          <t>991004406059702656</t>
        </is>
      </c>
      <c r="AY84" t="inlineStr">
        <is>
          <t>2256279240002656</t>
        </is>
      </c>
      <c r="AZ84" t="inlineStr">
        <is>
          <t>BOOK</t>
        </is>
      </c>
      <c r="BB84" t="inlineStr">
        <is>
          <t>9780375422515</t>
        </is>
      </c>
      <c r="BC84" t="inlineStr">
        <is>
          <t>32285005017131</t>
        </is>
      </c>
      <c r="BD84" t="inlineStr">
        <is>
          <t>893229325</t>
        </is>
      </c>
    </row>
    <row r="85">
      <c r="A85" t="inlineStr">
        <is>
          <t>No</t>
        </is>
      </c>
      <c r="B85" t="inlineStr">
        <is>
          <t>G465 .F65 1985</t>
        </is>
      </c>
      <c r="C85" t="inlineStr">
        <is>
          <t>0                      G  0465000F  65          1985</t>
        </is>
      </c>
      <c r="D85" t="inlineStr">
        <is>
          <t>Around the world on hot air &amp; two wheels / Malcolm Forbes.</t>
        </is>
      </c>
      <c r="F85" t="inlineStr">
        <is>
          <t>No</t>
        </is>
      </c>
      <c r="G85" t="inlineStr">
        <is>
          <t>1</t>
        </is>
      </c>
      <c r="H85" t="inlineStr">
        <is>
          <t>No</t>
        </is>
      </c>
      <c r="I85" t="inlineStr">
        <is>
          <t>No</t>
        </is>
      </c>
      <c r="J85" t="inlineStr">
        <is>
          <t>0</t>
        </is>
      </c>
      <c r="K85" t="inlineStr">
        <is>
          <t>Forbes, Malcolm S.</t>
        </is>
      </c>
      <c r="L85" t="inlineStr">
        <is>
          <t>New York : Simon and Schuster, c1985.</t>
        </is>
      </c>
      <c r="M85" t="inlineStr">
        <is>
          <t>1985</t>
        </is>
      </c>
      <c r="O85" t="inlineStr">
        <is>
          <t>eng</t>
        </is>
      </c>
      <c r="P85" t="inlineStr">
        <is>
          <t>nyu</t>
        </is>
      </c>
      <c r="R85" t="inlineStr">
        <is>
          <t xml:space="preserve">G  </t>
        </is>
      </c>
      <c r="S85" t="n">
        <v>1</v>
      </c>
      <c r="T85" t="n">
        <v>1</v>
      </c>
      <c r="U85" t="inlineStr">
        <is>
          <t>2003-07-03</t>
        </is>
      </c>
      <c r="V85" t="inlineStr">
        <is>
          <t>2003-07-03</t>
        </is>
      </c>
      <c r="W85" t="inlineStr">
        <is>
          <t>1990-08-09</t>
        </is>
      </c>
      <c r="X85" t="inlineStr">
        <is>
          <t>1990-08-09</t>
        </is>
      </c>
      <c r="Y85" t="n">
        <v>238</v>
      </c>
      <c r="Z85" t="n">
        <v>223</v>
      </c>
      <c r="AA85" t="n">
        <v>223</v>
      </c>
      <c r="AB85" t="n">
        <v>3</v>
      </c>
      <c r="AC85" t="n">
        <v>3</v>
      </c>
      <c r="AD85" t="n">
        <v>0</v>
      </c>
      <c r="AE85" t="n">
        <v>0</v>
      </c>
      <c r="AF85" t="n">
        <v>0</v>
      </c>
      <c r="AG85" t="n">
        <v>0</v>
      </c>
      <c r="AH85" t="n">
        <v>0</v>
      </c>
      <c r="AI85" t="n">
        <v>0</v>
      </c>
      <c r="AJ85" t="n">
        <v>0</v>
      </c>
      <c r="AK85" t="n">
        <v>0</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HYPERLINK("https://creighton-primo.hosted.exlibrisgroup.com/primo-explore/search?tab=default_tab&amp;search_scope=EVERYTHING&amp;vid=01CRU&amp;lang=en_US&amp;offset=0&amp;query=any,contains,991000612899702656","Catalog Record")</f>
        <v/>
      </c>
      <c r="AT85">
        <f>HYPERLINK("http://www.worldcat.org/oclc/11917564","WorldCat Record")</f>
        <v/>
      </c>
      <c r="AU85" t="inlineStr">
        <is>
          <t>4458749:eng</t>
        </is>
      </c>
      <c r="AV85" t="inlineStr">
        <is>
          <t>11917564</t>
        </is>
      </c>
      <c r="AW85" t="inlineStr">
        <is>
          <t>991000612899702656</t>
        </is>
      </c>
      <c r="AX85" t="inlineStr">
        <is>
          <t>991000612899702656</t>
        </is>
      </c>
      <c r="AY85" t="inlineStr">
        <is>
          <t>2267476870002656</t>
        </is>
      </c>
      <c r="AZ85" t="inlineStr">
        <is>
          <t>BOOK</t>
        </is>
      </c>
      <c r="BB85" t="inlineStr">
        <is>
          <t>9780671600310</t>
        </is>
      </c>
      <c r="BC85" t="inlineStr">
        <is>
          <t>32285000272871</t>
        </is>
      </c>
      <c r="BD85" t="inlineStr">
        <is>
          <t>893261540</t>
        </is>
      </c>
    </row>
    <row r="86">
      <c r="A86" t="inlineStr">
        <is>
          <t>No</t>
        </is>
      </c>
      <c r="B86" t="inlineStr">
        <is>
          <t>G465 .G55 2005</t>
        </is>
      </c>
      <c r="C86" t="inlineStr">
        <is>
          <t>0                      G  0465000G  55          2005</t>
        </is>
      </c>
      <c r="D86" t="inlineStr">
        <is>
          <t>AA Gill is away.</t>
        </is>
      </c>
      <c r="F86" t="inlineStr">
        <is>
          <t>No</t>
        </is>
      </c>
      <c r="G86" t="inlineStr">
        <is>
          <t>1</t>
        </is>
      </c>
      <c r="H86" t="inlineStr">
        <is>
          <t>No</t>
        </is>
      </c>
      <c r="I86" t="inlineStr">
        <is>
          <t>No</t>
        </is>
      </c>
      <c r="J86" t="inlineStr">
        <is>
          <t>0</t>
        </is>
      </c>
      <c r="K86" t="inlineStr">
        <is>
          <t>Gill, A. A., 1954-2016.</t>
        </is>
      </c>
      <c r="L86" t="inlineStr">
        <is>
          <t>New York : Simon &amp; Schuster, 2005.</t>
        </is>
      </c>
      <c r="M86" t="inlineStr">
        <is>
          <t>2005</t>
        </is>
      </c>
      <c r="N86" t="inlineStr">
        <is>
          <t>1st Simon &amp; Schuster pbk. ed.</t>
        </is>
      </c>
      <c r="O86" t="inlineStr">
        <is>
          <t>eng</t>
        </is>
      </c>
      <c r="P86" t="inlineStr">
        <is>
          <t>nyu</t>
        </is>
      </c>
      <c r="R86" t="inlineStr">
        <is>
          <t xml:space="preserve">G  </t>
        </is>
      </c>
      <c r="S86" t="n">
        <v>1</v>
      </c>
      <c r="T86" t="n">
        <v>1</v>
      </c>
      <c r="U86" t="inlineStr">
        <is>
          <t>2005-11-07</t>
        </is>
      </c>
      <c r="V86" t="inlineStr">
        <is>
          <t>2005-11-07</t>
        </is>
      </c>
      <c r="W86" t="inlineStr">
        <is>
          <t>2005-11-07</t>
        </is>
      </c>
      <c r="X86" t="inlineStr">
        <is>
          <t>2005-11-07</t>
        </is>
      </c>
      <c r="Y86" t="n">
        <v>170</v>
      </c>
      <c r="Z86" t="n">
        <v>159</v>
      </c>
      <c r="AA86" t="n">
        <v>203</v>
      </c>
      <c r="AB86" t="n">
        <v>1</v>
      </c>
      <c r="AC86" t="n">
        <v>1</v>
      </c>
      <c r="AD86" t="n">
        <v>1</v>
      </c>
      <c r="AE86" t="n">
        <v>2</v>
      </c>
      <c r="AF86" t="n">
        <v>0</v>
      </c>
      <c r="AG86" t="n">
        <v>0</v>
      </c>
      <c r="AH86" t="n">
        <v>1</v>
      </c>
      <c r="AI86" t="n">
        <v>1</v>
      </c>
      <c r="AJ86" t="n">
        <v>0</v>
      </c>
      <c r="AK86" t="n">
        <v>1</v>
      </c>
      <c r="AL86" t="n">
        <v>0</v>
      </c>
      <c r="AM86" t="n">
        <v>0</v>
      </c>
      <c r="AN86" t="n">
        <v>0</v>
      </c>
      <c r="AO86" t="n">
        <v>0</v>
      </c>
      <c r="AP86" t="inlineStr">
        <is>
          <t>No</t>
        </is>
      </c>
      <c r="AQ86" t="inlineStr">
        <is>
          <t>No</t>
        </is>
      </c>
      <c r="AS86">
        <f>HYPERLINK("https://creighton-primo.hosted.exlibrisgroup.com/primo-explore/search?tab=default_tab&amp;search_scope=EVERYTHING&amp;vid=01CRU&amp;lang=en_US&amp;offset=0&amp;query=any,contains,991004661949702656","Catalog Record")</f>
        <v/>
      </c>
      <c r="AT86">
        <f>HYPERLINK("http://www.worldcat.org/oclc/60796258","WorldCat Record")</f>
        <v/>
      </c>
      <c r="AU86" t="inlineStr">
        <is>
          <t>1074086063:eng</t>
        </is>
      </c>
      <c r="AV86" t="inlineStr">
        <is>
          <t>60796258</t>
        </is>
      </c>
      <c r="AW86" t="inlineStr">
        <is>
          <t>991004661949702656</t>
        </is>
      </c>
      <c r="AX86" t="inlineStr">
        <is>
          <t>991004661949702656</t>
        </is>
      </c>
      <c r="AY86" t="inlineStr">
        <is>
          <t>2258726880002656</t>
        </is>
      </c>
      <c r="AZ86" t="inlineStr">
        <is>
          <t>BOOK</t>
        </is>
      </c>
      <c r="BB86" t="inlineStr">
        <is>
          <t>9780743276672</t>
        </is>
      </c>
      <c r="BC86" t="inlineStr">
        <is>
          <t>32285005144463</t>
        </is>
      </c>
      <c r="BD86" t="inlineStr">
        <is>
          <t>893904965</t>
        </is>
      </c>
    </row>
    <row r="87">
      <c r="A87" t="inlineStr">
        <is>
          <t>No</t>
        </is>
      </c>
      <c r="B87" t="inlineStr">
        <is>
          <t>G465 .G56 2000</t>
        </is>
      </c>
      <c r="C87" t="inlineStr">
        <is>
          <t>0                      G  0465000G  56          2000</t>
        </is>
      </c>
      <c r="D87" t="inlineStr">
        <is>
          <t>Narraciones de vuelta al mundo / Jacinto Gimbernard.</t>
        </is>
      </c>
      <c r="F87" t="inlineStr">
        <is>
          <t>No</t>
        </is>
      </c>
      <c r="G87" t="inlineStr">
        <is>
          <t>1</t>
        </is>
      </c>
      <c r="H87" t="inlineStr">
        <is>
          <t>No</t>
        </is>
      </c>
      <c r="I87" t="inlineStr">
        <is>
          <t>No</t>
        </is>
      </c>
      <c r="J87" t="inlineStr">
        <is>
          <t>0</t>
        </is>
      </c>
      <c r="K87" t="inlineStr">
        <is>
          <t>Gimbernard, Jacinto, 1931-</t>
        </is>
      </c>
      <c r="L87" t="inlineStr">
        <is>
          <t>Santo Domingo, República Dominicana : Banco Central de la República Dominicana, Departamento Cultural, [2000]</t>
        </is>
      </c>
      <c r="M87" t="inlineStr">
        <is>
          <t>2000</t>
        </is>
      </c>
      <c r="O87" t="inlineStr">
        <is>
          <t>spa</t>
        </is>
      </c>
      <c r="P87" t="inlineStr">
        <is>
          <t xml:space="preserve">dr </t>
        </is>
      </c>
      <c r="Q87" t="inlineStr">
        <is>
          <t>Colección del Banco Central de la República Dominicana</t>
        </is>
      </c>
      <c r="R87" t="inlineStr">
        <is>
          <t xml:space="preserve">G  </t>
        </is>
      </c>
      <c r="S87" t="n">
        <v>1</v>
      </c>
      <c r="T87" t="n">
        <v>1</v>
      </c>
      <c r="U87" t="inlineStr">
        <is>
          <t>2002-01-30</t>
        </is>
      </c>
      <c r="V87" t="inlineStr">
        <is>
          <t>2002-01-30</t>
        </is>
      </c>
      <c r="W87" t="inlineStr">
        <is>
          <t>2002-01-30</t>
        </is>
      </c>
      <c r="X87" t="inlineStr">
        <is>
          <t>2002-01-30</t>
        </is>
      </c>
      <c r="Y87" t="n">
        <v>22</v>
      </c>
      <c r="Z87" t="n">
        <v>20</v>
      </c>
      <c r="AA87" t="n">
        <v>21</v>
      </c>
      <c r="AB87" t="n">
        <v>1</v>
      </c>
      <c r="AC87" t="n">
        <v>1</v>
      </c>
      <c r="AD87" t="n">
        <v>0</v>
      </c>
      <c r="AE87" t="n">
        <v>0</v>
      </c>
      <c r="AF87" t="n">
        <v>0</v>
      </c>
      <c r="AG87" t="n">
        <v>0</v>
      </c>
      <c r="AH87" t="n">
        <v>0</v>
      </c>
      <c r="AI87" t="n">
        <v>0</v>
      </c>
      <c r="AJ87" t="n">
        <v>0</v>
      </c>
      <c r="AK87" t="n">
        <v>0</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HYPERLINK("https://creighton-primo.hosted.exlibrisgroup.com/primo-explore/search?tab=default_tab&amp;search_scope=EVERYTHING&amp;vid=01CRU&amp;lang=en_US&amp;offset=0&amp;query=any,contains,991003720909702656","Catalog Record")</f>
        <v/>
      </c>
      <c r="AT87">
        <f>HYPERLINK("http://www.worldcat.org/oclc/47289274","WorldCat Record")</f>
        <v/>
      </c>
      <c r="AU87" t="inlineStr">
        <is>
          <t>36714470:spa</t>
        </is>
      </c>
      <c r="AV87" t="inlineStr">
        <is>
          <t>47289274</t>
        </is>
      </c>
      <c r="AW87" t="inlineStr">
        <is>
          <t>991003720909702656</t>
        </is>
      </c>
      <c r="AX87" t="inlineStr">
        <is>
          <t>991003720909702656</t>
        </is>
      </c>
      <c r="AY87" t="inlineStr">
        <is>
          <t>2261873650002656</t>
        </is>
      </c>
      <c r="AZ87" t="inlineStr">
        <is>
          <t>BOOK</t>
        </is>
      </c>
      <c r="BB87" t="inlineStr">
        <is>
          <t>9789993430087</t>
        </is>
      </c>
      <c r="BC87" t="inlineStr">
        <is>
          <t>32285004451521</t>
        </is>
      </c>
      <c r="BD87" t="inlineStr">
        <is>
          <t>893228369</t>
        </is>
      </c>
    </row>
    <row r="88">
      <c r="A88" t="inlineStr">
        <is>
          <t>No</t>
        </is>
      </c>
      <c r="B88" t="inlineStr">
        <is>
          <t>G465 .J33 2004</t>
        </is>
      </c>
      <c r="C88" t="inlineStr">
        <is>
          <t>0                      G  0465000J  33          2004</t>
        </is>
      </c>
      <c r="D88" t="inlineStr">
        <is>
          <t>Wondrous journey : the world is waiting for you / by Dean W. Jacobs.</t>
        </is>
      </c>
      <c r="F88" t="inlineStr">
        <is>
          <t>No</t>
        </is>
      </c>
      <c r="G88" t="inlineStr">
        <is>
          <t>1</t>
        </is>
      </c>
      <c r="H88" t="inlineStr">
        <is>
          <t>No</t>
        </is>
      </c>
      <c r="I88" t="inlineStr">
        <is>
          <t>No</t>
        </is>
      </c>
      <c r="J88" t="inlineStr">
        <is>
          <t>0</t>
        </is>
      </c>
      <c r="K88" t="inlineStr">
        <is>
          <t>Jacobs, Dean W.</t>
        </is>
      </c>
      <c r="L88" t="inlineStr">
        <is>
          <t>Fremont, Neb. : Travel 4 Life, 2004.</t>
        </is>
      </c>
      <c r="M88" t="inlineStr">
        <is>
          <t>2004</t>
        </is>
      </c>
      <c r="N88" t="inlineStr">
        <is>
          <t>1st ed.</t>
        </is>
      </c>
      <c r="O88" t="inlineStr">
        <is>
          <t>eng</t>
        </is>
      </c>
      <c r="P88" t="inlineStr">
        <is>
          <t>nbu</t>
        </is>
      </c>
      <c r="R88" t="inlineStr">
        <is>
          <t xml:space="preserve">G  </t>
        </is>
      </c>
      <c r="S88" t="n">
        <v>1</v>
      </c>
      <c r="T88" t="n">
        <v>1</v>
      </c>
      <c r="U88" t="inlineStr">
        <is>
          <t>2009-11-10</t>
        </is>
      </c>
      <c r="V88" t="inlineStr">
        <is>
          <t>2009-11-10</t>
        </is>
      </c>
      <c r="W88" t="inlineStr">
        <is>
          <t>2005-07-20</t>
        </is>
      </c>
      <c r="X88" t="inlineStr">
        <is>
          <t>2005-07-20</t>
        </is>
      </c>
      <c r="Y88" t="n">
        <v>18</v>
      </c>
      <c r="Z88" t="n">
        <v>18</v>
      </c>
      <c r="AA88" t="n">
        <v>18</v>
      </c>
      <c r="AB88" t="n">
        <v>15</v>
      </c>
      <c r="AC88" t="n">
        <v>15</v>
      </c>
      <c r="AD88" t="n">
        <v>2</v>
      </c>
      <c r="AE88" t="n">
        <v>2</v>
      </c>
      <c r="AF88" t="n">
        <v>0</v>
      </c>
      <c r="AG88" t="n">
        <v>0</v>
      </c>
      <c r="AH88" t="n">
        <v>0</v>
      </c>
      <c r="AI88" t="n">
        <v>0</v>
      </c>
      <c r="AJ88" t="n">
        <v>0</v>
      </c>
      <c r="AK88" t="n">
        <v>0</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HYPERLINK("https://creighton-primo.hosted.exlibrisgroup.com/primo-explore/search?tab=default_tab&amp;search_scope=EVERYTHING&amp;vid=01CRU&amp;lang=en_US&amp;offset=0&amp;query=any,contains,991004586359702656","Catalog Record")</f>
        <v/>
      </c>
      <c r="AT88">
        <f>HYPERLINK("http://www.worldcat.org/oclc/57491441","WorldCat Record")</f>
        <v/>
      </c>
      <c r="AU88" t="inlineStr">
        <is>
          <t>19492876:eng</t>
        </is>
      </c>
      <c r="AV88" t="inlineStr">
        <is>
          <t>57491441</t>
        </is>
      </c>
      <c r="AW88" t="inlineStr">
        <is>
          <t>991004586359702656</t>
        </is>
      </c>
      <c r="AX88" t="inlineStr">
        <is>
          <t>991004586359702656</t>
        </is>
      </c>
      <c r="AY88" t="inlineStr">
        <is>
          <t>2269364980002656</t>
        </is>
      </c>
      <c r="AZ88" t="inlineStr">
        <is>
          <t>BOOK</t>
        </is>
      </c>
      <c r="BB88" t="inlineStr">
        <is>
          <t>9780974944104</t>
        </is>
      </c>
      <c r="BC88" t="inlineStr">
        <is>
          <t>32285005094528</t>
        </is>
      </c>
      <c r="BD88" t="inlineStr">
        <is>
          <t>893241624</t>
        </is>
      </c>
    </row>
    <row r="89">
      <c r="A89" t="inlineStr">
        <is>
          <t>No</t>
        </is>
      </c>
      <c r="B89" t="inlineStr">
        <is>
          <t>G465 .M363 2004</t>
        </is>
      </c>
      <c r="C89" t="inlineStr">
        <is>
          <t>0                      G  0465000M  363         2004</t>
        </is>
      </c>
      <c r="D89" t="inlineStr">
        <is>
          <t>Monk's travels : people, places, and events / Edward A. Malloy.</t>
        </is>
      </c>
      <c r="F89" t="inlineStr">
        <is>
          <t>No</t>
        </is>
      </c>
      <c r="G89" t="inlineStr">
        <is>
          <t>1</t>
        </is>
      </c>
      <c r="H89" t="inlineStr">
        <is>
          <t>No</t>
        </is>
      </c>
      <c r="I89" t="inlineStr">
        <is>
          <t>No</t>
        </is>
      </c>
      <c r="J89" t="inlineStr">
        <is>
          <t>0</t>
        </is>
      </c>
      <c r="K89" t="inlineStr">
        <is>
          <t>Malloy, Edward A.</t>
        </is>
      </c>
      <c r="L89" t="inlineStr">
        <is>
          <t>Kansas City : Andrews McMeel Pub., c2004.</t>
        </is>
      </c>
      <c r="M89" t="inlineStr">
        <is>
          <t>2004</t>
        </is>
      </c>
      <c r="O89" t="inlineStr">
        <is>
          <t>eng</t>
        </is>
      </c>
      <c r="P89" t="inlineStr">
        <is>
          <t>mou</t>
        </is>
      </c>
      <c r="R89" t="inlineStr">
        <is>
          <t xml:space="preserve">G  </t>
        </is>
      </c>
      <c r="S89" t="n">
        <v>1</v>
      </c>
      <c r="T89" t="n">
        <v>1</v>
      </c>
      <c r="U89" t="inlineStr">
        <is>
          <t>2005-07-19</t>
        </is>
      </c>
      <c r="V89" t="inlineStr">
        <is>
          <t>2005-07-19</t>
        </is>
      </c>
      <c r="W89" t="inlineStr">
        <is>
          <t>2005-07-19</t>
        </is>
      </c>
      <c r="X89" t="inlineStr">
        <is>
          <t>2005-07-19</t>
        </is>
      </c>
      <c r="Y89" t="n">
        <v>54</v>
      </c>
      <c r="Z89" t="n">
        <v>49</v>
      </c>
      <c r="AA89" t="n">
        <v>120</v>
      </c>
      <c r="AB89" t="n">
        <v>2</v>
      </c>
      <c r="AC89" t="n">
        <v>2</v>
      </c>
      <c r="AD89" t="n">
        <v>8</v>
      </c>
      <c r="AE89" t="n">
        <v>8</v>
      </c>
      <c r="AF89" t="n">
        <v>2</v>
      </c>
      <c r="AG89" t="n">
        <v>2</v>
      </c>
      <c r="AH89" t="n">
        <v>2</v>
      </c>
      <c r="AI89" t="n">
        <v>2</v>
      </c>
      <c r="AJ89" t="n">
        <v>4</v>
      </c>
      <c r="AK89" t="n">
        <v>4</v>
      </c>
      <c r="AL89" t="n">
        <v>1</v>
      </c>
      <c r="AM89" t="n">
        <v>1</v>
      </c>
      <c r="AN89" t="n">
        <v>0</v>
      </c>
      <c r="AO89" t="n">
        <v>0</v>
      </c>
      <c r="AP89" t="inlineStr">
        <is>
          <t>No</t>
        </is>
      </c>
      <c r="AQ89" t="inlineStr">
        <is>
          <t>No</t>
        </is>
      </c>
      <c r="AS89">
        <f>HYPERLINK("https://creighton-primo.hosted.exlibrisgroup.com/primo-explore/search?tab=default_tab&amp;search_scope=EVERYTHING&amp;vid=01CRU&amp;lang=en_US&amp;offset=0&amp;query=any,contains,991004611069702656","Catalog Record")</f>
        <v/>
      </c>
      <c r="AT89">
        <f>HYPERLINK("http://www.worldcat.org/oclc/54853062","WorldCat Record")</f>
        <v/>
      </c>
      <c r="AU89" t="inlineStr">
        <is>
          <t>1038829:eng</t>
        </is>
      </c>
      <c r="AV89" t="inlineStr">
        <is>
          <t>54853062</t>
        </is>
      </c>
      <c r="AW89" t="inlineStr">
        <is>
          <t>991004611069702656</t>
        </is>
      </c>
      <c r="AX89" t="inlineStr">
        <is>
          <t>991004611069702656</t>
        </is>
      </c>
      <c r="AY89" t="inlineStr">
        <is>
          <t>2269390040002656</t>
        </is>
      </c>
      <c r="AZ89" t="inlineStr">
        <is>
          <t>BOOK</t>
        </is>
      </c>
      <c r="BB89" t="inlineStr">
        <is>
          <t>9780740747069</t>
        </is>
      </c>
      <c r="BC89" t="inlineStr">
        <is>
          <t>32285005096689</t>
        </is>
      </c>
      <c r="BD89" t="inlineStr">
        <is>
          <t>893600031</t>
        </is>
      </c>
    </row>
    <row r="90">
      <c r="A90" t="inlineStr">
        <is>
          <t>No</t>
        </is>
      </c>
      <c r="B90" t="inlineStr">
        <is>
          <t>G465 .S39 1982</t>
        </is>
      </c>
      <c r="C90" t="inlineStr">
        <is>
          <t>0                      G  0465000S  39          1982</t>
        </is>
      </c>
      <c r="D90" t="inlineStr">
        <is>
          <t>Secret corners of the world / prepared by the Special Publications Division, National Geographic Society.</t>
        </is>
      </c>
      <c r="F90" t="inlineStr">
        <is>
          <t>No</t>
        </is>
      </c>
      <c r="G90" t="inlineStr">
        <is>
          <t>1</t>
        </is>
      </c>
      <c r="H90" t="inlineStr">
        <is>
          <t>No</t>
        </is>
      </c>
      <c r="I90" t="inlineStr">
        <is>
          <t>No</t>
        </is>
      </c>
      <c r="J90" t="inlineStr">
        <is>
          <t>0</t>
        </is>
      </c>
      <c r="L90" t="inlineStr">
        <is>
          <t>Washington, D.C. : The Society, c1982.</t>
        </is>
      </c>
      <c r="M90" t="inlineStr">
        <is>
          <t>1982</t>
        </is>
      </c>
      <c r="O90" t="inlineStr">
        <is>
          <t>eng</t>
        </is>
      </c>
      <c r="P90" t="inlineStr">
        <is>
          <t>dcu</t>
        </is>
      </c>
      <c r="R90" t="inlineStr">
        <is>
          <t xml:space="preserve">G  </t>
        </is>
      </c>
      <c r="S90" t="n">
        <v>3</v>
      </c>
      <c r="T90" t="n">
        <v>3</v>
      </c>
      <c r="U90" t="inlineStr">
        <is>
          <t>2001-11-03</t>
        </is>
      </c>
      <c r="V90" t="inlineStr">
        <is>
          <t>2001-11-03</t>
        </is>
      </c>
      <c r="W90" t="inlineStr">
        <is>
          <t>1991-12-20</t>
        </is>
      </c>
      <c r="X90" t="inlineStr">
        <is>
          <t>1991-12-20</t>
        </is>
      </c>
      <c r="Y90" t="n">
        <v>1221</v>
      </c>
      <c r="Z90" t="n">
        <v>1142</v>
      </c>
      <c r="AA90" t="n">
        <v>1149</v>
      </c>
      <c r="AB90" t="n">
        <v>8</v>
      </c>
      <c r="AC90" t="n">
        <v>8</v>
      </c>
      <c r="AD90" t="n">
        <v>8</v>
      </c>
      <c r="AE90" t="n">
        <v>8</v>
      </c>
      <c r="AF90" t="n">
        <v>5</v>
      </c>
      <c r="AG90" t="n">
        <v>5</v>
      </c>
      <c r="AH90" t="n">
        <v>1</v>
      </c>
      <c r="AI90" t="n">
        <v>1</v>
      </c>
      <c r="AJ90" t="n">
        <v>4</v>
      </c>
      <c r="AK90" t="n">
        <v>4</v>
      </c>
      <c r="AL90" t="n">
        <v>1</v>
      </c>
      <c r="AM90" t="n">
        <v>1</v>
      </c>
      <c r="AN90" t="n">
        <v>1</v>
      </c>
      <c r="AO90" t="n">
        <v>1</v>
      </c>
      <c r="AP90" t="inlineStr">
        <is>
          <t>No</t>
        </is>
      </c>
      <c r="AQ90" t="inlineStr">
        <is>
          <t>No</t>
        </is>
      </c>
      <c r="AS90">
        <f>HYPERLINK("https://creighton-primo.hosted.exlibrisgroup.com/primo-explore/search?tab=default_tab&amp;search_scope=EVERYTHING&amp;vid=01CRU&amp;lang=en_US&amp;offset=0&amp;query=any,contains,991005236469702656","Catalog Record")</f>
        <v/>
      </c>
      <c r="AT90">
        <f>HYPERLINK("http://www.worldcat.org/oclc/8386803","WorldCat Record")</f>
        <v/>
      </c>
      <c r="AU90" t="inlineStr">
        <is>
          <t>181141636:eng</t>
        </is>
      </c>
      <c r="AV90" t="inlineStr">
        <is>
          <t>8386803</t>
        </is>
      </c>
      <c r="AW90" t="inlineStr">
        <is>
          <t>991005236469702656</t>
        </is>
      </c>
      <c r="AX90" t="inlineStr">
        <is>
          <t>991005236469702656</t>
        </is>
      </c>
      <c r="AY90" t="inlineStr">
        <is>
          <t>2268235760002656</t>
        </is>
      </c>
      <c r="AZ90" t="inlineStr">
        <is>
          <t>BOOK</t>
        </is>
      </c>
      <c r="BB90" t="inlineStr">
        <is>
          <t>9780870444128</t>
        </is>
      </c>
      <c r="BC90" t="inlineStr">
        <is>
          <t>32285000892199</t>
        </is>
      </c>
      <c r="BD90" t="inlineStr">
        <is>
          <t>893350956</t>
        </is>
      </c>
    </row>
    <row r="91">
      <c r="A91" t="inlineStr">
        <is>
          <t>No</t>
        </is>
      </c>
      <c r="B91" t="inlineStr">
        <is>
          <t>G465 .W55 1997</t>
        </is>
      </c>
      <c r="C91" t="inlineStr">
        <is>
          <t>0                      G  0465000W  55          1997</t>
        </is>
      </c>
      <c r="D91" t="inlineStr">
        <is>
          <t>Countries &amp; cultures of the world : then and now / by Wesley M. Wilson.</t>
        </is>
      </c>
      <c r="E91" t="inlineStr">
        <is>
          <t>V. 2</t>
        </is>
      </c>
      <c r="F91" t="inlineStr">
        <is>
          <t>Yes</t>
        </is>
      </c>
      <c r="G91" t="inlineStr">
        <is>
          <t>1</t>
        </is>
      </c>
      <c r="H91" t="inlineStr">
        <is>
          <t>No</t>
        </is>
      </c>
      <c r="I91" t="inlineStr">
        <is>
          <t>No</t>
        </is>
      </c>
      <c r="J91" t="inlineStr">
        <is>
          <t>0</t>
        </is>
      </c>
      <c r="K91" t="inlineStr">
        <is>
          <t>Wilson, Wesley M.</t>
        </is>
      </c>
      <c r="L91" t="inlineStr">
        <is>
          <t>Chapel Hill, NC : Professional Press, c1997.</t>
        </is>
      </c>
      <c r="M91" t="inlineStr">
        <is>
          <t>1997</t>
        </is>
      </c>
      <c r="O91" t="inlineStr">
        <is>
          <t>eng</t>
        </is>
      </c>
      <c r="P91" t="inlineStr">
        <is>
          <t>ncu</t>
        </is>
      </c>
      <c r="R91" t="inlineStr">
        <is>
          <t xml:space="preserve">G  </t>
        </is>
      </c>
      <c r="S91" t="n">
        <v>1</v>
      </c>
      <c r="T91" t="n">
        <v>4</v>
      </c>
      <c r="U91" t="inlineStr">
        <is>
          <t>2002-04-22</t>
        </is>
      </c>
      <c r="V91" t="inlineStr">
        <is>
          <t>2010-03-04</t>
        </is>
      </c>
      <c r="W91" t="inlineStr">
        <is>
          <t>2002-04-09</t>
        </is>
      </c>
      <c r="X91" t="inlineStr">
        <is>
          <t>2002-04-09</t>
        </is>
      </c>
      <c r="Y91" t="n">
        <v>182</v>
      </c>
      <c r="Z91" t="n">
        <v>181</v>
      </c>
      <c r="AA91" t="n">
        <v>183</v>
      </c>
      <c r="AB91" t="n">
        <v>4</v>
      </c>
      <c r="AC91" t="n">
        <v>4</v>
      </c>
      <c r="AD91" t="n">
        <v>3</v>
      </c>
      <c r="AE91" t="n">
        <v>3</v>
      </c>
      <c r="AF91" t="n">
        <v>0</v>
      </c>
      <c r="AG91" t="n">
        <v>0</v>
      </c>
      <c r="AH91" t="n">
        <v>0</v>
      </c>
      <c r="AI91" t="n">
        <v>0</v>
      </c>
      <c r="AJ91" t="n">
        <v>0</v>
      </c>
      <c r="AK91" t="n">
        <v>0</v>
      </c>
      <c r="AL91" t="n">
        <v>3</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HYPERLINK("https://creighton-primo.hosted.exlibrisgroup.com/primo-explore/search?tab=default_tab&amp;search_scope=EVERYTHING&amp;vid=01CRU&amp;lang=en_US&amp;offset=0&amp;query=any,contains,991003781109702656","Catalog Record")</f>
        <v/>
      </c>
      <c r="AT91">
        <f>HYPERLINK("http://www.worldcat.org/oclc/38254797","WorldCat Record")</f>
        <v/>
      </c>
      <c r="AU91" t="inlineStr">
        <is>
          <t>41403773:eng</t>
        </is>
      </c>
      <c r="AV91" t="inlineStr">
        <is>
          <t>38254797</t>
        </is>
      </c>
      <c r="AW91" t="inlineStr">
        <is>
          <t>991003781109702656</t>
        </is>
      </c>
      <c r="AX91" t="inlineStr">
        <is>
          <t>991003781109702656</t>
        </is>
      </c>
      <c r="AY91" t="inlineStr">
        <is>
          <t>2266841630002656</t>
        </is>
      </c>
      <c r="AZ91" t="inlineStr">
        <is>
          <t>BOOK</t>
        </is>
      </c>
      <c r="BB91" t="inlineStr">
        <is>
          <t>9781570873027</t>
        </is>
      </c>
      <c r="BC91" t="inlineStr">
        <is>
          <t>32285004478383</t>
        </is>
      </c>
      <c r="BD91" t="inlineStr">
        <is>
          <t>893258858</t>
        </is>
      </c>
    </row>
    <row r="92">
      <c r="A92" t="inlineStr">
        <is>
          <t>No</t>
        </is>
      </c>
      <c r="B92" t="inlineStr">
        <is>
          <t>G465 .W55 1997</t>
        </is>
      </c>
      <c r="C92" t="inlineStr">
        <is>
          <t>0                      G  0465000W  55          1997</t>
        </is>
      </c>
      <c r="D92" t="inlineStr">
        <is>
          <t>Countries &amp; cultures of the world : then and now / by Wesley M. Wilson.</t>
        </is>
      </c>
      <c r="E92" t="inlineStr">
        <is>
          <t>V. 3</t>
        </is>
      </c>
      <c r="F92" t="inlineStr">
        <is>
          <t>Yes</t>
        </is>
      </c>
      <c r="G92" t="inlineStr">
        <is>
          <t>1</t>
        </is>
      </c>
      <c r="H92" t="inlineStr">
        <is>
          <t>No</t>
        </is>
      </c>
      <c r="I92" t="inlineStr">
        <is>
          <t>No</t>
        </is>
      </c>
      <c r="J92" t="inlineStr">
        <is>
          <t>0</t>
        </is>
      </c>
      <c r="K92" t="inlineStr">
        <is>
          <t>Wilson, Wesley M.</t>
        </is>
      </c>
      <c r="L92" t="inlineStr">
        <is>
          <t>Chapel Hill, NC : Professional Press, c1997.</t>
        </is>
      </c>
      <c r="M92" t="inlineStr">
        <is>
          <t>1997</t>
        </is>
      </c>
      <c r="O92" t="inlineStr">
        <is>
          <t>eng</t>
        </is>
      </c>
      <c r="P92" t="inlineStr">
        <is>
          <t>ncu</t>
        </is>
      </c>
      <c r="R92" t="inlineStr">
        <is>
          <t xml:space="preserve">G  </t>
        </is>
      </c>
      <c r="S92" t="n">
        <v>2</v>
      </c>
      <c r="T92" t="n">
        <v>4</v>
      </c>
      <c r="U92" t="inlineStr">
        <is>
          <t>2010-03-04</t>
        </is>
      </c>
      <c r="V92" t="inlineStr">
        <is>
          <t>2010-03-04</t>
        </is>
      </c>
      <c r="W92" t="inlineStr">
        <is>
          <t>2002-04-09</t>
        </is>
      </c>
      <c r="X92" t="inlineStr">
        <is>
          <t>2002-04-09</t>
        </is>
      </c>
      <c r="Y92" t="n">
        <v>182</v>
      </c>
      <c r="Z92" t="n">
        <v>181</v>
      </c>
      <c r="AA92" t="n">
        <v>183</v>
      </c>
      <c r="AB92" t="n">
        <v>4</v>
      </c>
      <c r="AC92" t="n">
        <v>4</v>
      </c>
      <c r="AD92" t="n">
        <v>3</v>
      </c>
      <c r="AE92" t="n">
        <v>3</v>
      </c>
      <c r="AF92" t="n">
        <v>0</v>
      </c>
      <c r="AG92" t="n">
        <v>0</v>
      </c>
      <c r="AH92" t="n">
        <v>0</v>
      </c>
      <c r="AI92" t="n">
        <v>0</v>
      </c>
      <c r="AJ92" t="n">
        <v>0</v>
      </c>
      <c r="AK92" t="n">
        <v>0</v>
      </c>
      <c r="AL92" t="n">
        <v>3</v>
      </c>
      <c r="AM92" t="n">
        <v>3</v>
      </c>
      <c r="AN92" t="n">
        <v>0</v>
      </c>
      <c r="AO92" t="n">
        <v>0</v>
      </c>
      <c r="AP92" t="inlineStr">
        <is>
          <t>No</t>
        </is>
      </c>
      <c r="AQ92" t="inlineStr">
        <is>
          <t>No</t>
        </is>
      </c>
      <c r="AS92">
        <f>HYPERLINK("https://creighton-primo.hosted.exlibrisgroup.com/primo-explore/search?tab=default_tab&amp;search_scope=EVERYTHING&amp;vid=01CRU&amp;lang=en_US&amp;offset=0&amp;query=any,contains,991003781109702656","Catalog Record")</f>
        <v/>
      </c>
      <c r="AT92">
        <f>HYPERLINK("http://www.worldcat.org/oclc/38254797","WorldCat Record")</f>
        <v/>
      </c>
      <c r="AU92" t="inlineStr">
        <is>
          <t>41403773:eng</t>
        </is>
      </c>
      <c r="AV92" t="inlineStr">
        <is>
          <t>38254797</t>
        </is>
      </c>
      <c r="AW92" t="inlineStr">
        <is>
          <t>991003781109702656</t>
        </is>
      </c>
      <c r="AX92" t="inlineStr">
        <is>
          <t>991003781109702656</t>
        </is>
      </c>
      <c r="AY92" t="inlineStr">
        <is>
          <t>2266841630002656</t>
        </is>
      </c>
      <c r="AZ92" t="inlineStr">
        <is>
          <t>BOOK</t>
        </is>
      </c>
      <c r="BB92" t="inlineStr">
        <is>
          <t>9781570873027</t>
        </is>
      </c>
      <c r="BC92" t="inlineStr">
        <is>
          <t>32285004478391</t>
        </is>
      </c>
      <c r="BD92" t="inlineStr">
        <is>
          <t>893258857</t>
        </is>
      </c>
    </row>
    <row r="93">
      <c r="A93" t="inlineStr">
        <is>
          <t>No</t>
        </is>
      </c>
      <c r="B93" t="inlineStr">
        <is>
          <t>G465 .W55 1997</t>
        </is>
      </c>
      <c r="C93" t="inlineStr">
        <is>
          <t>0                      G  0465000W  55          1997</t>
        </is>
      </c>
      <c r="D93" t="inlineStr">
        <is>
          <t>Countries &amp; cultures of the world : then and now / by Wesley M. Wilson.</t>
        </is>
      </c>
      <c r="E93" t="inlineStr">
        <is>
          <t>V. 1</t>
        </is>
      </c>
      <c r="F93" t="inlineStr">
        <is>
          <t>Yes</t>
        </is>
      </c>
      <c r="G93" t="inlineStr">
        <is>
          <t>1</t>
        </is>
      </c>
      <c r="H93" t="inlineStr">
        <is>
          <t>No</t>
        </is>
      </c>
      <c r="I93" t="inlineStr">
        <is>
          <t>No</t>
        </is>
      </c>
      <c r="J93" t="inlineStr">
        <is>
          <t>0</t>
        </is>
      </c>
      <c r="K93" t="inlineStr">
        <is>
          <t>Wilson, Wesley M.</t>
        </is>
      </c>
      <c r="L93" t="inlineStr">
        <is>
          <t>Chapel Hill, NC : Professional Press, c1997.</t>
        </is>
      </c>
      <c r="M93" t="inlineStr">
        <is>
          <t>1997</t>
        </is>
      </c>
      <c r="O93" t="inlineStr">
        <is>
          <t>eng</t>
        </is>
      </c>
      <c r="P93" t="inlineStr">
        <is>
          <t>ncu</t>
        </is>
      </c>
      <c r="R93" t="inlineStr">
        <is>
          <t xml:space="preserve">G  </t>
        </is>
      </c>
      <c r="S93" t="n">
        <v>1</v>
      </c>
      <c r="T93" t="n">
        <v>4</v>
      </c>
      <c r="U93" t="inlineStr">
        <is>
          <t>2002-04-22</t>
        </is>
      </c>
      <c r="V93" t="inlineStr">
        <is>
          <t>2010-03-04</t>
        </is>
      </c>
      <c r="W93" t="inlineStr">
        <is>
          <t>2002-04-09</t>
        </is>
      </c>
      <c r="X93" t="inlineStr">
        <is>
          <t>2002-04-09</t>
        </is>
      </c>
      <c r="Y93" t="n">
        <v>182</v>
      </c>
      <c r="Z93" t="n">
        <v>181</v>
      </c>
      <c r="AA93" t="n">
        <v>183</v>
      </c>
      <c r="AB93" t="n">
        <v>4</v>
      </c>
      <c r="AC93" t="n">
        <v>4</v>
      </c>
      <c r="AD93" t="n">
        <v>3</v>
      </c>
      <c r="AE93" t="n">
        <v>3</v>
      </c>
      <c r="AF93" t="n">
        <v>0</v>
      </c>
      <c r="AG93" t="n">
        <v>0</v>
      </c>
      <c r="AH93" t="n">
        <v>0</v>
      </c>
      <c r="AI93" t="n">
        <v>0</v>
      </c>
      <c r="AJ93" t="n">
        <v>0</v>
      </c>
      <c r="AK93" t="n">
        <v>0</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HYPERLINK("https://creighton-primo.hosted.exlibrisgroup.com/primo-explore/search?tab=default_tab&amp;search_scope=EVERYTHING&amp;vid=01CRU&amp;lang=en_US&amp;offset=0&amp;query=any,contains,991003781109702656","Catalog Record")</f>
        <v/>
      </c>
      <c r="AT93">
        <f>HYPERLINK("http://www.worldcat.org/oclc/38254797","WorldCat Record")</f>
        <v/>
      </c>
      <c r="AU93" t="inlineStr">
        <is>
          <t>41403773:eng</t>
        </is>
      </c>
      <c r="AV93" t="inlineStr">
        <is>
          <t>38254797</t>
        </is>
      </c>
      <c r="AW93" t="inlineStr">
        <is>
          <t>991003781109702656</t>
        </is>
      </c>
      <c r="AX93" t="inlineStr">
        <is>
          <t>991003781109702656</t>
        </is>
      </c>
      <c r="AY93" t="inlineStr">
        <is>
          <t>2266841630002656</t>
        </is>
      </c>
      <c r="AZ93" t="inlineStr">
        <is>
          <t>BOOK</t>
        </is>
      </c>
      <c r="BB93" t="inlineStr">
        <is>
          <t>9781570873027</t>
        </is>
      </c>
      <c r="BC93" t="inlineStr">
        <is>
          <t>32285004478375</t>
        </is>
      </c>
      <c r="BD93" t="inlineStr">
        <is>
          <t>893246727</t>
        </is>
      </c>
    </row>
    <row r="94">
      <c r="A94" t="inlineStr">
        <is>
          <t>No</t>
        </is>
      </c>
      <c r="B94" t="inlineStr">
        <is>
          <t>G468 .H26 1935a</t>
        </is>
      </c>
      <c r="C94" t="inlineStr">
        <is>
          <t>0                      G  0468000H  26          1935a</t>
        </is>
      </c>
      <c r="D94" t="inlineStr">
        <is>
          <t>Seven league boots / [by] Richard Halliburton.</t>
        </is>
      </c>
      <c r="F94" t="inlineStr">
        <is>
          <t>No</t>
        </is>
      </c>
      <c r="G94" t="inlineStr">
        <is>
          <t>1</t>
        </is>
      </c>
      <c r="H94" t="inlineStr">
        <is>
          <t>No</t>
        </is>
      </c>
      <c r="I94" t="inlineStr">
        <is>
          <t>No</t>
        </is>
      </c>
      <c r="J94" t="inlineStr">
        <is>
          <t>0</t>
        </is>
      </c>
      <c r="K94" t="inlineStr">
        <is>
          <t>Halliburton, Richard, 1900-1939.</t>
        </is>
      </c>
      <c r="L94" t="inlineStr">
        <is>
          <t>New York : Grosset &amp; Dunlap [1935]</t>
        </is>
      </c>
      <c r="M94" t="inlineStr">
        <is>
          <t>1935</t>
        </is>
      </c>
      <c r="O94" t="inlineStr">
        <is>
          <t>eng</t>
        </is>
      </c>
      <c r="P94" t="inlineStr">
        <is>
          <t>nyu</t>
        </is>
      </c>
      <c r="R94" t="inlineStr">
        <is>
          <t xml:space="preserve">G  </t>
        </is>
      </c>
      <c r="S94" t="n">
        <v>5</v>
      </c>
      <c r="T94" t="n">
        <v>5</v>
      </c>
      <c r="U94" t="inlineStr">
        <is>
          <t>1996-01-22</t>
        </is>
      </c>
      <c r="V94" t="inlineStr">
        <is>
          <t>1996-01-22</t>
        </is>
      </c>
      <c r="W94" t="inlineStr">
        <is>
          <t>1991-12-20</t>
        </is>
      </c>
      <c r="X94" t="inlineStr">
        <is>
          <t>1991-12-20</t>
        </is>
      </c>
      <c r="Y94" t="n">
        <v>8</v>
      </c>
      <c r="Z94" t="n">
        <v>8</v>
      </c>
      <c r="AA94" t="n">
        <v>554</v>
      </c>
      <c r="AB94" t="n">
        <v>1</v>
      </c>
      <c r="AC94" t="n">
        <v>5</v>
      </c>
      <c r="AD94" t="n">
        <v>0</v>
      </c>
      <c r="AE94" t="n">
        <v>15</v>
      </c>
      <c r="AF94" t="n">
        <v>0</v>
      </c>
      <c r="AG94" t="n">
        <v>3</v>
      </c>
      <c r="AH94" t="n">
        <v>0</v>
      </c>
      <c r="AI94" t="n">
        <v>3</v>
      </c>
      <c r="AJ94" t="n">
        <v>0</v>
      </c>
      <c r="AK94" t="n">
        <v>11</v>
      </c>
      <c r="AL94" t="n">
        <v>0</v>
      </c>
      <c r="AM94" t="n">
        <v>2</v>
      </c>
      <c r="AN94" t="n">
        <v>0</v>
      </c>
      <c r="AO94" t="n">
        <v>0</v>
      </c>
      <c r="AP94" t="inlineStr">
        <is>
          <t>No</t>
        </is>
      </c>
      <c r="AQ94" t="inlineStr">
        <is>
          <t>No</t>
        </is>
      </c>
      <c r="AS94">
        <f>HYPERLINK("https://creighton-primo.hosted.exlibrisgroup.com/primo-explore/search?tab=default_tab&amp;search_scope=EVERYTHING&amp;vid=01CRU&amp;lang=en_US&amp;offset=0&amp;query=any,contains,991004823239702656","Catalog Record")</f>
        <v/>
      </c>
      <c r="AT94">
        <f>HYPERLINK("http://www.worldcat.org/oclc/5338793","WorldCat Record")</f>
        <v/>
      </c>
      <c r="AU94" t="inlineStr">
        <is>
          <t>800459:eng</t>
        </is>
      </c>
      <c r="AV94" t="inlineStr">
        <is>
          <t>5338793</t>
        </is>
      </c>
      <c r="AW94" t="inlineStr">
        <is>
          <t>991004823239702656</t>
        </is>
      </c>
      <c r="AX94" t="inlineStr">
        <is>
          <t>991004823239702656</t>
        </is>
      </c>
      <c r="AY94" t="inlineStr">
        <is>
          <t>2268201480002656</t>
        </is>
      </c>
      <c r="AZ94" t="inlineStr">
        <is>
          <t>BOOK</t>
        </is>
      </c>
      <c r="BC94" t="inlineStr">
        <is>
          <t>32285000892215</t>
        </is>
      </c>
      <c r="BD94" t="inlineStr">
        <is>
          <t>893325842</t>
        </is>
      </c>
    </row>
    <row r="95">
      <c r="A95" t="inlineStr">
        <is>
          <t>No</t>
        </is>
      </c>
      <c r="B95" t="inlineStr">
        <is>
          <t>G470 .S48</t>
        </is>
      </c>
      <c r="C95" t="inlineStr">
        <is>
          <t>0                      G  0470000S  48</t>
        </is>
      </c>
      <c r="D95" t="inlineStr">
        <is>
          <t>The Brendan voyage / Tim Severin ; drawings by Trondur Patursson.</t>
        </is>
      </c>
      <c r="F95" t="inlineStr">
        <is>
          <t>No</t>
        </is>
      </c>
      <c r="G95" t="inlineStr">
        <is>
          <t>1</t>
        </is>
      </c>
      <c r="H95" t="inlineStr">
        <is>
          <t>No</t>
        </is>
      </c>
      <c r="I95" t="inlineStr">
        <is>
          <t>No</t>
        </is>
      </c>
      <c r="J95" t="inlineStr">
        <is>
          <t>0</t>
        </is>
      </c>
      <c r="K95" t="inlineStr">
        <is>
          <t>Severin, Timothy.</t>
        </is>
      </c>
      <c r="L95" t="inlineStr">
        <is>
          <t>New York : McGraw-Hill, c1978.</t>
        </is>
      </c>
      <c r="M95" t="inlineStr">
        <is>
          <t>1978</t>
        </is>
      </c>
      <c r="O95" t="inlineStr">
        <is>
          <t>eng</t>
        </is>
      </c>
      <c r="P95" t="inlineStr">
        <is>
          <t>nyu</t>
        </is>
      </c>
      <c r="R95" t="inlineStr">
        <is>
          <t xml:space="preserve">G  </t>
        </is>
      </c>
      <c r="S95" t="n">
        <v>2</v>
      </c>
      <c r="T95" t="n">
        <v>2</v>
      </c>
      <c r="U95" t="inlineStr">
        <is>
          <t>2000-08-09</t>
        </is>
      </c>
      <c r="V95" t="inlineStr">
        <is>
          <t>2000-08-09</t>
        </is>
      </c>
      <c r="W95" t="inlineStr">
        <is>
          <t>1991-12-20</t>
        </is>
      </c>
      <c r="X95" t="inlineStr">
        <is>
          <t>1991-12-20</t>
        </is>
      </c>
      <c r="Y95" t="n">
        <v>1046</v>
      </c>
      <c r="Z95" t="n">
        <v>1007</v>
      </c>
      <c r="AA95" t="n">
        <v>1180</v>
      </c>
      <c r="AB95" t="n">
        <v>7</v>
      </c>
      <c r="AC95" t="n">
        <v>7</v>
      </c>
      <c r="AD95" t="n">
        <v>24</v>
      </c>
      <c r="AE95" t="n">
        <v>31</v>
      </c>
      <c r="AF95" t="n">
        <v>9</v>
      </c>
      <c r="AG95" t="n">
        <v>13</v>
      </c>
      <c r="AH95" t="n">
        <v>6</v>
      </c>
      <c r="AI95" t="n">
        <v>7</v>
      </c>
      <c r="AJ95" t="n">
        <v>14</v>
      </c>
      <c r="AK95" t="n">
        <v>18</v>
      </c>
      <c r="AL95" t="n">
        <v>1</v>
      </c>
      <c r="AM95" t="n">
        <v>1</v>
      </c>
      <c r="AN95" t="n">
        <v>0</v>
      </c>
      <c r="AO95" t="n">
        <v>0</v>
      </c>
      <c r="AP95" t="inlineStr">
        <is>
          <t>No</t>
        </is>
      </c>
      <c r="AQ95" t="inlineStr">
        <is>
          <t>Yes</t>
        </is>
      </c>
      <c r="AR95">
        <f>HYPERLINK("http://catalog.hathitrust.org/Record/000092070","HathiTrust Record")</f>
        <v/>
      </c>
      <c r="AS95">
        <f>HYPERLINK("https://creighton-primo.hosted.exlibrisgroup.com/primo-explore/search?tab=default_tab&amp;search_scope=EVERYTHING&amp;vid=01CRU&amp;lang=en_US&amp;offset=0&amp;query=any,contains,991004480799702656","Catalog Record")</f>
        <v/>
      </c>
      <c r="AT95">
        <f>HYPERLINK("http://www.worldcat.org/oclc/3627349","WorldCat Record")</f>
        <v/>
      </c>
      <c r="AU95" t="inlineStr">
        <is>
          <t>452178:eng</t>
        </is>
      </c>
      <c r="AV95" t="inlineStr">
        <is>
          <t>3627349</t>
        </is>
      </c>
      <c r="AW95" t="inlineStr">
        <is>
          <t>991004480799702656</t>
        </is>
      </c>
      <c r="AX95" t="inlineStr">
        <is>
          <t>991004480799702656</t>
        </is>
      </c>
      <c r="AY95" t="inlineStr">
        <is>
          <t>2269252560002656</t>
        </is>
      </c>
      <c r="AZ95" t="inlineStr">
        <is>
          <t>BOOK</t>
        </is>
      </c>
      <c r="BB95" t="inlineStr">
        <is>
          <t>9780070563353</t>
        </is>
      </c>
      <c r="BC95" t="inlineStr">
        <is>
          <t>32285000892231</t>
        </is>
      </c>
      <c r="BD95" t="inlineStr">
        <is>
          <t>893430105</t>
        </is>
      </c>
    </row>
    <row r="96">
      <c r="A96" t="inlineStr">
        <is>
          <t>No</t>
        </is>
      </c>
      <c r="B96" t="inlineStr">
        <is>
          <t>G490 .F3813</t>
        </is>
      </c>
      <c r="C96" t="inlineStr">
        <is>
          <t>0                      G  0490000F  3813</t>
        </is>
      </c>
      <c r="D96" t="inlineStr">
        <is>
          <t>A Spaniard in the Portuguese Indies : the narrative of Martín Fernández de Figueroa / [edited by] James B. McKenna.</t>
        </is>
      </c>
      <c r="F96" t="inlineStr">
        <is>
          <t>No</t>
        </is>
      </c>
      <c r="G96" t="inlineStr">
        <is>
          <t>1</t>
        </is>
      </c>
      <c r="H96" t="inlineStr">
        <is>
          <t>No</t>
        </is>
      </c>
      <c r="I96" t="inlineStr">
        <is>
          <t>No</t>
        </is>
      </c>
      <c r="J96" t="inlineStr">
        <is>
          <t>0</t>
        </is>
      </c>
      <c r="K96" t="inlineStr">
        <is>
          <t>Fernandez de Figueroa, Martin.</t>
        </is>
      </c>
      <c r="L96" t="inlineStr">
        <is>
          <t>Cambridge, Mass. : Harvard University Press, 1967.</t>
        </is>
      </c>
      <c r="M96" t="inlineStr">
        <is>
          <t>1967</t>
        </is>
      </c>
      <c r="O96" t="inlineStr">
        <is>
          <t>eng</t>
        </is>
      </c>
      <c r="P96" t="inlineStr">
        <is>
          <t>mau</t>
        </is>
      </c>
      <c r="Q96" t="inlineStr">
        <is>
          <t>Harvard studies in Romance languages ; v. 31</t>
        </is>
      </c>
      <c r="R96" t="inlineStr">
        <is>
          <t xml:space="preserve">G  </t>
        </is>
      </c>
      <c r="S96" t="n">
        <v>1</v>
      </c>
      <c r="T96" t="n">
        <v>1</v>
      </c>
      <c r="U96" t="inlineStr">
        <is>
          <t>2007-08-20</t>
        </is>
      </c>
      <c r="V96" t="inlineStr">
        <is>
          <t>2007-08-20</t>
        </is>
      </c>
      <c r="W96" t="inlineStr">
        <is>
          <t>1994-05-24</t>
        </is>
      </c>
      <c r="X96" t="inlineStr">
        <is>
          <t>1994-05-24</t>
        </is>
      </c>
      <c r="Y96" t="n">
        <v>456</v>
      </c>
      <c r="Z96" t="n">
        <v>385</v>
      </c>
      <c r="AA96" t="n">
        <v>388</v>
      </c>
      <c r="AB96" t="n">
        <v>3</v>
      </c>
      <c r="AC96" t="n">
        <v>3</v>
      </c>
      <c r="AD96" t="n">
        <v>16</v>
      </c>
      <c r="AE96" t="n">
        <v>16</v>
      </c>
      <c r="AF96" t="n">
        <v>5</v>
      </c>
      <c r="AG96" t="n">
        <v>5</v>
      </c>
      <c r="AH96" t="n">
        <v>5</v>
      </c>
      <c r="AI96" t="n">
        <v>5</v>
      </c>
      <c r="AJ96" t="n">
        <v>9</v>
      </c>
      <c r="AK96" t="n">
        <v>9</v>
      </c>
      <c r="AL96" t="n">
        <v>2</v>
      </c>
      <c r="AM96" t="n">
        <v>2</v>
      </c>
      <c r="AN96" t="n">
        <v>0</v>
      </c>
      <c r="AO96" t="n">
        <v>0</v>
      </c>
      <c r="AP96" t="inlineStr">
        <is>
          <t>No</t>
        </is>
      </c>
      <c r="AQ96" t="inlineStr">
        <is>
          <t>Yes</t>
        </is>
      </c>
      <c r="AR96">
        <f>HYPERLINK("http://catalog.hathitrust.org/Record/001652923","HathiTrust Record")</f>
        <v/>
      </c>
      <c r="AS96">
        <f>HYPERLINK("https://creighton-primo.hosted.exlibrisgroup.com/primo-explore/search?tab=default_tab&amp;search_scope=EVERYTHING&amp;vid=01CRU&amp;lang=en_US&amp;offset=0&amp;query=any,contains,991002856699702656","Catalog Record")</f>
        <v/>
      </c>
      <c r="AT96">
        <f>HYPERLINK("http://www.worldcat.org/oclc/490356","WorldCat Record")</f>
        <v/>
      </c>
      <c r="AU96" t="inlineStr">
        <is>
          <t>1580828:eng</t>
        </is>
      </c>
      <c r="AV96" t="inlineStr">
        <is>
          <t>490356</t>
        </is>
      </c>
      <c r="AW96" t="inlineStr">
        <is>
          <t>991002856699702656</t>
        </is>
      </c>
      <c r="AX96" t="inlineStr">
        <is>
          <t>991002856699702656</t>
        </is>
      </c>
      <c r="AY96" t="inlineStr">
        <is>
          <t>2257695580002656</t>
        </is>
      </c>
      <c r="AZ96" t="inlineStr">
        <is>
          <t>BOOK</t>
        </is>
      </c>
      <c r="BC96" t="inlineStr">
        <is>
          <t>32285001913374</t>
        </is>
      </c>
      <c r="BD96" t="inlineStr">
        <is>
          <t>893524130</t>
        </is>
      </c>
    </row>
    <row r="97">
      <c r="A97" t="inlineStr">
        <is>
          <t>No</t>
        </is>
      </c>
      <c r="B97" t="inlineStr">
        <is>
          <t>G512.A37 A34</t>
        </is>
      </c>
      <c r="C97" t="inlineStr">
        <is>
          <t>0                      G  0512000A  37                 A  34</t>
        </is>
      </c>
      <c r="D97" t="inlineStr">
        <is>
          <t>Higher than Everest; memoirs of a mountaineer [by] H. P. S. Ahluwalia. Foreword by Indira Gandhi.</t>
        </is>
      </c>
      <c r="F97" t="inlineStr">
        <is>
          <t>No</t>
        </is>
      </c>
      <c r="G97" t="inlineStr">
        <is>
          <t>1</t>
        </is>
      </c>
      <c r="H97" t="inlineStr">
        <is>
          <t>No</t>
        </is>
      </c>
      <c r="I97" t="inlineStr">
        <is>
          <t>No</t>
        </is>
      </c>
      <c r="J97" t="inlineStr">
        <is>
          <t>0</t>
        </is>
      </c>
      <c r="K97" t="inlineStr">
        <is>
          <t>Ahluwalia, H. P. S.</t>
        </is>
      </c>
      <c r="L97" t="inlineStr">
        <is>
          <t>Delhi, Vikas Pub. House [1973]</t>
        </is>
      </c>
      <c r="M97" t="inlineStr">
        <is>
          <t>1973</t>
        </is>
      </c>
      <c r="O97" t="inlineStr">
        <is>
          <t>eng</t>
        </is>
      </c>
      <c r="P97" t="inlineStr">
        <is>
          <t xml:space="preserve">ii </t>
        </is>
      </c>
      <c r="R97" t="inlineStr">
        <is>
          <t xml:space="preserve">G  </t>
        </is>
      </c>
      <c r="S97" t="n">
        <v>1</v>
      </c>
      <c r="T97" t="n">
        <v>1</v>
      </c>
      <c r="U97" t="inlineStr">
        <is>
          <t>2001-07-18</t>
        </is>
      </c>
      <c r="V97" t="inlineStr">
        <is>
          <t>2001-07-18</t>
        </is>
      </c>
      <c r="W97" t="inlineStr">
        <is>
          <t>1997-05-21</t>
        </is>
      </c>
      <c r="X97" t="inlineStr">
        <is>
          <t>1997-05-21</t>
        </is>
      </c>
      <c r="Y97" t="n">
        <v>260</v>
      </c>
      <c r="Z97" t="n">
        <v>233</v>
      </c>
      <c r="AA97" t="n">
        <v>241</v>
      </c>
      <c r="AB97" t="n">
        <v>2</v>
      </c>
      <c r="AC97" t="n">
        <v>2</v>
      </c>
      <c r="AD97" t="n">
        <v>8</v>
      </c>
      <c r="AE97" t="n">
        <v>8</v>
      </c>
      <c r="AF97" t="n">
        <v>1</v>
      </c>
      <c r="AG97" t="n">
        <v>1</v>
      </c>
      <c r="AH97" t="n">
        <v>3</v>
      </c>
      <c r="AI97" t="n">
        <v>3</v>
      </c>
      <c r="AJ97" t="n">
        <v>4</v>
      </c>
      <c r="AK97" t="n">
        <v>4</v>
      </c>
      <c r="AL97" t="n">
        <v>1</v>
      </c>
      <c r="AM97" t="n">
        <v>1</v>
      </c>
      <c r="AN97" t="n">
        <v>0</v>
      </c>
      <c r="AO97" t="n">
        <v>0</v>
      </c>
      <c r="AP97" t="inlineStr">
        <is>
          <t>No</t>
        </is>
      </c>
      <c r="AQ97" t="inlineStr">
        <is>
          <t>Yes</t>
        </is>
      </c>
      <c r="AR97">
        <f>HYPERLINK("http://catalog.hathitrust.org/Record/001271198","HathiTrust Record")</f>
        <v/>
      </c>
      <c r="AS97">
        <f>HYPERLINK("https://creighton-primo.hosted.exlibrisgroup.com/primo-explore/search?tab=default_tab&amp;search_scope=EVERYTHING&amp;vid=01CRU&amp;lang=en_US&amp;offset=0&amp;query=any,contains,991003285299702656","Catalog Record")</f>
        <v/>
      </c>
      <c r="AT97">
        <f>HYPERLINK("http://www.worldcat.org/oclc/807168","WorldCat Record")</f>
        <v/>
      </c>
      <c r="AU97" t="inlineStr">
        <is>
          <t>1636751:eng</t>
        </is>
      </c>
      <c r="AV97" t="inlineStr">
        <is>
          <t>807168</t>
        </is>
      </c>
      <c r="AW97" t="inlineStr">
        <is>
          <t>991003285299702656</t>
        </is>
      </c>
      <c r="AX97" t="inlineStr">
        <is>
          <t>991003285299702656</t>
        </is>
      </c>
      <c r="AY97" t="inlineStr">
        <is>
          <t>2268758170002656</t>
        </is>
      </c>
      <c r="AZ97" t="inlineStr">
        <is>
          <t>BOOK</t>
        </is>
      </c>
      <c r="BB97" t="inlineStr">
        <is>
          <t>9780706902686</t>
        </is>
      </c>
      <c r="BC97" t="inlineStr">
        <is>
          <t>32285002691607</t>
        </is>
      </c>
      <c r="BD97" t="inlineStr">
        <is>
          <t>893881016</t>
        </is>
      </c>
    </row>
    <row r="98">
      <c r="A98" t="inlineStr">
        <is>
          <t>No</t>
        </is>
      </c>
      <c r="B98" t="inlineStr">
        <is>
          <t>G525 .B65</t>
        </is>
      </c>
      <c r="C98" t="inlineStr">
        <is>
          <t>0                      G  0525000B  65</t>
        </is>
      </c>
      <c r="D98" t="inlineStr">
        <is>
          <t>Told at the Explorers club; true tales of modern exploration, edited by Frederick A. Blossom.</t>
        </is>
      </c>
      <c r="F98" t="inlineStr">
        <is>
          <t>No</t>
        </is>
      </c>
      <c r="G98" t="inlineStr">
        <is>
          <t>1</t>
        </is>
      </c>
      <c r="H98" t="inlineStr">
        <is>
          <t>No</t>
        </is>
      </c>
      <c r="I98" t="inlineStr">
        <is>
          <t>No</t>
        </is>
      </c>
      <c r="J98" t="inlineStr">
        <is>
          <t>0</t>
        </is>
      </c>
      <c r="K98" t="inlineStr">
        <is>
          <t>Blossom, F. A. (Frederick Augustus), 1878-1974 editor.</t>
        </is>
      </c>
      <c r="L98" t="inlineStr">
        <is>
          <t>New York, A.&amp; C. Boni, 1931.</t>
        </is>
      </c>
      <c r="M98" t="inlineStr">
        <is>
          <t>1931</t>
        </is>
      </c>
      <c r="O98" t="inlineStr">
        <is>
          <t>eng</t>
        </is>
      </c>
      <c r="P98" t="inlineStr">
        <is>
          <t>nyu</t>
        </is>
      </c>
      <c r="R98" t="inlineStr">
        <is>
          <t xml:space="preserve">G  </t>
        </is>
      </c>
      <c r="S98" t="n">
        <v>1</v>
      </c>
      <c r="T98" t="n">
        <v>1</v>
      </c>
      <c r="U98" t="inlineStr">
        <is>
          <t>2001-11-03</t>
        </is>
      </c>
      <c r="V98" t="inlineStr">
        <is>
          <t>2001-11-03</t>
        </is>
      </c>
      <c r="W98" t="inlineStr">
        <is>
          <t>1997-05-21</t>
        </is>
      </c>
      <c r="X98" t="inlineStr">
        <is>
          <t>1997-05-21</t>
        </is>
      </c>
      <c r="Y98" t="n">
        <v>203</v>
      </c>
      <c r="Z98" t="n">
        <v>188</v>
      </c>
      <c r="AA98" t="n">
        <v>207</v>
      </c>
      <c r="AB98" t="n">
        <v>3</v>
      </c>
      <c r="AC98" t="n">
        <v>3</v>
      </c>
      <c r="AD98" t="n">
        <v>6</v>
      </c>
      <c r="AE98" t="n">
        <v>7</v>
      </c>
      <c r="AF98" t="n">
        <v>2</v>
      </c>
      <c r="AG98" t="n">
        <v>2</v>
      </c>
      <c r="AH98" t="n">
        <v>0</v>
      </c>
      <c r="AI98" t="n">
        <v>1</v>
      </c>
      <c r="AJ98" t="n">
        <v>2</v>
      </c>
      <c r="AK98" t="n">
        <v>2</v>
      </c>
      <c r="AL98" t="n">
        <v>2</v>
      </c>
      <c r="AM98" t="n">
        <v>2</v>
      </c>
      <c r="AN98" t="n">
        <v>0</v>
      </c>
      <c r="AO98" t="n">
        <v>0</v>
      </c>
      <c r="AP98" t="inlineStr">
        <is>
          <t>No</t>
        </is>
      </c>
      <c r="AQ98" t="inlineStr">
        <is>
          <t>No</t>
        </is>
      </c>
      <c r="AR98">
        <f>HYPERLINK("http://catalog.hathitrust.org/Record/001270732","HathiTrust Record")</f>
        <v/>
      </c>
      <c r="AS98">
        <f>HYPERLINK("https://creighton-primo.hosted.exlibrisgroup.com/primo-explore/search?tab=default_tab&amp;search_scope=EVERYTHING&amp;vid=01CRU&amp;lang=en_US&amp;offset=0&amp;query=any,contains,991003908969702656","Catalog Record")</f>
        <v/>
      </c>
      <c r="AT98">
        <f>HYPERLINK("http://www.worldcat.org/oclc/1848374","WorldCat Record")</f>
        <v/>
      </c>
      <c r="AU98" t="inlineStr">
        <is>
          <t>1881836067:eng</t>
        </is>
      </c>
      <c r="AV98" t="inlineStr">
        <is>
          <t>1848374</t>
        </is>
      </c>
      <c r="AW98" t="inlineStr">
        <is>
          <t>991003908969702656</t>
        </is>
      </c>
      <c r="AX98" t="inlineStr">
        <is>
          <t>991003908969702656</t>
        </is>
      </c>
      <c r="AY98" t="inlineStr">
        <is>
          <t>2257327280002656</t>
        </is>
      </c>
      <c r="AZ98" t="inlineStr">
        <is>
          <t>BOOK</t>
        </is>
      </c>
      <c r="BC98" t="inlineStr">
        <is>
          <t>32285002691649</t>
        </is>
      </c>
      <c r="BD98" t="inlineStr">
        <is>
          <t>893337116</t>
        </is>
      </c>
    </row>
    <row r="99">
      <c r="A99" t="inlineStr">
        <is>
          <t>No</t>
        </is>
      </c>
      <c r="B99" t="inlineStr">
        <is>
          <t>G525 .B8575 2002</t>
        </is>
      </c>
      <c r="C99" t="inlineStr">
        <is>
          <t>0                      G  0525000B  8575        2002</t>
        </is>
      </c>
      <c r="D99" t="inlineStr">
        <is>
          <t>White hurricane : a Great Lakes November gale and America's deadliest maritime disaster / David G. Brown.</t>
        </is>
      </c>
      <c r="F99" t="inlineStr">
        <is>
          <t>No</t>
        </is>
      </c>
      <c r="G99" t="inlineStr">
        <is>
          <t>1</t>
        </is>
      </c>
      <c r="H99" t="inlineStr">
        <is>
          <t>No</t>
        </is>
      </c>
      <c r="I99" t="inlineStr">
        <is>
          <t>No</t>
        </is>
      </c>
      <c r="J99" t="inlineStr">
        <is>
          <t>0</t>
        </is>
      </c>
      <c r="K99" t="inlineStr">
        <is>
          <t>Brown, David G. (David Geren), 1944-</t>
        </is>
      </c>
      <c r="L99" t="inlineStr">
        <is>
          <t>Camden, Me. : International Marine/McGraw-Hill, c2002.</t>
        </is>
      </c>
      <c r="M99" t="inlineStr">
        <is>
          <t>2002</t>
        </is>
      </c>
      <c r="O99" t="inlineStr">
        <is>
          <t>eng</t>
        </is>
      </c>
      <c r="P99" t="inlineStr">
        <is>
          <t>meu</t>
        </is>
      </c>
      <c r="R99" t="inlineStr">
        <is>
          <t xml:space="preserve">G  </t>
        </is>
      </c>
      <c r="S99" t="n">
        <v>1</v>
      </c>
      <c r="T99" t="n">
        <v>1</v>
      </c>
      <c r="U99" t="inlineStr">
        <is>
          <t>2010-08-19</t>
        </is>
      </c>
      <c r="V99" t="inlineStr">
        <is>
          <t>2010-08-19</t>
        </is>
      </c>
      <c r="W99" t="inlineStr">
        <is>
          <t>2003-06-16</t>
        </is>
      </c>
      <c r="X99" t="inlineStr">
        <is>
          <t>2003-06-16</t>
        </is>
      </c>
      <c r="Y99" t="n">
        <v>288</v>
      </c>
      <c r="Z99" t="n">
        <v>268</v>
      </c>
      <c r="AA99" t="n">
        <v>329</v>
      </c>
      <c r="AB99" t="n">
        <v>1</v>
      </c>
      <c r="AC99" t="n">
        <v>1</v>
      </c>
      <c r="AD99" t="n">
        <v>4</v>
      </c>
      <c r="AE99" t="n">
        <v>5</v>
      </c>
      <c r="AF99" t="n">
        <v>1</v>
      </c>
      <c r="AG99" t="n">
        <v>2</v>
      </c>
      <c r="AH99" t="n">
        <v>1</v>
      </c>
      <c r="AI99" t="n">
        <v>1</v>
      </c>
      <c r="AJ99" t="n">
        <v>4</v>
      </c>
      <c r="AK99" t="n">
        <v>4</v>
      </c>
      <c r="AL99" t="n">
        <v>0</v>
      </c>
      <c r="AM99" t="n">
        <v>0</v>
      </c>
      <c r="AN99" t="n">
        <v>0</v>
      </c>
      <c r="AO99" t="n">
        <v>0</v>
      </c>
      <c r="AP99" t="inlineStr">
        <is>
          <t>No</t>
        </is>
      </c>
      <c r="AQ99" t="inlineStr">
        <is>
          <t>Yes</t>
        </is>
      </c>
      <c r="AR99">
        <f>HYPERLINK("http://catalog.hathitrust.org/Record/003782201","HathiTrust Record")</f>
        <v/>
      </c>
      <c r="AS99">
        <f>HYPERLINK("https://creighton-primo.hosted.exlibrisgroup.com/primo-explore/search?tab=default_tab&amp;search_scope=EVERYTHING&amp;vid=01CRU&amp;lang=en_US&amp;offset=0&amp;query=any,contains,991004017269702656","Catalog Record")</f>
        <v/>
      </c>
      <c r="AT99">
        <f>HYPERLINK("http://www.worldcat.org/oclc/49923207","WorldCat Record")</f>
        <v/>
      </c>
      <c r="AU99" t="inlineStr">
        <is>
          <t>653377:eng</t>
        </is>
      </c>
      <c r="AV99" t="inlineStr">
        <is>
          <t>49923207</t>
        </is>
      </c>
      <c r="AW99" t="inlineStr">
        <is>
          <t>991004017269702656</t>
        </is>
      </c>
      <c r="AX99" t="inlineStr">
        <is>
          <t>991004017269702656</t>
        </is>
      </c>
      <c r="AY99" t="inlineStr">
        <is>
          <t>2254957220002656</t>
        </is>
      </c>
      <c r="AZ99" t="inlineStr">
        <is>
          <t>BOOK</t>
        </is>
      </c>
      <c r="BB99" t="inlineStr">
        <is>
          <t>9780071380379</t>
        </is>
      </c>
      <c r="BC99" t="inlineStr">
        <is>
          <t>32285004752464</t>
        </is>
      </c>
      <c r="BD99" t="inlineStr">
        <is>
          <t>893900692</t>
        </is>
      </c>
    </row>
    <row r="100">
      <c r="A100" t="inlineStr">
        <is>
          <t>No</t>
        </is>
      </c>
      <c r="B100" t="inlineStr">
        <is>
          <t>G525 .K87 1975</t>
        </is>
      </c>
      <c r="C100" t="inlineStr">
        <is>
          <t>0                      G  0525000K  87          1975</t>
        </is>
      </c>
      <c r="D100" t="inlineStr">
        <is>
          <t>The Bermuda Triangle mystery--solved / Lawrence David Kusche.</t>
        </is>
      </c>
      <c r="F100" t="inlineStr">
        <is>
          <t>No</t>
        </is>
      </c>
      <c r="G100" t="inlineStr">
        <is>
          <t>1</t>
        </is>
      </c>
      <c r="H100" t="inlineStr">
        <is>
          <t>No</t>
        </is>
      </c>
      <c r="I100" t="inlineStr">
        <is>
          <t>No</t>
        </is>
      </c>
      <c r="J100" t="inlineStr">
        <is>
          <t>0</t>
        </is>
      </c>
      <c r="K100" t="inlineStr">
        <is>
          <t>Kusche, Larry.</t>
        </is>
      </c>
      <c r="L100" t="inlineStr">
        <is>
          <t>New York : Harper &amp; Row, [1975]</t>
        </is>
      </c>
      <c r="M100" t="inlineStr">
        <is>
          <t>1975</t>
        </is>
      </c>
      <c r="O100" t="inlineStr">
        <is>
          <t>eng</t>
        </is>
      </c>
      <c r="P100" t="inlineStr">
        <is>
          <t>nyu</t>
        </is>
      </c>
      <c r="R100" t="inlineStr">
        <is>
          <t xml:space="preserve">G  </t>
        </is>
      </c>
      <c r="S100" t="n">
        <v>14</v>
      </c>
      <c r="T100" t="n">
        <v>14</v>
      </c>
      <c r="U100" t="inlineStr">
        <is>
          <t>2007-10-01</t>
        </is>
      </c>
      <c r="V100" t="inlineStr">
        <is>
          <t>2007-10-01</t>
        </is>
      </c>
      <c r="W100" t="inlineStr">
        <is>
          <t>1992-03-18</t>
        </is>
      </c>
      <c r="X100" t="inlineStr">
        <is>
          <t>1992-03-18</t>
        </is>
      </c>
      <c r="Y100" t="n">
        <v>1557</v>
      </c>
      <c r="Z100" t="n">
        <v>1490</v>
      </c>
      <c r="AA100" t="n">
        <v>1937</v>
      </c>
      <c r="AB100" t="n">
        <v>13</v>
      </c>
      <c r="AC100" t="n">
        <v>16</v>
      </c>
      <c r="AD100" t="n">
        <v>22</v>
      </c>
      <c r="AE100" t="n">
        <v>31</v>
      </c>
      <c r="AF100" t="n">
        <v>9</v>
      </c>
      <c r="AG100" t="n">
        <v>12</v>
      </c>
      <c r="AH100" t="n">
        <v>4</v>
      </c>
      <c r="AI100" t="n">
        <v>4</v>
      </c>
      <c r="AJ100" t="n">
        <v>8</v>
      </c>
      <c r="AK100" t="n">
        <v>14</v>
      </c>
      <c r="AL100" t="n">
        <v>6</v>
      </c>
      <c r="AM100" t="n">
        <v>7</v>
      </c>
      <c r="AN100" t="n">
        <v>0</v>
      </c>
      <c r="AO100" t="n">
        <v>0</v>
      </c>
      <c r="AP100" t="inlineStr">
        <is>
          <t>No</t>
        </is>
      </c>
      <c r="AQ100" t="inlineStr">
        <is>
          <t>Yes</t>
        </is>
      </c>
      <c r="AR100">
        <f>HYPERLINK("http://catalog.hathitrust.org/Record/001271250","HathiTrust Record")</f>
        <v/>
      </c>
      <c r="AS100">
        <f>HYPERLINK("https://creighton-primo.hosted.exlibrisgroup.com/primo-explore/search?tab=default_tab&amp;search_scope=EVERYTHING&amp;vid=01CRU&amp;lang=en_US&amp;offset=0&amp;query=any,contains,991003532189702656","Catalog Record")</f>
        <v/>
      </c>
      <c r="AT100">
        <f>HYPERLINK("http://www.worldcat.org/oclc/1094804","WorldCat Record")</f>
        <v/>
      </c>
      <c r="AU100" t="inlineStr">
        <is>
          <t>930494:eng</t>
        </is>
      </c>
      <c r="AV100" t="inlineStr">
        <is>
          <t>1094804</t>
        </is>
      </c>
      <c r="AW100" t="inlineStr">
        <is>
          <t>991003532189702656</t>
        </is>
      </c>
      <c r="AX100" t="inlineStr">
        <is>
          <t>991003532189702656</t>
        </is>
      </c>
      <c r="AY100" t="inlineStr">
        <is>
          <t>2265225150002656</t>
        </is>
      </c>
      <c r="AZ100" t="inlineStr">
        <is>
          <t>BOOK</t>
        </is>
      </c>
      <c r="BB100" t="inlineStr">
        <is>
          <t>9780060124755</t>
        </is>
      </c>
      <c r="BC100" t="inlineStr">
        <is>
          <t>32285001023901</t>
        </is>
      </c>
      <c r="BD100" t="inlineStr">
        <is>
          <t>893611143</t>
        </is>
      </c>
    </row>
    <row r="101">
      <c r="A101" t="inlineStr">
        <is>
          <t>No</t>
        </is>
      </c>
      <c r="B101" t="inlineStr">
        <is>
          <t>G530 .D27 2002</t>
        </is>
      </c>
      <c r="C101" t="inlineStr">
        <is>
          <t>0                      G  0530000D  27          2002</t>
        </is>
      </c>
      <c r="D101" t="inlineStr">
        <is>
          <t>Batavia's graveyard / Mike Dash.</t>
        </is>
      </c>
      <c r="F101" t="inlineStr">
        <is>
          <t>No</t>
        </is>
      </c>
      <c r="G101" t="inlineStr">
        <is>
          <t>1</t>
        </is>
      </c>
      <c r="H101" t="inlineStr">
        <is>
          <t>No</t>
        </is>
      </c>
      <c r="I101" t="inlineStr">
        <is>
          <t>No</t>
        </is>
      </c>
      <c r="J101" t="inlineStr">
        <is>
          <t>0</t>
        </is>
      </c>
      <c r="K101" t="inlineStr">
        <is>
          <t>Dash, Mike.</t>
        </is>
      </c>
      <c r="L101" t="inlineStr">
        <is>
          <t>New York : Crown Publishers, c2002.</t>
        </is>
      </c>
      <c r="M101" t="inlineStr">
        <is>
          <t>2002</t>
        </is>
      </c>
      <c r="N101" t="inlineStr">
        <is>
          <t>1st ed.</t>
        </is>
      </c>
      <c r="O101" t="inlineStr">
        <is>
          <t>eng</t>
        </is>
      </c>
      <c r="P101" t="inlineStr">
        <is>
          <t>nyu</t>
        </is>
      </c>
      <c r="R101" t="inlineStr">
        <is>
          <t xml:space="preserve">G  </t>
        </is>
      </c>
      <c r="S101" t="n">
        <v>1</v>
      </c>
      <c r="T101" t="n">
        <v>1</v>
      </c>
      <c r="U101" t="inlineStr">
        <is>
          <t>2003-09-09</t>
        </is>
      </c>
      <c r="V101" t="inlineStr">
        <is>
          <t>2003-09-09</t>
        </is>
      </c>
      <c r="W101" t="inlineStr">
        <is>
          <t>2003-09-09</t>
        </is>
      </c>
      <c r="X101" t="inlineStr">
        <is>
          <t>2003-09-09</t>
        </is>
      </c>
      <c r="Y101" t="n">
        <v>709</v>
      </c>
      <c r="Z101" t="n">
        <v>661</v>
      </c>
      <c r="AA101" t="n">
        <v>794</v>
      </c>
      <c r="AB101" t="n">
        <v>3</v>
      </c>
      <c r="AC101" t="n">
        <v>4</v>
      </c>
      <c r="AD101" t="n">
        <v>4</v>
      </c>
      <c r="AE101" t="n">
        <v>6</v>
      </c>
      <c r="AF101" t="n">
        <v>1</v>
      </c>
      <c r="AG101" t="n">
        <v>1</v>
      </c>
      <c r="AH101" t="n">
        <v>1</v>
      </c>
      <c r="AI101" t="n">
        <v>2</v>
      </c>
      <c r="AJ101" t="n">
        <v>3</v>
      </c>
      <c r="AK101" t="n">
        <v>5</v>
      </c>
      <c r="AL101" t="n">
        <v>0</v>
      </c>
      <c r="AM101" t="n">
        <v>0</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HYPERLINK("https://creighton-primo.hosted.exlibrisgroup.com/primo-explore/search?tab=default_tab&amp;search_scope=EVERYTHING&amp;vid=01CRU&amp;lang=en_US&amp;offset=0&amp;query=any,contains,991004117969702656","Catalog Record")</f>
        <v/>
      </c>
      <c r="AT101">
        <f>HYPERLINK("http://www.worldcat.org/oclc/48249348","WorldCat Record")</f>
        <v/>
      </c>
      <c r="AU101" t="inlineStr">
        <is>
          <t>719476:eng</t>
        </is>
      </c>
      <c r="AV101" t="inlineStr">
        <is>
          <t>48249348</t>
        </is>
      </c>
      <c r="AW101" t="inlineStr">
        <is>
          <t>991004117969702656</t>
        </is>
      </c>
      <c r="AX101" t="inlineStr">
        <is>
          <t>991004117969702656</t>
        </is>
      </c>
      <c r="AY101" t="inlineStr">
        <is>
          <t>2262274270002656</t>
        </is>
      </c>
      <c r="AZ101" t="inlineStr">
        <is>
          <t>BOOK</t>
        </is>
      </c>
      <c r="BB101" t="inlineStr">
        <is>
          <t>9780609607664</t>
        </is>
      </c>
      <c r="BC101" t="inlineStr">
        <is>
          <t>32285004781570</t>
        </is>
      </c>
      <c r="BD101" t="inlineStr">
        <is>
          <t>893624362</t>
        </is>
      </c>
    </row>
    <row r="102">
      <c r="A102" t="inlineStr">
        <is>
          <t>No</t>
        </is>
      </c>
      <c r="B102" t="inlineStr">
        <is>
          <t>G530 .F89</t>
        </is>
      </c>
      <c r="C102" t="inlineStr">
        <is>
          <t>0                      G  0530000F  89</t>
        </is>
      </c>
      <c r="D102" t="inlineStr">
        <is>
          <t>Vagrant Viking; my life and adventures. Translated from the Danish by Johan Hambro.</t>
        </is>
      </c>
      <c r="F102" t="inlineStr">
        <is>
          <t>No</t>
        </is>
      </c>
      <c r="G102" t="inlineStr">
        <is>
          <t>1</t>
        </is>
      </c>
      <c r="H102" t="inlineStr">
        <is>
          <t>No</t>
        </is>
      </c>
      <c r="I102" t="inlineStr">
        <is>
          <t>No</t>
        </is>
      </c>
      <c r="J102" t="inlineStr">
        <is>
          <t>0</t>
        </is>
      </c>
      <c r="K102" t="inlineStr">
        <is>
          <t>Freuchen, Peter, 1886-1957.</t>
        </is>
      </c>
      <c r="L102" t="inlineStr">
        <is>
          <t>New York, J. Messner [1953]</t>
        </is>
      </c>
      <c r="M102" t="inlineStr">
        <is>
          <t>1953</t>
        </is>
      </c>
      <c r="O102" t="inlineStr">
        <is>
          <t>eng</t>
        </is>
      </c>
      <c r="P102" t="inlineStr">
        <is>
          <t>nyu</t>
        </is>
      </c>
      <c r="R102" t="inlineStr">
        <is>
          <t xml:space="preserve">G  </t>
        </is>
      </c>
      <c r="S102" t="n">
        <v>4</v>
      </c>
      <c r="T102" t="n">
        <v>4</v>
      </c>
      <c r="U102" t="inlineStr">
        <is>
          <t>2008-10-13</t>
        </is>
      </c>
      <c r="V102" t="inlineStr">
        <is>
          <t>2008-10-13</t>
        </is>
      </c>
      <c r="W102" t="inlineStr">
        <is>
          <t>1992-02-18</t>
        </is>
      </c>
      <c r="X102" t="inlineStr">
        <is>
          <t>1992-02-18</t>
        </is>
      </c>
      <c r="Y102" t="n">
        <v>577</v>
      </c>
      <c r="Z102" t="n">
        <v>537</v>
      </c>
      <c r="AA102" t="n">
        <v>611</v>
      </c>
      <c r="AB102" t="n">
        <v>7</v>
      </c>
      <c r="AC102" t="n">
        <v>8</v>
      </c>
      <c r="AD102" t="n">
        <v>15</v>
      </c>
      <c r="AE102" t="n">
        <v>16</v>
      </c>
      <c r="AF102" t="n">
        <v>4</v>
      </c>
      <c r="AG102" t="n">
        <v>5</v>
      </c>
      <c r="AH102" t="n">
        <v>5</v>
      </c>
      <c r="AI102" t="n">
        <v>5</v>
      </c>
      <c r="AJ102" t="n">
        <v>6</v>
      </c>
      <c r="AK102" t="n">
        <v>7</v>
      </c>
      <c r="AL102" t="n">
        <v>4</v>
      </c>
      <c r="AM102" t="n">
        <v>4</v>
      </c>
      <c r="AN102" t="n">
        <v>0</v>
      </c>
      <c r="AO102" t="n">
        <v>0</v>
      </c>
      <c r="AP102" t="inlineStr">
        <is>
          <t>No</t>
        </is>
      </c>
      <c r="AQ102" t="inlineStr">
        <is>
          <t>No</t>
        </is>
      </c>
      <c r="AR102">
        <f>HYPERLINK("http://catalog.hathitrust.org/Record/001271284","HathiTrust Record")</f>
        <v/>
      </c>
      <c r="AS102">
        <f>HYPERLINK("https://creighton-primo.hosted.exlibrisgroup.com/primo-explore/search?tab=default_tab&amp;search_scope=EVERYTHING&amp;vid=01CRU&amp;lang=en_US&amp;offset=0&amp;query=any,contains,991002850649702656","Catalog Record")</f>
        <v/>
      </c>
      <c r="AT102">
        <f>HYPERLINK("http://www.worldcat.org/oclc/486492","WorldCat Record")</f>
        <v/>
      </c>
      <c r="AU102" t="inlineStr">
        <is>
          <t>1571531:eng</t>
        </is>
      </c>
      <c r="AV102" t="inlineStr">
        <is>
          <t>486492</t>
        </is>
      </c>
      <c r="AW102" t="inlineStr">
        <is>
          <t>991002850649702656</t>
        </is>
      </c>
      <c r="AX102" t="inlineStr">
        <is>
          <t>991002850649702656</t>
        </is>
      </c>
      <c r="AY102" t="inlineStr">
        <is>
          <t>2256581410002656</t>
        </is>
      </c>
      <c r="AZ102" t="inlineStr">
        <is>
          <t>BOOK</t>
        </is>
      </c>
      <c r="BC102" t="inlineStr">
        <is>
          <t>32285000947407</t>
        </is>
      </c>
      <c r="BD102" t="inlineStr">
        <is>
          <t>893904116</t>
        </is>
      </c>
    </row>
    <row r="103">
      <c r="A103" t="inlineStr">
        <is>
          <t>No</t>
        </is>
      </c>
      <c r="B103" t="inlineStr">
        <is>
          <t>G530 .K23 1934</t>
        </is>
      </c>
      <c r="C103" t="inlineStr">
        <is>
          <t>0                      G  0530000K  23          1934</t>
        </is>
      </c>
      <c r="D103" t="inlineStr">
        <is>
          <t>The Hispaniola treasure / by Cyrus H. Karraker.</t>
        </is>
      </c>
      <c r="F103" t="inlineStr">
        <is>
          <t>No</t>
        </is>
      </c>
      <c r="G103" t="inlineStr">
        <is>
          <t>1</t>
        </is>
      </c>
      <c r="H103" t="inlineStr">
        <is>
          <t>No</t>
        </is>
      </c>
      <c r="I103" t="inlineStr">
        <is>
          <t>No</t>
        </is>
      </c>
      <c r="J103" t="inlineStr">
        <is>
          <t>0</t>
        </is>
      </c>
      <c r="K103" t="inlineStr">
        <is>
          <t>Karraker, Cyrus Harreld.</t>
        </is>
      </c>
      <c r="L103" t="inlineStr">
        <is>
          <t>Philadelphia : University of Pennsylvania Press, 1934.</t>
        </is>
      </c>
      <c r="M103" t="inlineStr">
        <is>
          <t>1934</t>
        </is>
      </c>
      <c r="O103" t="inlineStr">
        <is>
          <t>eng</t>
        </is>
      </c>
      <c r="P103" t="inlineStr">
        <is>
          <t>pau</t>
        </is>
      </c>
      <c r="R103" t="inlineStr">
        <is>
          <t xml:space="preserve">G  </t>
        </is>
      </c>
      <c r="S103" t="n">
        <v>1</v>
      </c>
      <c r="T103" t="n">
        <v>1</v>
      </c>
      <c r="U103" t="inlineStr">
        <is>
          <t>2004-05-05</t>
        </is>
      </c>
      <c r="V103" t="inlineStr">
        <is>
          <t>2004-05-05</t>
        </is>
      </c>
      <c r="W103" t="inlineStr">
        <is>
          <t>2004-05-05</t>
        </is>
      </c>
      <c r="X103" t="inlineStr">
        <is>
          <t>2004-05-05</t>
        </is>
      </c>
      <c r="Y103" t="n">
        <v>90</v>
      </c>
      <c r="Z103" t="n">
        <v>82</v>
      </c>
      <c r="AA103" t="n">
        <v>303</v>
      </c>
      <c r="AB103" t="n">
        <v>1</v>
      </c>
      <c r="AC103" t="n">
        <v>1</v>
      </c>
      <c r="AD103" t="n">
        <v>3</v>
      </c>
      <c r="AE103" t="n">
        <v>15</v>
      </c>
      <c r="AF103" t="n">
        <v>2</v>
      </c>
      <c r="AG103" t="n">
        <v>8</v>
      </c>
      <c r="AH103" t="n">
        <v>0</v>
      </c>
      <c r="AI103" t="n">
        <v>4</v>
      </c>
      <c r="AJ103" t="n">
        <v>3</v>
      </c>
      <c r="AK103" t="n">
        <v>9</v>
      </c>
      <c r="AL103" t="n">
        <v>0</v>
      </c>
      <c r="AM103" t="n">
        <v>0</v>
      </c>
      <c r="AN103" t="n">
        <v>0</v>
      </c>
      <c r="AO103" t="n">
        <v>0</v>
      </c>
      <c r="AP103" t="inlineStr">
        <is>
          <t>Yes</t>
        </is>
      </c>
      <c r="AQ103" t="inlineStr">
        <is>
          <t>No</t>
        </is>
      </c>
      <c r="AR103">
        <f>HYPERLINK("http://catalog.hathitrust.org/Record/001271300","HathiTrust Record")</f>
        <v/>
      </c>
      <c r="AS103">
        <f>HYPERLINK("https://creighton-primo.hosted.exlibrisgroup.com/primo-explore/search?tab=default_tab&amp;search_scope=EVERYTHING&amp;vid=01CRU&amp;lang=en_US&amp;offset=0&amp;query=any,contains,991004275099702656","Catalog Record")</f>
        <v/>
      </c>
      <c r="AT103">
        <f>HYPERLINK("http://www.worldcat.org/oclc/1523352","WorldCat Record")</f>
        <v/>
      </c>
      <c r="AU103" t="inlineStr">
        <is>
          <t>2368460:eng</t>
        </is>
      </c>
      <c r="AV103" t="inlineStr">
        <is>
          <t>1523352</t>
        </is>
      </c>
      <c r="AW103" t="inlineStr">
        <is>
          <t>991004275099702656</t>
        </is>
      </c>
      <c r="AX103" t="inlineStr">
        <is>
          <t>991004275099702656</t>
        </is>
      </c>
      <c r="AY103" t="inlineStr">
        <is>
          <t>2267877780002656</t>
        </is>
      </c>
      <c r="AZ103" t="inlineStr">
        <is>
          <t>BOOK</t>
        </is>
      </c>
      <c r="BC103" t="inlineStr">
        <is>
          <t>32285004903786</t>
        </is>
      </c>
      <c r="BD103" t="inlineStr">
        <is>
          <t>893349818</t>
        </is>
      </c>
    </row>
    <row r="104">
      <c r="A104" t="inlineStr">
        <is>
          <t>No</t>
        </is>
      </c>
      <c r="B104" t="inlineStr">
        <is>
          <t>G530 .T463</t>
        </is>
      </c>
      <c r="C104" t="inlineStr">
        <is>
          <t>0                      G  0530000T  463</t>
        </is>
      </c>
      <c r="D104" t="inlineStr">
        <is>
          <t>Kon-Tiki : across the Pacific by raft / by Thor Heyerdahl ; translated by F.H. Lyon.</t>
        </is>
      </c>
      <c r="F104" t="inlineStr">
        <is>
          <t>No</t>
        </is>
      </c>
      <c r="G104" t="inlineStr">
        <is>
          <t>1</t>
        </is>
      </c>
      <c r="H104" t="inlineStr">
        <is>
          <t>No</t>
        </is>
      </c>
      <c r="I104" t="inlineStr">
        <is>
          <t>No</t>
        </is>
      </c>
      <c r="J104" t="inlineStr">
        <is>
          <t>0</t>
        </is>
      </c>
      <c r="K104" t="inlineStr">
        <is>
          <t>Heyerdahl, Thor.</t>
        </is>
      </c>
      <c r="L104" t="inlineStr">
        <is>
          <t>Garden City, N.Y. : International Collectors Library, c1950.</t>
        </is>
      </c>
      <c r="M104" t="inlineStr">
        <is>
          <t>1950</t>
        </is>
      </c>
      <c r="O104" t="inlineStr">
        <is>
          <t>eng</t>
        </is>
      </c>
      <c r="P104" t="inlineStr">
        <is>
          <t>nyu</t>
        </is>
      </c>
      <c r="R104" t="inlineStr">
        <is>
          <t xml:space="preserve">G  </t>
        </is>
      </c>
      <c r="S104" t="n">
        <v>1</v>
      </c>
      <c r="T104" t="n">
        <v>1</v>
      </c>
      <c r="U104" t="inlineStr">
        <is>
          <t>2000-11-04</t>
        </is>
      </c>
      <c r="V104" t="inlineStr">
        <is>
          <t>2000-11-04</t>
        </is>
      </c>
      <c r="W104" t="inlineStr">
        <is>
          <t>1997-05-21</t>
        </is>
      </c>
      <c r="X104" t="inlineStr">
        <is>
          <t>1997-05-21</t>
        </is>
      </c>
      <c r="Y104" t="n">
        <v>60</v>
      </c>
      <c r="Z104" t="n">
        <v>60</v>
      </c>
      <c r="AA104" t="n">
        <v>991</v>
      </c>
      <c r="AB104" t="n">
        <v>1</v>
      </c>
      <c r="AC104" t="n">
        <v>5</v>
      </c>
      <c r="AD104" t="n">
        <v>2</v>
      </c>
      <c r="AE104" t="n">
        <v>7</v>
      </c>
      <c r="AF104" t="n">
        <v>1</v>
      </c>
      <c r="AG104" t="n">
        <v>3</v>
      </c>
      <c r="AH104" t="n">
        <v>0</v>
      </c>
      <c r="AI104" t="n">
        <v>1</v>
      </c>
      <c r="AJ104" t="n">
        <v>2</v>
      </c>
      <c r="AK104" t="n">
        <v>3</v>
      </c>
      <c r="AL104" t="n">
        <v>0</v>
      </c>
      <c r="AM104" t="n">
        <v>1</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HYPERLINK("https://creighton-primo.hosted.exlibrisgroup.com/primo-explore/search?tab=default_tab&amp;search_scope=EVERYTHING&amp;vid=01CRU&amp;lang=en_US&amp;offset=0&amp;query=any,contains,991000933919702656","Catalog Record")</f>
        <v/>
      </c>
      <c r="AT104">
        <f>HYPERLINK("http://www.worldcat.org/oclc/14350629","WorldCat Record")</f>
        <v/>
      </c>
      <c r="AU104" t="inlineStr">
        <is>
          <t>4928532710:eng</t>
        </is>
      </c>
      <c r="AV104" t="inlineStr">
        <is>
          <t>14350629</t>
        </is>
      </c>
      <c r="AW104" t="inlineStr">
        <is>
          <t>991000933919702656</t>
        </is>
      </c>
      <c r="AX104" t="inlineStr">
        <is>
          <t>991000933919702656</t>
        </is>
      </c>
      <c r="AY104" t="inlineStr">
        <is>
          <t>2263161450002656</t>
        </is>
      </c>
      <c r="AZ104" t="inlineStr">
        <is>
          <t>BOOK</t>
        </is>
      </c>
      <c r="BC104" t="inlineStr">
        <is>
          <t>32285002691714</t>
        </is>
      </c>
      <c r="BD104" t="inlineStr">
        <is>
          <t>893596043</t>
        </is>
      </c>
    </row>
    <row r="105">
      <c r="A105" t="inlineStr">
        <is>
          <t>No</t>
        </is>
      </c>
      <c r="B105" t="inlineStr">
        <is>
          <t>G530.C4 K55 1998</t>
        </is>
      </c>
      <c r="C105" t="inlineStr">
        <is>
          <t>0                      G  0530000C  4                  K  55          1998</t>
        </is>
      </c>
      <c r="D105" t="inlineStr">
        <is>
          <t>Ship of gold in the deep blue sea / Gary Kinder.</t>
        </is>
      </c>
      <c r="F105" t="inlineStr">
        <is>
          <t>No</t>
        </is>
      </c>
      <c r="G105" t="inlineStr">
        <is>
          <t>1</t>
        </is>
      </c>
      <c r="H105" t="inlineStr">
        <is>
          <t>No</t>
        </is>
      </c>
      <c r="I105" t="inlineStr">
        <is>
          <t>No</t>
        </is>
      </c>
      <c r="J105" t="inlineStr">
        <is>
          <t>0</t>
        </is>
      </c>
      <c r="K105" t="inlineStr">
        <is>
          <t>Kinder, Gary.</t>
        </is>
      </c>
      <c r="L105" t="inlineStr">
        <is>
          <t>New York : Atlantic Monthly Press, c1998.</t>
        </is>
      </c>
      <c r="M105" t="inlineStr">
        <is>
          <t>1998</t>
        </is>
      </c>
      <c r="N105" t="inlineStr">
        <is>
          <t>1st ed.</t>
        </is>
      </c>
      <c r="O105" t="inlineStr">
        <is>
          <t>eng</t>
        </is>
      </c>
      <c r="P105" t="inlineStr">
        <is>
          <t>nyu</t>
        </is>
      </c>
      <c r="R105" t="inlineStr">
        <is>
          <t xml:space="preserve">G  </t>
        </is>
      </c>
      <c r="S105" t="n">
        <v>1</v>
      </c>
      <c r="T105" t="n">
        <v>1</v>
      </c>
      <c r="U105" t="inlineStr">
        <is>
          <t>1998-07-28</t>
        </is>
      </c>
      <c r="V105" t="inlineStr">
        <is>
          <t>1998-07-28</t>
        </is>
      </c>
      <c r="W105" t="inlineStr">
        <is>
          <t>1998-07-09</t>
        </is>
      </c>
      <c r="X105" t="inlineStr">
        <is>
          <t>1998-07-09</t>
        </is>
      </c>
      <c r="Y105" t="n">
        <v>1658</v>
      </c>
      <c r="Z105" t="n">
        <v>1625</v>
      </c>
      <c r="AA105" t="n">
        <v>1933</v>
      </c>
      <c r="AB105" t="n">
        <v>11</v>
      </c>
      <c r="AC105" t="n">
        <v>17</v>
      </c>
      <c r="AD105" t="n">
        <v>21</v>
      </c>
      <c r="AE105" t="n">
        <v>26</v>
      </c>
      <c r="AF105" t="n">
        <v>9</v>
      </c>
      <c r="AG105" t="n">
        <v>10</v>
      </c>
      <c r="AH105" t="n">
        <v>4</v>
      </c>
      <c r="AI105" t="n">
        <v>5</v>
      </c>
      <c r="AJ105" t="n">
        <v>8</v>
      </c>
      <c r="AK105" t="n">
        <v>9</v>
      </c>
      <c r="AL105" t="n">
        <v>2</v>
      </c>
      <c r="AM105" t="n">
        <v>5</v>
      </c>
      <c r="AN105" t="n">
        <v>2</v>
      </c>
      <c r="AO105" t="n">
        <v>2</v>
      </c>
      <c r="AP105" t="inlineStr">
        <is>
          <t>No</t>
        </is>
      </c>
      <c r="AQ105" t="inlineStr">
        <is>
          <t>No</t>
        </is>
      </c>
      <c r="AS105">
        <f>HYPERLINK("https://creighton-primo.hosted.exlibrisgroup.com/primo-explore/search?tab=default_tab&amp;search_scope=EVERYTHING&amp;vid=01CRU&amp;lang=en_US&amp;offset=0&amp;query=any,contains,991002887519702656","Catalog Record")</f>
        <v/>
      </c>
      <c r="AT105">
        <f>HYPERLINK("http://www.worldcat.org/oclc/38048517","WorldCat Record")</f>
        <v/>
      </c>
      <c r="AU105" t="inlineStr">
        <is>
          <t>11766688:eng</t>
        </is>
      </c>
      <c r="AV105" t="inlineStr">
        <is>
          <t>38048517</t>
        </is>
      </c>
      <c r="AW105" t="inlineStr">
        <is>
          <t>991002887519702656</t>
        </is>
      </c>
      <c r="AX105" t="inlineStr">
        <is>
          <t>991002887519702656</t>
        </is>
      </c>
      <c r="AY105" t="inlineStr">
        <is>
          <t>2257792850002656</t>
        </is>
      </c>
      <c r="AZ105" t="inlineStr">
        <is>
          <t>BOOK</t>
        </is>
      </c>
      <c r="BB105" t="inlineStr">
        <is>
          <t>9780871134646</t>
        </is>
      </c>
      <c r="BC105" t="inlineStr">
        <is>
          <t>32285003431011</t>
        </is>
      </c>
      <c r="BD105" t="inlineStr">
        <is>
          <t>893352573</t>
        </is>
      </c>
    </row>
    <row r="106">
      <c r="A106" t="inlineStr">
        <is>
          <t>No</t>
        </is>
      </c>
      <c r="B106" t="inlineStr">
        <is>
          <t>G530.F175 C37 2001</t>
        </is>
      </c>
      <c r="C106" t="inlineStr">
        <is>
          <t>0                      G  0530000F  175                C  37          2001</t>
        </is>
      </c>
      <c r="D106" t="inlineStr">
        <is>
          <t>The ship and the storm : Hurricane Mitch and the loss of the Fantome / Jim Carrier.</t>
        </is>
      </c>
      <c r="F106" t="inlineStr">
        <is>
          <t>No</t>
        </is>
      </c>
      <c r="G106" t="inlineStr">
        <is>
          <t>1</t>
        </is>
      </c>
      <c r="H106" t="inlineStr">
        <is>
          <t>No</t>
        </is>
      </c>
      <c r="I106" t="inlineStr">
        <is>
          <t>No</t>
        </is>
      </c>
      <c r="J106" t="inlineStr">
        <is>
          <t>0</t>
        </is>
      </c>
      <c r="K106" t="inlineStr">
        <is>
          <t>Carrier, Jim, 1944-</t>
        </is>
      </c>
      <c r="L106" t="inlineStr">
        <is>
          <t>Camden, Me. : International Marine, c2001.</t>
        </is>
      </c>
      <c r="M106" t="inlineStr">
        <is>
          <t>2001</t>
        </is>
      </c>
      <c r="O106" t="inlineStr">
        <is>
          <t>eng</t>
        </is>
      </c>
      <c r="P106" t="inlineStr">
        <is>
          <t>meu</t>
        </is>
      </c>
      <c r="R106" t="inlineStr">
        <is>
          <t xml:space="preserve">G  </t>
        </is>
      </c>
      <c r="S106" t="n">
        <v>1</v>
      </c>
      <c r="T106" t="n">
        <v>1</v>
      </c>
      <c r="U106" t="inlineStr">
        <is>
          <t>2003-03-24</t>
        </is>
      </c>
      <c r="V106" t="inlineStr">
        <is>
          <t>2003-03-24</t>
        </is>
      </c>
      <c r="W106" t="inlineStr">
        <is>
          <t>2003-03-24</t>
        </is>
      </c>
      <c r="X106" t="inlineStr">
        <is>
          <t>2003-03-24</t>
        </is>
      </c>
      <c r="Y106" t="n">
        <v>383</v>
      </c>
      <c r="Z106" t="n">
        <v>356</v>
      </c>
      <c r="AA106" t="n">
        <v>857</v>
      </c>
      <c r="AB106" t="n">
        <v>2</v>
      </c>
      <c r="AC106" t="n">
        <v>7</v>
      </c>
      <c r="AD106" t="n">
        <v>1</v>
      </c>
      <c r="AE106" t="n">
        <v>11</v>
      </c>
      <c r="AF106" t="n">
        <v>0</v>
      </c>
      <c r="AG106" t="n">
        <v>6</v>
      </c>
      <c r="AH106" t="n">
        <v>0</v>
      </c>
      <c r="AI106" t="n">
        <v>2</v>
      </c>
      <c r="AJ106" t="n">
        <v>1</v>
      </c>
      <c r="AK106" t="n">
        <v>6</v>
      </c>
      <c r="AL106" t="n">
        <v>0</v>
      </c>
      <c r="AM106" t="n">
        <v>1</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HYPERLINK("https://creighton-primo.hosted.exlibrisgroup.com/primo-explore/search?tab=default_tab&amp;search_scope=EVERYTHING&amp;vid=01CRU&amp;lang=en_US&amp;offset=0&amp;query=any,contains,991004017279702656","Catalog Record")</f>
        <v/>
      </c>
      <c r="AT106">
        <f>HYPERLINK("http://www.worldcat.org/oclc/44681806","WorldCat Record")</f>
        <v/>
      </c>
      <c r="AU106" t="inlineStr">
        <is>
          <t>793862036:eng</t>
        </is>
      </c>
      <c r="AV106" t="inlineStr">
        <is>
          <t>44681806</t>
        </is>
      </c>
      <c r="AW106" t="inlineStr">
        <is>
          <t>991004017279702656</t>
        </is>
      </c>
      <c r="AX106" t="inlineStr">
        <is>
          <t>991004017279702656</t>
        </is>
      </c>
      <c r="AY106" t="inlineStr">
        <is>
          <t>2259108060002656</t>
        </is>
      </c>
      <c r="AZ106" t="inlineStr">
        <is>
          <t>BOOK</t>
        </is>
      </c>
      <c r="BB106" t="inlineStr">
        <is>
          <t>9780071355261</t>
        </is>
      </c>
      <c r="BC106" t="inlineStr">
        <is>
          <t>32285004686225</t>
        </is>
      </c>
      <c r="BD106" t="inlineStr">
        <is>
          <t>893875591</t>
        </is>
      </c>
    </row>
    <row r="107">
      <c r="A107" t="inlineStr">
        <is>
          <t>No</t>
        </is>
      </c>
      <c r="B107" t="inlineStr">
        <is>
          <t>G530.G5986 T68 2005</t>
        </is>
      </c>
      <c r="C107" t="inlineStr">
        <is>
          <t>0                      G  0530000G  5986               T  68          2005</t>
        </is>
      </c>
      <c r="D107" t="inlineStr">
        <is>
          <t>Ten hours until dawn : the true story of heroism and tragedy aboard the Can Do / Michael J. Tougias.</t>
        </is>
      </c>
      <c r="F107" t="inlineStr">
        <is>
          <t>No</t>
        </is>
      </c>
      <c r="G107" t="inlineStr">
        <is>
          <t>1</t>
        </is>
      </c>
      <c r="H107" t="inlineStr">
        <is>
          <t>No</t>
        </is>
      </c>
      <c r="I107" t="inlineStr">
        <is>
          <t>No</t>
        </is>
      </c>
      <c r="J107" t="inlineStr">
        <is>
          <t>0</t>
        </is>
      </c>
      <c r="K107" t="inlineStr">
        <is>
          <t>Tougias, Mike, 1955-</t>
        </is>
      </c>
      <c r="L107" t="inlineStr">
        <is>
          <t>New York : St. Martins Press, c2005.</t>
        </is>
      </c>
      <c r="M107" t="inlineStr">
        <is>
          <t>2005</t>
        </is>
      </c>
      <c r="O107" t="inlineStr">
        <is>
          <t>eng</t>
        </is>
      </c>
      <c r="P107" t="inlineStr">
        <is>
          <t>nyu</t>
        </is>
      </c>
      <c r="R107" t="inlineStr">
        <is>
          <t xml:space="preserve">G  </t>
        </is>
      </c>
      <c r="S107" t="n">
        <v>1</v>
      </c>
      <c r="T107" t="n">
        <v>1</v>
      </c>
      <c r="U107" t="inlineStr">
        <is>
          <t>2006-02-14</t>
        </is>
      </c>
      <c r="V107" t="inlineStr">
        <is>
          <t>2006-02-14</t>
        </is>
      </c>
      <c r="W107" t="inlineStr">
        <is>
          <t>2006-02-03</t>
        </is>
      </c>
      <c r="X107" t="inlineStr">
        <is>
          <t>2006-02-03</t>
        </is>
      </c>
      <c r="Y107" t="n">
        <v>655</v>
      </c>
      <c r="Z107" t="n">
        <v>638</v>
      </c>
      <c r="AA107" t="n">
        <v>655</v>
      </c>
      <c r="AB107" t="n">
        <v>2</v>
      </c>
      <c r="AC107" t="n">
        <v>2</v>
      </c>
      <c r="AD107" t="n">
        <v>6</v>
      </c>
      <c r="AE107" t="n">
        <v>6</v>
      </c>
      <c r="AF107" t="n">
        <v>1</v>
      </c>
      <c r="AG107" t="n">
        <v>1</v>
      </c>
      <c r="AH107" t="n">
        <v>3</v>
      </c>
      <c r="AI107" t="n">
        <v>3</v>
      </c>
      <c r="AJ107" t="n">
        <v>4</v>
      </c>
      <c r="AK107" t="n">
        <v>4</v>
      </c>
      <c r="AL107" t="n">
        <v>0</v>
      </c>
      <c r="AM107" t="n">
        <v>0</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HYPERLINK("https://creighton-primo.hosted.exlibrisgroup.com/primo-explore/search?tab=default_tab&amp;search_scope=EVERYTHING&amp;vid=01CRU&amp;lang=en_US&amp;offset=0&amp;query=any,contains,991004732699702656","Catalog Record")</f>
        <v/>
      </c>
      <c r="AT107">
        <f>HYPERLINK("http://www.worldcat.org/oclc/64390615","WorldCat Record")</f>
        <v/>
      </c>
      <c r="AU107" t="inlineStr">
        <is>
          <t>4107317408:eng</t>
        </is>
      </c>
      <c r="AV107" t="inlineStr">
        <is>
          <t>64390615</t>
        </is>
      </c>
      <c r="AW107" t="inlineStr">
        <is>
          <t>991004732699702656</t>
        </is>
      </c>
      <c r="AX107" t="inlineStr">
        <is>
          <t>991004732699702656</t>
        </is>
      </c>
      <c r="AY107" t="inlineStr">
        <is>
          <t>2266741770002656</t>
        </is>
      </c>
      <c r="AZ107" t="inlineStr">
        <is>
          <t>BOOK</t>
        </is>
      </c>
      <c r="BB107" t="inlineStr">
        <is>
          <t>9780312334352</t>
        </is>
      </c>
      <c r="BC107" t="inlineStr">
        <is>
          <t>32285005158828</t>
        </is>
      </c>
      <c r="BD107" t="inlineStr">
        <is>
          <t>893889193</t>
        </is>
      </c>
    </row>
    <row r="108">
      <c r="A108" t="inlineStr">
        <is>
          <t>No</t>
        </is>
      </c>
      <c r="B108" t="inlineStr">
        <is>
          <t>G530.J45 J47 1997</t>
        </is>
      </c>
      <c r="C108" t="inlineStr">
        <is>
          <t>0                      G  0530000J  45                 J  47          1997</t>
        </is>
      </c>
      <c r="D108" t="inlineStr">
        <is>
          <t>Titanic survivor : the newly discovered memoirs of Violet Jessop who survived both the Titanic and Britannic disasters / Violet Jessop ; introduced, edited, and annotated by John Maxtone-Graham.</t>
        </is>
      </c>
      <c r="F108" t="inlineStr">
        <is>
          <t>No</t>
        </is>
      </c>
      <c r="G108" t="inlineStr">
        <is>
          <t>1</t>
        </is>
      </c>
      <c r="H108" t="inlineStr">
        <is>
          <t>No</t>
        </is>
      </c>
      <c r="I108" t="inlineStr">
        <is>
          <t>No</t>
        </is>
      </c>
      <c r="J108" t="inlineStr">
        <is>
          <t>0</t>
        </is>
      </c>
      <c r="K108" t="inlineStr">
        <is>
          <t>Jessop, Violet, 1887-1971.</t>
        </is>
      </c>
      <c r="L108" t="inlineStr">
        <is>
          <t>Dobbs Ferry, NY : Sheridan House, 1997.</t>
        </is>
      </c>
      <c r="M108" t="inlineStr">
        <is>
          <t>1997</t>
        </is>
      </c>
      <c r="O108" t="inlineStr">
        <is>
          <t>eng</t>
        </is>
      </c>
      <c r="P108" t="inlineStr">
        <is>
          <t>nyu</t>
        </is>
      </c>
      <c r="R108" t="inlineStr">
        <is>
          <t xml:space="preserve">G  </t>
        </is>
      </c>
      <c r="S108" t="n">
        <v>2</v>
      </c>
      <c r="T108" t="n">
        <v>2</v>
      </c>
      <c r="U108" t="inlineStr">
        <is>
          <t>2007-04-19</t>
        </is>
      </c>
      <c r="V108" t="inlineStr">
        <is>
          <t>2007-04-19</t>
        </is>
      </c>
      <c r="W108" t="inlineStr">
        <is>
          <t>1998-05-28</t>
        </is>
      </c>
      <c r="X108" t="inlineStr">
        <is>
          <t>1998-05-28</t>
        </is>
      </c>
      <c r="Y108" t="n">
        <v>1165</v>
      </c>
      <c r="Z108" t="n">
        <v>1105</v>
      </c>
      <c r="AA108" t="n">
        <v>1137</v>
      </c>
      <c r="AB108" t="n">
        <v>9</v>
      </c>
      <c r="AC108" t="n">
        <v>10</v>
      </c>
      <c r="AD108" t="n">
        <v>4</v>
      </c>
      <c r="AE108" t="n">
        <v>4</v>
      </c>
      <c r="AF108" t="n">
        <v>1</v>
      </c>
      <c r="AG108" t="n">
        <v>1</v>
      </c>
      <c r="AH108" t="n">
        <v>1</v>
      </c>
      <c r="AI108" t="n">
        <v>1</v>
      </c>
      <c r="AJ108" t="n">
        <v>1</v>
      </c>
      <c r="AK108" t="n">
        <v>1</v>
      </c>
      <c r="AL108" t="n">
        <v>1</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HYPERLINK("https://creighton-primo.hosted.exlibrisgroup.com/primo-explore/search?tab=default_tab&amp;search_scope=EVERYTHING&amp;vid=01CRU&amp;lang=en_US&amp;offset=0&amp;query=any,contains,991002795289702656","Catalog Record")</f>
        <v/>
      </c>
      <c r="AT108">
        <f>HYPERLINK("http://www.worldcat.org/oclc/36713254","WorldCat Record")</f>
        <v/>
      </c>
      <c r="AU108" t="inlineStr">
        <is>
          <t>836931444:eng</t>
        </is>
      </c>
      <c r="AV108" t="inlineStr">
        <is>
          <t>36713254</t>
        </is>
      </c>
      <c r="AW108" t="inlineStr">
        <is>
          <t>991002795289702656</t>
        </is>
      </c>
      <c r="AX108" t="inlineStr">
        <is>
          <t>991002795289702656</t>
        </is>
      </c>
      <c r="AY108" t="inlineStr">
        <is>
          <t>2262444580002656</t>
        </is>
      </c>
      <c r="AZ108" t="inlineStr">
        <is>
          <t>BOOK</t>
        </is>
      </c>
      <c r="BB108" t="inlineStr">
        <is>
          <t>9781574090352</t>
        </is>
      </c>
      <c r="BC108" t="inlineStr">
        <is>
          <t>32285003412227</t>
        </is>
      </c>
      <c r="BD108" t="inlineStr">
        <is>
          <t>893245658</t>
        </is>
      </c>
    </row>
    <row r="109">
      <c r="A109" t="inlineStr">
        <is>
          <t>No</t>
        </is>
      </c>
      <c r="B109" t="inlineStr">
        <is>
          <t>G530.T6 B49 1987</t>
        </is>
      </c>
      <c r="C109" t="inlineStr">
        <is>
          <t>0                      G  0530000T  6                  B  49          1987</t>
        </is>
      </c>
      <c r="D109" t="inlineStr">
        <is>
          <t>The discovery of the Titanic / by Robert D. Ballard ; with Rick Archbold. Introd. by Walter Lord. Illus. of the Titanic by Ken Marschall.</t>
        </is>
      </c>
      <c r="F109" t="inlineStr">
        <is>
          <t>No</t>
        </is>
      </c>
      <c r="G109" t="inlineStr">
        <is>
          <t>1</t>
        </is>
      </c>
      <c r="H109" t="inlineStr">
        <is>
          <t>No</t>
        </is>
      </c>
      <c r="I109" t="inlineStr">
        <is>
          <t>No</t>
        </is>
      </c>
      <c r="J109" t="inlineStr">
        <is>
          <t>0</t>
        </is>
      </c>
      <c r="K109" t="inlineStr">
        <is>
          <t>Ballard, Robert D.</t>
        </is>
      </c>
      <c r="L109" t="inlineStr">
        <is>
          <t>New York, NY : Warner Communications Co. ; Toronto : Madison Press Books, c1987.</t>
        </is>
      </c>
      <c r="M109" t="inlineStr">
        <is>
          <t>1987</t>
        </is>
      </c>
      <c r="O109" t="inlineStr">
        <is>
          <t>eng</t>
        </is>
      </c>
      <c r="P109" t="inlineStr">
        <is>
          <t>nyu</t>
        </is>
      </c>
      <c r="R109" t="inlineStr">
        <is>
          <t xml:space="preserve">G  </t>
        </is>
      </c>
      <c r="S109" t="n">
        <v>24</v>
      </c>
      <c r="T109" t="n">
        <v>24</v>
      </c>
      <c r="U109" t="inlineStr">
        <is>
          <t>1999-10-07</t>
        </is>
      </c>
      <c r="V109" t="inlineStr">
        <is>
          <t>1999-10-07</t>
        </is>
      </c>
      <c r="W109" t="inlineStr">
        <is>
          <t>1990-06-22</t>
        </is>
      </c>
      <c r="X109" t="inlineStr">
        <is>
          <t>1990-06-22</t>
        </is>
      </c>
      <c r="Y109" t="n">
        <v>1949</v>
      </c>
      <c r="Z109" t="n">
        <v>1894</v>
      </c>
      <c r="AA109" t="n">
        <v>2275</v>
      </c>
      <c r="AB109" t="n">
        <v>23</v>
      </c>
      <c r="AC109" t="n">
        <v>27</v>
      </c>
      <c r="AD109" t="n">
        <v>16</v>
      </c>
      <c r="AE109" t="n">
        <v>19</v>
      </c>
      <c r="AF109" t="n">
        <v>8</v>
      </c>
      <c r="AG109" t="n">
        <v>8</v>
      </c>
      <c r="AH109" t="n">
        <v>1</v>
      </c>
      <c r="AI109" t="n">
        <v>1</v>
      </c>
      <c r="AJ109" t="n">
        <v>7</v>
      </c>
      <c r="AK109" t="n">
        <v>8</v>
      </c>
      <c r="AL109" t="n">
        <v>2</v>
      </c>
      <c r="AM109" t="n">
        <v>4</v>
      </c>
      <c r="AN109" t="n">
        <v>1</v>
      </c>
      <c r="AO109" t="n">
        <v>1</v>
      </c>
      <c r="AP109" t="inlineStr">
        <is>
          <t>No</t>
        </is>
      </c>
      <c r="AQ109" t="inlineStr">
        <is>
          <t>No</t>
        </is>
      </c>
      <c r="AS109">
        <f>HYPERLINK("https://creighton-primo.hosted.exlibrisgroup.com/primo-explore/search?tab=default_tab&amp;search_scope=EVERYTHING&amp;vid=01CRU&amp;lang=en_US&amp;offset=0&amp;query=any,contains,991001031429702656","Catalog Record")</f>
        <v/>
      </c>
      <c r="AT109">
        <f>HYPERLINK("http://www.worldcat.org/oclc/15518324","WorldCat Record")</f>
        <v/>
      </c>
      <c r="AU109" t="inlineStr">
        <is>
          <t>10137527:eng</t>
        </is>
      </c>
      <c r="AV109" t="inlineStr">
        <is>
          <t>15518324</t>
        </is>
      </c>
      <c r="AW109" t="inlineStr">
        <is>
          <t>991001031429702656</t>
        </is>
      </c>
      <c r="AX109" t="inlineStr">
        <is>
          <t>991001031429702656</t>
        </is>
      </c>
      <c r="AY109" t="inlineStr">
        <is>
          <t>2264818830002656</t>
        </is>
      </c>
      <c r="AZ109" t="inlineStr">
        <is>
          <t>BOOK</t>
        </is>
      </c>
      <c r="BB109" t="inlineStr">
        <is>
          <t>9780446513852</t>
        </is>
      </c>
      <c r="BC109" t="inlineStr">
        <is>
          <t>32285000212489</t>
        </is>
      </c>
      <c r="BD109" t="inlineStr">
        <is>
          <t>893438814</t>
        </is>
      </c>
    </row>
    <row r="110">
      <c r="A110" t="inlineStr">
        <is>
          <t>No</t>
        </is>
      </c>
      <c r="B110" t="inlineStr">
        <is>
          <t>G530.T6 B5</t>
        </is>
      </c>
      <c r="C110" t="inlineStr">
        <is>
          <t>0                      G  0530000T  6                  B  5</t>
        </is>
      </c>
      <c r="D110" t="inlineStr">
        <is>
          <t>The loss of the S.S. Titanic : its story and its lessons / by Lawrence Beesley ... one of the survivors.</t>
        </is>
      </c>
      <c r="F110" t="inlineStr">
        <is>
          <t>No</t>
        </is>
      </c>
      <c r="G110" t="inlineStr">
        <is>
          <t>1</t>
        </is>
      </c>
      <c r="H110" t="inlineStr">
        <is>
          <t>No</t>
        </is>
      </c>
      <c r="I110" t="inlineStr">
        <is>
          <t>No</t>
        </is>
      </c>
      <c r="J110" t="inlineStr">
        <is>
          <t>0</t>
        </is>
      </c>
      <c r="K110" t="inlineStr">
        <is>
          <t>Beesley, Lawrence, 1877-1967.</t>
        </is>
      </c>
      <c r="L110" t="inlineStr">
        <is>
          <t>Boston ; New York : Houghton Mifflin Company, 1912.</t>
        </is>
      </c>
      <c r="M110" t="inlineStr">
        <is>
          <t>1912</t>
        </is>
      </c>
      <c r="O110" t="inlineStr">
        <is>
          <t>eng</t>
        </is>
      </c>
      <c r="P110" t="inlineStr">
        <is>
          <t>mau</t>
        </is>
      </c>
      <c r="R110" t="inlineStr">
        <is>
          <t xml:space="preserve">G  </t>
        </is>
      </c>
      <c r="S110" t="n">
        <v>19</v>
      </c>
      <c r="T110" t="n">
        <v>19</v>
      </c>
      <c r="U110" t="inlineStr">
        <is>
          <t>2005-01-14</t>
        </is>
      </c>
      <c r="V110" t="inlineStr">
        <is>
          <t>2005-01-14</t>
        </is>
      </c>
      <c r="W110" t="inlineStr">
        <is>
          <t>1990-10-08</t>
        </is>
      </c>
      <c r="X110" t="inlineStr">
        <is>
          <t>1990-10-08</t>
        </is>
      </c>
      <c r="Y110" t="n">
        <v>114</v>
      </c>
      <c r="Z110" t="n">
        <v>110</v>
      </c>
      <c r="AA110" t="n">
        <v>392</v>
      </c>
      <c r="AB110" t="n">
        <v>2</v>
      </c>
      <c r="AC110" t="n">
        <v>4</v>
      </c>
      <c r="AD110" t="n">
        <v>4</v>
      </c>
      <c r="AE110" t="n">
        <v>8</v>
      </c>
      <c r="AF110" t="n">
        <v>1</v>
      </c>
      <c r="AG110" t="n">
        <v>2</v>
      </c>
      <c r="AH110" t="n">
        <v>0</v>
      </c>
      <c r="AI110" t="n">
        <v>1</v>
      </c>
      <c r="AJ110" t="n">
        <v>2</v>
      </c>
      <c r="AK110" t="n">
        <v>4</v>
      </c>
      <c r="AL110" t="n">
        <v>1</v>
      </c>
      <c r="AM110" t="n">
        <v>1</v>
      </c>
      <c r="AN110" t="n">
        <v>0</v>
      </c>
      <c r="AO110" t="n">
        <v>0</v>
      </c>
      <c r="AP110" t="inlineStr">
        <is>
          <t>Yes</t>
        </is>
      </c>
      <c r="AQ110" t="inlineStr">
        <is>
          <t>No</t>
        </is>
      </c>
      <c r="AR110">
        <f>HYPERLINK("http://catalog.hathitrust.org/Record/001271320","HathiTrust Record")</f>
        <v/>
      </c>
      <c r="AS110">
        <f>HYPERLINK("https://creighton-primo.hosted.exlibrisgroup.com/primo-explore/search?tab=default_tab&amp;search_scope=EVERYTHING&amp;vid=01CRU&amp;lang=en_US&amp;offset=0&amp;query=any,contains,991003943599702656","Catalog Record")</f>
        <v/>
      </c>
      <c r="AT110">
        <f>HYPERLINK("http://www.worldcat.org/oclc/1939462","WorldCat Record")</f>
        <v/>
      </c>
      <c r="AU110" t="inlineStr">
        <is>
          <t>1766615:eng</t>
        </is>
      </c>
      <c r="AV110" t="inlineStr">
        <is>
          <t>1939462</t>
        </is>
      </c>
      <c r="AW110" t="inlineStr">
        <is>
          <t>991003943599702656</t>
        </is>
      </c>
      <c r="AX110" t="inlineStr">
        <is>
          <t>991003943599702656</t>
        </is>
      </c>
      <c r="AY110" t="inlineStr">
        <is>
          <t>2260499370002656</t>
        </is>
      </c>
      <c r="AZ110" t="inlineStr">
        <is>
          <t>BOOK</t>
        </is>
      </c>
      <c r="BC110" t="inlineStr">
        <is>
          <t>32285000334242</t>
        </is>
      </c>
      <c r="BD110" t="inlineStr">
        <is>
          <t>893531799</t>
        </is>
      </c>
    </row>
    <row r="111">
      <c r="A111" t="inlineStr">
        <is>
          <t>No</t>
        </is>
      </c>
      <c r="B111" t="inlineStr">
        <is>
          <t>G530.T6 L6 1987</t>
        </is>
      </c>
      <c r="C111" t="inlineStr">
        <is>
          <t>0                      G  0530000T  6                  L  6           1987</t>
        </is>
      </c>
      <c r="D111" t="inlineStr">
        <is>
          <t>A night to remember / by Walter Lord ; illustrated with photos.</t>
        </is>
      </c>
      <c r="F111" t="inlineStr">
        <is>
          <t>No</t>
        </is>
      </c>
      <c r="G111" t="inlineStr">
        <is>
          <t>1</t>
        </is>
      </c>
      <c r="H111" t="inlineStr">
        <is>
          <t>No</t>
        </is>
      </c>
      <c r="I111" t="inlineStr">
        <is>
          <t>No</t>
        </is>
      </c>
      <c r="J111" t="inlineStr">
        <is>
          <t>0</t>
        </is>
      </c>
      <c r="K111" t="inlineStr">
        <is>
          <t>Lord, Walter, 1917-2002.</t>
        </is>
      </c>
      <c r="L111" t="inlineStr">
        <is>
          <t>New York, Amereon House, 1987, c1955.</t>
        </is>
      </c>
      <c r="M111" t="inlineStr">
        <is>
          <t>1987</t>
        </is>
      </c>
      <c r="N111" t="inlineStr">
        <is>
          <t>[1st ed.]</t>
        </is>
      </c>
      <c r="O111" t="inlineStr">
        <is>
          <t>eng</t>
        </is>
      </c>
      <c r="P111" t="inlineStr">
        <is>
          <t>nyu</t>
        </is>
      </c>
      <c r="R111" t="inlineStr">
        <is>
          <t xml:space="preserve">G  </t>
        </is>
      </c>
      <c r="S111" t="n">
        <v>17</v>
      </c>
      <c r="T111" t="n">
        <v>17</v>
      </c>
      <c r="U111" t="inlineStr">
        <is>
          <t>1998-03-19</t>
        </is>
      </c>
      <c r="V111" t="inlineStr">
        <is>
          <t>1998-03-19</t>
        </is>
      </c>
      <c r="W111" t="inlineStr">
        <is>
          <t>1991-12-20</t>
        </is>
      </c>
      <c r="X111" t="inlineStr">
        <is>
          <t>1991-12-20</t>
        </is>
      </c>
      <c r="Y111" t="n">
        <v>288</v>
      </c>
      <c r="Z111" t="n">
        <v>283</v>
      </c>
      <c r="AA111" t="n">
        <v>3853</v>
      </c>
      <c r="AB111" t="n">
        <v>4</v>
      </c>
      <c r="AC111" t="n">
        <v>48</v>
      </c>
      <c r="AD111" t="n">
        <v>2</v>
      </c>
      <c r="AE111" t="n">
        <v>49</v>
      </c>
      <c r="AF111" t="n">
        <v>0</v>
      </c>
      <c r="AG111" t="n">
        <v>23</v>
      </c>
      <c r="AH111" t="n">
        <v>1</v>
      </c>
      <c r="AI111" t="n">
        <v>6</v>
      </c>
      <c r="AJ111" t="n">
        <v>1</v>
      </c>
      <c r="AK111" t="n">
        <v>25</v>
      </c>
      <c r="AL111" t="n">
        <v>0</v>
      </c>
      <c r="AM111" t="n">
        <v>7</v>
      </c>
      <c r="AN111" t="n">
        <v>0</v>
      </c>
      <c r="AO111" t="n">
        <v>0</v>
      </c>
      <c r="AP111" t="inlineStr">
        <is>
          <t>No</t>
        </is>
      </c>
      <c r="AQ111" t="inlineStr">
        <is>
          <t>Yes</t>
        </is>
      </c>
      <c r="AR111">
        <f>HYPERLINK("http://catalog.hathitrust.org/Record/004569078","HathiTrust Record")</f>
        <v/>
      </c>
      <c r="AS111">
        <f>HYPERLINK("https://creighton-primo.hosted.exlibrisgroup.com/primo-explore/search?tab=default_tab&amp;search_scope=EVERYTHING&amp;vid=01CRU&amp;lang=en_US&amp;offset=0&amp;query=any,contains,991001054559702656","Catalog Record")</f>
        <v/>
      </c>
      <c r="AT111">
        <f>HYPERLINK("http://www.worldcat.org/oclc/15681048","WorldCat Record")</f>
        <v/>
      </c>
      <c r="AU111" t="inlineStr">
        <is>
          <t>58216862:eng</t>
        </is>
      </c>
      <c r="AV111" t="inlineStr">
        <is>
          <t>15681048</t>
        </is>
      </c>
      <c r="AW111" t="inlineStr">
        <is>
          <t>991001054559702656</t>
        </is>
      </c>
      <c r="AX111" t="inlineStr">
        <is>
          <t>991001054559702656</t>
        </is>
      </c>
      <c r="AY111" t="inlineStr">
        <is>
          <t>2262334460002656</t>
        </is>
      </c>
      <c r="AZ111" t="inlineStr">
        <is>
          <t>BOOK</t>
        </is>
      </c>
      <c r="BB111" t="inlineStr">
        <is>
          <t>9780848800659</t>
        </is>
      </c>
      <c r="BC111" t="inlineStr">
        <is>
          <t>32285000908441</t>
        </is>
      </c>
      <c r="BD111" t="inlineStr">
        <is>
          <t>893503057</t>
        </is>
      </c>
    </row>
    <row r="112">
      <c r="A112" t="inlineStr">
        <is>
          <t>No</t>
        </is>
      </c>
      <c r="B112" t="inlineStr">
        <is>
          <t>G530.T6 W45 1997</t>
        </is>
      </c>
      <c r="C112" t="inlineStr">
        <is>
          <t>0                      G  0530000T  6                  W  45          1997</t>
        </is>
      </c>
      <c r="D112" t="inlineStr">
        <is>
          <t>Titanic : legacy of the world's greatest ocean liner / by Susan Wels.</t>
        </is>
      </c>
      <c r="F112" t="inlineStr">
        <is>
          <t>No</t>
        </is>
      </c>
      <c r="G112" t="inlineStr">
        <is>
          <t>1</t>
        </is>
      </c>
      <c r="H112" t="inlineStr">
        <is>
          <t>No</t>
        </is>
      </c>
      <c r="I112" t="inlineStr">
        <is>
          <t>No</t>
        </is>
      </c>
      <c r="J112" t="inlineStr">
        <is>
          <t>0</t>
        </is>
      </c>
      <c r="K112" t="inlineStr">
        <is>
          <t>Wels, Susan.</t>
        </is>
      </c>
      <c r="L112" t="inlineStr">
        <is>
          <t>[Alexandria, VA] : Time-Life Books, c1997.</t>
        </is>
      </c>
      <c r="M112" t="inlineStr">
        <is>
          <t>1997</t>
        </is>
      </c>
      <c r="N112" t="inlineStr">
        <is>
          <t>1st ed.</t>
        </is>
      </c>
      <c r="O112" t="inlineStr">
        <is>
          <t>eng</t>
        </is>
      </c>
      <c r="P112" t="inlineStr">
        <is>
          <t>vau</t>
        </is>
      </c>
      <c r="R112" t="inlineStr">
        <is>
          <t xml:space="preserve">G  </t>
        </is>
      </c>
      <c r="S112" t="n">
        <v>6</v>
      </c>
      <c r="T112" t="n">
        <v>6</v>
      </c>
      <c r="U112" t="inlineStr">
        <is>
          <t>2007-04-19</t>
        </is>
      </c>
      <c r="V112" t="inlineStr">
        <is>
          <t>2007-04-19</t>
        </is>
      </c>
      <c r="W112" t="inlineStr">
        <is>
          <t>1998-06-15</t>
        </is>
      </c>
      <c r="X112" t="inlineStr">
        <is>
          <t>1998-06-15</t>
        </is>
      </c>
      <c r="Y112" t="n">
        <v>1811</v>
      </c>
      <c r="Z112" t="n">
        <v>1707</v>
      </c>
      <c r="AA112" t="n">
        <v>1721</v>
      </c>
      <c r="AB112" t="n">
        <v>22</v>
      </c>
      <c r="AC112" t="n">
        <v>22</v>
      </c>
      <c r="AD112" t="n">
        <v>10</v>
      </c>
      <c r="AE112" t="n">
        <v>10</v>
      </c>
      <c r="AF112" t="n">
        <v>6</v>
      </c>
      <c r="AG112" t="n">
        <v>6</v>
      </c>
      <c r="AH112" t="n">
        <v>0</v>
      </c>
      <c r="AI112" t="n">
        <v>0</v>
      </c>
      <c r="AJ112" t="n">
        <v>2</v>
      </c>
      <c r="AK112" t="n">
        <v>2</v>
      </c>
      <c r="AL112" t="n">
        <v>2</v>
      </c>
      <c r="AM112" t="n">
        <v>2</v>
      </c>
      <c r="AN112" t="n">
        <v>1</v>
      </c>
      <c r="AO112" t="n">
        <v>1</v>
      </c>
      <c r="AP112" t="inlineStr">
        <is>
          <t>No</t>
        </is>
      </c>
      <c r="AQ112" t="inlineStr">
        <is>
          <t>No</t>
        </is>
      </c>
      <c r="AS112">
        <f>HYPERLINK("https://creighton-primo.hosted.exlibrisgroup.com/primo-explore/search?tab=default_tab&amp;search_scope=EVERYTHING&amp;vid=01CRU&amp;lang=en_US&amp;offset=0&amp;query=any,contains,991002796359702656","Catalog Record")</f>
        <v/>
      </c>
      <c r="AT112">
        <f>HYPERLINK("http://www.worldcat.org/oclc/36727998","WorldCat Record")</f>
        <v/>
      </c>
      <c r="AU112" t="inlineStr">
        <is>
          <t>344706260:eng</t>
        </is>
      </c>
      <c r="AV112" t="inlineStr">
        <is>
          <t>36727998</t>
        </is>
      </c>
      <c r="AW112" t="inlineStr">
        <is>
          <t>991002796359702656</t>
        </is>
      </c>
      <c r="AX112" t="inlineStr">
        <is>
          <t>991002796359702656</t>
        </is>
      </c>
      <c r="AY112" t="inlineStr">
        <is>
          <t>2254817320002656</t>
        </is>
      </c>
      <c r="AZ112" t="inlineStr">
        <is>
          <t>BOOK</t>
        </is>
      </c>
      <c r="BB112" t="inlineStr">
        <is>
          <t>9780783552613</t>
        </is>
      </c>
      <c r="BC112" t="inlineStr">
        <is>
          <t>32285003420824</t>
        </is>
      </c>
      <c r="BD112" t="inlineStr">
        <is>
          <t>893622742</t>
        </is>
      </c>
    </row>
    <row r="113">
      <c r="A113" t="inlineStr">
        <is>
          <t>No</t>
        </is>
      </c>
      <c r="B113" t="inlineStr">
        <is>
          <t>G530.V442 G37 1999</t>
        </is>
      </c>
      <c r="C113" t="inlineStr">
        <is>
          <t>0                      G  0530000V  442                G  37          1999</t>
        </is>
      </c>
      <c r="D113" t="inlineStr">
        <is>
          <t>Relato de un naufrago : que estuvo diez dias a la deriva en una balsa sin comer ni beber, que fue proclamado heroe de la patria, besado por las reinas de la belleza y hecho rico por la publicidad, y luego aborrecido por el gobierno y olvidado para siempre / Gabriel Garcia Marquez.</t>
        </is>
      </c>
      <c r="F113" t="inlineStr">
        <is>
          <t>No</t>
        </is>
      </c>
      <c r="G113" t="inlineStr">
        <is>
          <t>1</t>
        </is>
      </c>
      <c r="H113" t="inlineStr">
        <is>
          <t>No</t>
        </is>
      </c>
      <c r="I113" t="inlineStr">
        <is>
          <t>Yes</t>
        </is>
      </c>
      <c r="J113" t="inlineStr">
        <is>
          <t>0</t>
        </is>
      </c>
      <c r="K113" t="inlineStr">
        <is>
          <t>García Márquez, Gabriel, 1927-2014.</t>
        </is>
      </c>
      <c r="L113" t="inlineStr">
        <is>
          <t>Barcelona : Tusquets Editores, 1998, c1970.</t>
        </is>
      </c>
      <c r="M113" t="inlineStr">
        <is>
          <t>1999</t>
        </is>
      </c>
      <c r="N113" t="inlineStr">
        <is>
          <t>40. ed.</t>
        </is>
      </c>
      <c r="O113" t="inlineStr">
        <is>
          <t>spa</t>
        </is>
      </c>
      <c r="P113" t="inlineStr">
        <is>
          <t xml:space="preserve">sp </t>
        </is>
      </c>
      <c r="Q113" t="inlineStr">
        <is>
          <t>Cuadernos marginales ; 8</t>
        </is>
      </c>
      <c r="R113" t="inlineStr">
        <is>
          <t xml:space="preserve">G  </t>
        </is>
      </c>
      <c r="S113" t="n">
        <v>2</v>
      </c>
      <c r="T113" t="n">
        <v>2</v>
      </c>
      <c r="U113" t="inlineStr">
        <is>
          <t>2001-05-16</t>
        </is>
      </c>
      <c r="V113" t="inlineStr">
        <is>
          <t>2001-05-16</t>
        </is>
      </c>
      <c r="W113" t="inlineStr">
        <is>
          <t>2001-04-10</t>
        </is>
      </c>
      <c r="X113" t="inlineStr">
        <is>
          <t>2001-04-10</t>
        </is>
      </c>
      <c r="Y113" t="n">
        <v>11</v>
      </c>
      <c r="Z113" t="n">
        <v>10</v>
      </c>
      <c r="AA113" t="n">
        <v>243</v>
      </c>
      <c r="AB113" t="n">
        <v>1</v>
      </c>
      <c r="AC113" t="n">
        <v>3</v>
      </c>
      <c r="AD113" t="n">
        <v>1</v>
      </c>
      <c r="AE113" t="n">
        <v>12</v>
      </c>
      <c r="AF113" t="n">
        <v>0</v>
      </c>
      <c r="AG113" t="n">
        <v>3</v>
      </c>
      <c r="AH113" t="n">
        <v>0</v>
      </c>
      <c r="AI113" t="n">
        <v>3</v>
      </c>
      <c r="AJ113" t="n">
        <v>1</v>
      </c>
      <c r="AK113" t="n">
        <v>7</v>
      </c>
      <c r="AL113" t="n">
        <v>0</v>
      </c>
      <c r="AM113" t="n">
        <v>2</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HYPERLINK("https://creighton-primo.hosted.exlibrisgroup.com/primo-explore/search?tab=default_tab&amp;search_scope=EVERYTHING&amp;vid=01CRU&amp;lang=en_US&amp;offset=0&amp;query=any,contains,991003484349702656","Catalog Record")</f>
        <v/>
      </c>
      <c r="AT113">
        <f>HYPERLINK("http://www.worldcat.org/oclc/45219038","WorldCat Record")</f>
        <v/>
      </c>
      <c r="AU113" t="inlineStr">
        <is>
          <t>5378047988:spa</t>
        </is>
      </c>
      <c r="AV113" t="inlineStr">
        <is>
          <t>45219038</t>
        </is>
      </c>
      <c r="AW113" t="inlineStr">
        <is>
          <t>991003484349702656</t>
        </is>
      </c>
      <c r="AX113" t="inlineStr">
        <is>
          <t>991003484349702656</t>
        </is>
      </c>
      <c r="AY113" t="inlineStr">
        <is>
          <t>2260773060002656</t>
        </is>
      </c>
      <c r="AZ113" t="inlineStr">
        <is>
          <t>BOOK</t>
        </is>
      </c>
      <c r="BB113" t="inlineStr">
        <is>
          <t>9788472230088</t>
        </is>
      </c>
      <c r="BC113" t="inlineStr">
        <is>
          <t>32285004311543</t>
        </is>
      </c>
      <c r="BD113" t="inlineStr">
        <is>
          <t>893604840</t>
        </is>
      </c>
    </row>
    <row r="114">
      <c r="A114" t="inlineStr">
        <is>
          <t>No</t>
        </is>
      </c>
      <c r="B114" t="inlineStr">
        <is>
          <t>G535 .K2</t>
        </is>
      </c>
      <c r="C114" t="inlineStr">
        <is>
          <t>0                      G  0535000K  2</t>
        </is>
      </c>
      <c r="D114" t="inlineStr">
        <is>
          <t>Piracy was a business.</t>
        </is>
      </c>
      <c r="F114" t="inlineStr">
        <is>
          <t>No</t>
        </is>
      </c>
      <c r="G114" t="inlineStr">
        <is>
          <t>1</t>
        </is>
      </c>
      <c r="H114" t="inlineStr">
        <is>
          <t>No</t>
        </is>
      </c>
      <c r="I114" t="inlineStr">
        <is>
          <t>No</t>
        </is>
      </c>
      <c r="J114" t="inlineStr">
        <is>
          <t>0</t>
        </is>
      </c>
      <c r="K114" t="inlineStr">
        <is>
          <t>Karraker, Cyrus Harreld.</t>
        </is>
      </c>
      <c r="L114" t="inlineStr">
        <is>
          <t>Rindge, N.H., R.R. Smith, 1953.</t>
        </is>
      </c>
      <c r="M114" t="inlineStr">
        <is>
          <t>1953</t>
        </is>
      </c>
      <c r="O114" t="inlineStr">
        <is>
          <t>eng</t>
        </is>
      </c>
      <c r="P114" t="inlineStr">
        <is>
          <t>nhu</t>
        </is>
      </c>
      <c r="R114" t="inlineStr">
        <is>
          <t xml:space="preserve">G  </t>
        </is>
      </c>
      <c r="S114" t="n">
        <v>3</v>
      </c>
      <c r="T114" t="n">
        <v>3</v>
      </c>
      <c r="U114" t="inlineStr">
        <is>
          <t>2008-02-20</t>
        </is>
      </c>
      <c r="V114" t="inlineStr">
        <is>
          <t>2008-02-20</t>
        </is>
      </c>
      <c r="W114" t="inlineStr">
        <is>
          <t>1997-05-21</t>
        </is>
      </c>
      <c r="X114" t="inlineStr">
        <is>
          <t>1997-05-21</t>
        </is>
      </c>
      <c r="Y114" t="n">
        <v>320</v>
      </c>
      <c r="Z114" t="n">
        <v>307</v>
      </c>
      <c r="AA114" t="n">
        <v>313</v>
      </c>
      <c r="AB114" t="n">
        <v>4</v>
      </c>
      <c r="AC114" t="n">
        <v>4</v>
      </c>
      <c r="AD114" t="n">
        <v>15</v>
      </c>
      <c r="AE114" t="n">
        <v>15</v>
      </c>
      <c r="AF114" t="n">
        <v>4</v>
      </c>
      <c r="AG114" t="n">
        <v>4</v>
      </c>
      <c r="AH114" t="n">
        <v>3</v>
      </c>
      <c r="AI114" t="n">
        <v>3</v>
      </c>
      <c r="AJ114" t="n">
        <v>8</v>
      </c>
      <c r="AK114" t="n">
        <v>8</v>
      </c>
      <c r="AL114" t="n">
        <v>2</v>
      </c>
      <c r="AM114" t="n">
        <v>2</v>
      </c>
      <c r="AN114" t="n">
        <v>0</v>
      </c>
      <c r="AO114" t="n">
        <v>0</v>
      </c>
      <c r="AP114" t="inlineStr">
        <is>
          <t>Yes</t>
        </is>
      </c>
      <c r="AQ114" t="inlineStr">
        <is>
          <t>No</t>
        </is>
      </c>
      <c r="AR114">
        <f>HYPERLINK("http://catalog.hathitrust.org/Record/007121585","HathiTrust Record")</f>
        <v/>
      </c>
      <c r="AS114">
        <f>HYPERLINK("https://creighton-primo.hosted.exlibrisgroup.com/primo-explore/search?tab=default_tab&amp;search_scope=EVERYTHING&amp;vid=01CRU&amp;lang=en_US&amp;offset=0&amp;query=any,contains,991002411819702656","Catalog Record")</f>
        <v/>
      </c>
      <c r="AT114">
        <f>HYPERLINK("http://www.worldcat.org/oclc/339999","WorldCat Record")</f>
        <v/>
      </c>
      <c r="AU114" t="inlineStr">
        <is>
          <t>1470502:eng</t>
        </is>
      </c>
      <c r="AV114" t="inlineStr">
        <is>
          <t>339999</t>
        </is>
      </c>
      <c r="AW114" t="inlineStr">
        <is>
          <t>991002411819702656</t>
        </is>
      </c>
      <c r="AX114" t="inlineStr">
        <is>
          <t>991002411819702656</t>
        </is>
      </c>
      <c r="AY114" t="inlineStr">
        <is>
          <t>2259203920002656</t>
        </is>
      </c>
      <c r="AZ114" t="inlineStr">
        <is>
          <t>BOOK</t>
        </is>
      </c>
      <c r="BC114" t="inlineStr">
        <is>
          <t>32285002691730</t>
        </is>
      </c>
      <c r="BD114" t="inlineStr">
        <is>
          <t>893245141</t>
        </is>
      </c>
    </row>
    <row r="115">
      <c r="A115" t="inlineStr">
        <is>
          <t>No</t>
        </is>
      </c>
      <c r="B115" t="inlineStr">
        <is>
          <t>G537 .L4</t>
        </is>
      </c>
      <c r="C115" t="inlineStr">
        <is>
          <t>0                      G  0537000L  4</t>
        </is>
      </c>
      <c r="D115" t="inlineStr">
        <is>
          <t>Memoirs of a buccaneer : being a wondrous and unrepentant account of the prodigious adventures and amours of King Louis XIV's loyal servant, Louis Adhemar Timothee Le Golif, known for his singular wound as Borgnefesse, captain of the buccaneers / Told by himself and edited by Gustave Alaux and A. t'Serstevens; translated by Malcolm Barnes.</t>
        </is>
      </c>
      <c r="F115" t="inlineStr">
        <is>
          <t>No</t>
        </is>
      </c>
      <c r="G115" t="inlineStr">
        <is>
          <t>1</t>
        </is>
      </c>
      <c r="H115" t="inlineStr">
        <is>
          <t>No</t>
        </is>
      </c>
      <c r="I115" t="inlineStr">
        <is>
          <t>No</t>
        </is>
      </c>
      <c r="J115" t="inlineStr">
        <is>
          <t>0</t>
        </is>
      </c>
      <c r="K115" t="inlineStr">
        <is>
          <t>Le Golif, Louis Adhemar Timothee, approximately 1640-approximately 1710.</t>
        </is>
      </c>
      <c r="L115" t="inlineStr">
        <is>
          <t>London : George Allen &amp; Unwin Ltd., 1954.</t>
        </is>
      </c>
      <c r="M115" t="inlineStr">
        <is>
          <t>1954</t>
        </is>
      </c>
      <c r="O115" t="inlineStr">
        <is>
          <t>eng</t>
        </is>
      </c>
      <c r="P115" t="inlineStr">
        <is>
          <t>enk</t>
        </is>
      </c>
      <c r="R115" t="inlineStr">
        <is>
          <t xml:space="preserve">G  </t>
        </is>
      </c>
      <c r="S115" t="n">
        <v>1</v>
      </c>
      <c r="T115" t="n">
        <v>1</v>
      </c>
      <c r="U115" t="inlineStr">
        <is>
          <t>2007-02-21</t>
        </is>
      </c>
      <c r="V115" t="inlineStr">
        <is>
          <t>2007-02-21</t>
        </is>
      </c>
      <c r="W115" t="inlineStr">
        <is>
          <t>1996-09-03</t>
        </is>
      </c>
      <c r="X115" t="inlineStr">
        <is>
          <t>1996-09-03</t>
        </is>
      </c>
      <c r="Y115" t="n">
        <v>97</v>
      </c>
      <c r="Z115" t="n">
        <v>78</v>
      </c>
      <c r="AA115" t="n">
        <v>196</v>
      </c>
      <c r="AB115" t="n">
        <v>1</v>
      </c>
      <c r="AC115" t="n">
        <v>2</v>
      </c>
      <c r="AD115" t="n">
        <v>5</v>
      </c>
      <c r="AE115" t="n">
        <v>8</v>
      </c>
      <c r="AF115" t="n">
        <v>2</v>
      </c>
      <c r="AG115" t="n">
        <v>4</v>
      </c>
      <c r="AH115" t="n">
        <v>2</v>
      </c>
      <c r="AI115" t="n">
        <v>2</v>
      </c>
      <c r="AJ115" t="n">
        <v>4</v>
      </c>
      <c r="AK115" t="n">
        <v>4</v>
      </c>
      <c r="AL115" t="n">
        <v>0</v>
      </c>
      <c r="AM115" t="n">
        <v>1</v>
      </c>
      <c r="AN115" t="n">
        <v>0</v>
      </c>
      <c r="AO115" t="n">
        <v>0</v>
      </c>
      <c r="AP115" t="inlineStr">
        <is>
          <t>No</t>
        </is>
      </c>
      <c r="AQ115" t="inlineStr">
        <is>
          <t>Yes</t>
        </is>
      </c>
      <c r="AR115">
        <f>HYPERLINK("http://catalog.hathitrust.org/Record/101584134","HathiTrust Record")</f>
        <v/>
      </c>
      <c r="AS115">
        <f>HYPERLINK("https://creighton-primo.hosted.exlibrisgroup.com/primo-explore/search?tab=default_tab&amp;search_scope=EVERYTHING&amp;vid=01CRU&amp;lang=en_US&amp;offset=0&amp;query=any,contains,991004061749702656","Catalog Record")</f>
        <v/>
      </c>
      <c r="AT115">
        <f>HYPERLINK("http://www.worldcat.org/oclc/2272653","WorldCat Record")</f>
        <v/>
      </c>
      <c r="AU115" t="inlineStr">
        <is>
          <t>432442693:eng</t>
        </is>
      </c>
      <c r="AV115" t="inlineStr">
        <is>
          <t>2272653</t>
        </is>
      </c>
      <c r="AW115" t="inlineStr">
        <is>
          <t>991004061749702656</t>
        </is>
      </c>
      <c r="AX115" t="inlineStr">
        <is>
          <t>991004061749702656</t>
        </is>
      </c>
      <c r="AY115" t="inlineStr">
        <is>
          <t>2267136770002656</t>
        </is>
      </c>
      <c r="AZ115" t="inlineStr">
        <is>
          <t>BOOK</t>
        </is>
      </c>
      <c r="BC115" t="inlineStr">
        <is>
          <t>32285002305281</t>
        </is>
      </c>
      <c r="BD115" t="inlineStr">
        <is>
          <t>893417179</t>
        </is>
      </c>
    </row>
    <row r="116">
      <c r="A116" t="inlineStr">
        <is>
          <t>No</t>
        </is>
      </c>
      <c r="B116" t="inlineStr">
        <is>
          <t>G537.K5 R57 1986</t>
        </is>
      </c>
      <c r="C116" t="inlineStr">
        <is>
          <t>0                      G  0537000K  5                  R  57          1986</t>
        </is>
      </c>
      <c r="D116" t="inlineStr">
        <is>
          <t>Captain Kidd and the war against the pirates / Robert C. Ritchie.</t>
        </is>
      </c>
      <c r="F116" t="inlineStr">
        <is>
          <t>No</t>
        </is>
      </c>
      <c r="G116" t="inlineStr">
        <is>
          <t>1</t>
        </is>
      </c>
      <c r="H116" t="inlineStr">
        <is>
          <t>No</t>
        </is>
      </c>
      <c r="I116" t="inlineStr">
        <is>
          <t>No</t>
        </is>
      </c>
      <c r="J116" t="inlineStr">
        <is>
          <t>0</t>
        </is>
      </c>
      <c r="K116" t="inlineStr">
        <is>
          <t>Ritchie, Robert C., 1938-</t>
        </is>
      </c>
      <c r="L116" t="inlineStr">
        <is>
          <t>Cambridge, Mass. : Harvard University Press, 1986.</t>
        </is>
      </c>
      <c r="M116" t="inlineStr">
        <is>
          <t>1986</t>
        </is>
      </c>
      <c r="O116" t="inlineStr">
        <is>
          <t>eng</t>
        </is>
      </c>
      <c r="P116" t="inlineStr">
        <is>
          <t>mau</t>
        </is>
      </c>
      <c r="R116" t="inlineStr">
        <is>
          <t xml:space="preserve">G  </t>
        </is>
      </c>
      <c r="S116" t="n">
        <v>3</v>
      </c>
      <c r="T116" t="n">
        <v>3</v>
      </c>
      <c r="U116" t="inlineStr">
        <is>
          <t>2008-02-19</t>
        </is>
      </c>
      <c r="V116" t="inlineStr">
        <is>
          <t>2008-02-19</t>
        </is>
      </c>
      <c r="W116" t="inlineStr">
        <is>
          <t>1991-12-20</t>
        </is>
      </c>
      <c r="X116" t="inlineStr">
        <is>
          <t>1991-12-20</t>
        </is>
      </c>
      <c r="Y116" t="n">
        <v>1231</v>
      </c>
      <c r="Z116" t="n">
        <v>1111</v>
      </c>
      <c r="AA116" t="n">
        <v>1131</v>
      </c>
      <c r="AB116" t="n">
        <v>9</v>
      </c>
      <c r="AC116" t="n">
        <v>9</v>
      </c>
      <c r="AD116" t="n">
        <v>34</v>
      </c>
      <c r="AE116" t="n">
        <v>34</v>
      </c>
      <c r="AF116" t="n">
        <v>13</v>
      </c>
      <c r="AG116" t="n">
        <v>13</v>
      </c>
      <c r="AH116" t="n">
        <v>8</v>
      </c>
      <c r="AI116" t="n">
        <v>8</v>
      </c>
      <c r="AJ116" t="n">
        <v>17</v>
      </c>
      <c r="AK116" t="n">
        <v>17</v>
      </c>
      <c r="AL116" t="n">
        <v>4</v>
      </c>
      <c r="AM116" t="n">
        <v>4</v>
      </c>
      <c r="AN116" t="n">
        <v>1</v>
      </c>
      <c r="AO116" t="n">
        <v>1</v>
      </c>
      <c r="AP116" t="inlineStr">
        <is>
          <t>No</t>
        </is>
      </c>
      <c r="AQ116" t="inlineStr">
        <is>
          <t>No</t>
        </is>
      </c>
      <c r="AS116">
        <f>HYPERLINK("https://creighton-primo.hosted.exlibrisgroup.com/primo-explore/search?tab=default_tab&amp;search_scope=EVERYTHING&amp;vid=01CRU&amp;lang=en_US&amp;offset=0&amp;query=any,contains,991000818019702656","Catalog Record")</f>
        <v/>
      </c>
      <c r="AT116">
        <f>HYPERLINK("http://www.worldcat.org/oclc/13361012","WorldCat Record")</f>
        <v/>
      </c>
      <c r="AU116" t="inlineStr">
        <is>
          <t>87417:eng</t>
        </is>
      </c>
      <c r="AV116" t="inlineStr">
        <is>
          <t>13361012</t>
        </is>
      </c>
      <c r="AW116" t="inlineStr">
        <is>
          <t>991000818019702656</t>
        </is>
      </c>
      <c r="AX116" t="inlineStr">
        <is>
          <t>991000818019702656</t>
        </is>
      </c>
      <c r="AY116" t="inlineStr">
        <is>
          <t>2271939520002656</t>
        </is>
      </c>
      <c r="AZ116" t="inlineStr">
        <is>
          <t>BOOK</t>
        </is>
      </c>
      <c r="BB116" t="inlineStr">
        <is>
          <t>9780674095014</t>
        </is>
      </c>
      <c r="BC116" t="inlineStr">
        <is>
          <t>32285000892314</t>
        </is>
      </c>
      <c r="BD116" t="inlineStr">
        <is>
          <t>893502838</t>
        </is>
      </c>
    </row>
    <row r="117">
      <c r="A117" t="inlineStr">
        <is>
          <t>No</t>
        </is>
      </c>
      <c r="B117" t="inlineStr">
        <is>
          <t>G585.A6 A3</t>
        </is>
      </c>
      <c r="C117" t="inlineStr">
        <is>
          <t>0                      G  0585000A  6                  A  3</t>
        </is>
      </c>
      <c r="D117" t="inlineStr">
        <is>
          <t>Roald Amundsen - my life as an explorer.</t>
        </is>
      </c>
      <c r="F117" t="inlineStr">
        <is>
          <t>No</t>
        </is>
      </c>
      <c r="G117" t="inlineStr">
        <is>
          <t>1</t>
        </is>
      </c>
      <c r="H117" t="inlineStr">
        <is>
          <t>No</t>
        </is>
      </c>
      <c r="I117" t="inlineStr">
        <is>
          <t>No</t>
        </is>
      </c>
      <c r="J117" t="inlineStr">
        <is>
          <t>0</t>
        </is>
      </c>
      <c r="K117" t="inlineStr">
        <is>
          <t>Amundsen, Roald, 1872-1928.</t>
        </is>
      </c>
      <c r="L117" t="inlineStr">
        <is>
          <t>Garden City, N. Y., Doubleday, Page &amp; company, 1927.</t>
        </is>
      </c>
      <c r="M117" t="inlineStr">
        <is>
          <t>1927</t>
        </is>
      </c>
      <c r="O117" t="inlineStr">
        <is>
          <t>eng</t>
        </is>
      </c>
      <c r="P117" t="inlineStr">
        <is>
          <t>nyu</t>
        </is>
      </c>
      <c r="R117" t="inlineStr">
        <is>
          <t xml:space="preserve">G  </t>
        </is>
      </c>
      <c r="S117" t="n">
        <v>1</v>
      </c>
      <c r="T117" t="n">
        <v>1</v>
      </c>
      <c r="U117" t="inlineStr">
        <is>
          <t>2009-01-08</t>
        </is>
      </c>
      <c r="V117" t="inlineStr">
        <is>
          <t>2009-01-08</t>
        </is>
      </c>
      <c r="W117" t="inlineStr">
        <is>
          <t>1997-05-22</t>
        </is>
      </c>
      <c r="X117" t="inlineStr">
        <is>
          <t>1997-05-22</t>
        </is>
      </c>
      <c r="Y117" t="n">
        <v>287</v>
      </c>
      <c r="Z117" t="n">
        <v>266</v>
      </c>
      <c r="AA117" t="n">
        <v>401</v>
      </c>
      <c r="AB117" t="n">
        <v>7</v>
      </c>
      <c r="AC117" t="n">
        <v>7</v>
      </c>
      <c r="AD117" t="n">
        <v>12</v>
      </c>
      <c r="AE117" t="n">
        <v>16</v>
      </c>
      <c r="AF117" t="n">
        <v>1</v>
      </c>
      <c r="AG117" t="n">
        <v>2</v>
      </c>
      <c r="AH117" t="n">
        <v>3</v>
      </c>
      <c r="AI117" t="n">
        <v>5</v>
      </c>
      <c r="AJ117" t="n">
        <v>5</v>
      </c>
      <c r="AK117" t="n">
        <v>7</v>
      </c>
      <c r="AL117" t="n">
        <v>5</v>
      </c>
      <c r="AM117" t="n">
        <v>5</v>
      </c>
      <c r="AN117" t="n">
        <v>0</v>
      </c>
      <c r="AO117" t="n">
        <v>0</v>
      </c>
      <c r="AP117" t="inlineStr">
        <is>
          <t>No</t>
        </is>
      </c>
      <c r="AQ117" t="inlineStr">
        <is>
          <t>Yes</t>
        </is>
      </c>
      <c r="AR117">
        <f>HYPERLINK("http://catalog.hathitrust.org/Record/001271424","HathiTrust Record")</f>
        <v/>
      </c>
      <c r="AS117">
        <f>HYPERLINK("https://creighton-primo.hosted.exlibrisgroup.com/primo-explore/search?tab=default_tab&amp;search_scope=EVERYTHING&amp;vid=01CRU&amp;lang=en_US&amp;offset=0&amp;query=any,contains,991003656939702656","Catalog Record")</f>
        <v/>
      </c>
      <c r="AT117">
        <f>HYPERLINK("http://www.worldcat.org/oclc/1262597","WorldCat Record")</f>
        <v/>
      </c>
      <c r="AU117" t="inlineStr">
        <is>
          <t>3855305071:eng</t>
        </is>
      </c>
      <c r="AV117" t="inlineStr">
        <is>
          <t>1262597</t>
        </is>
      </c>
      <c r="AW117" t="inlineStr">
        <is>
          <t>991003656939702656</t>
        </is>
      </c>
      <c r="AX117" t="inlineStr">
        <is>
          <t>991003656939702656</t>
        </is>
      </c>
      <c r="AY117" t="inlineStr">
        <is>
          <t>2263144710002656</t>
        </is>
      </c>
      <c r="AZ117" t="inlineStr">
        <is>
          <t>BOOK</t>
        </is>
      </c>
      <c r="BC117" t="inlineStr">
        <is>
          <t>32285002691862</t>
        </is>
      </c>
      <c r="BD117" t="inlineStr">
        <is>
          <t>893441542</t>
        </is>
      </c>
    </row>
    <row r="118">
      <c r="A118" t="inlineStr">
        <is>
          <t>No</t>
        </is>
      </c>
      <c r="B118" t="inlineStr">
        <is>
          <t>G606 .M39 2007</t>
        </is>
      </c>
      <c r="C118" t="inlineStr">
        <is>
          <t>0                      G  0606000M  39          2007</t>
        </is>
      </c>
      <c r="D118" t="inlineStr">
        <is>
          <t>The last imaginary place : a human history of the Arctic world / Robert McGhee.</t>
        </is>
      </c>
      <c r="F118" t="inlineStr">
        <is>
          <t>No</t>
        </is>
      </c>
      <c r="G118" t="inlineStr">
        <is>
          <t>1</t>
        </is>
      </c>
      <c r="H118" t="inlineStr">
        <is>
          <t>No</t>
        </is>
      </c>
      <c r="I118" t="inlineStr">
        <is>
          <t>No</t>
        </is>
      </c>
      <c r="J118" t="inlineStr">
        <is>
          <t>0</t>
        </is>
      </c>
      <c r="K118" t="inlineStr">
        <is>
          <t>McGhee, Robert.</t>
        </is>
      </c>
      <c r="L118" t="inlineStr">
        <is>
          <t>Chicago : University of Chicago Press, 2007.</t>
        </is>
      </c>
      <c r="M118" t="inlineStr">
        <is>
          <t>2007</t>
        </is>
      </c>
      <c r="N118" t="inlineStr">
        <is>
          <t>University of Chicago Press ed.</t>
        </is>
      </c>
      <c r="O118" t="inlineStr">
        <is>
          <t>eng</t>
        </is>
      </c>
      <c r="P118" t="inlineStr">
        <is>
          <t>ilu</t>
        </is>
      </c>
      <c r="R118" t="inlineStr">
        <is>
          <t xml:space="preserve">G  </t>
        </is>
      </c>
      <c r="S118" t="n">
        <v>2</v>
      </c>
      <c r="T118" t="n">
        <v>2</v>
      </c>
      <c r="U118" t="inlineStr">
        <is>
          <t>2010-07-21</t>
        </is>
      </c>
      <c r="V118" t="inlineStr">
        <is>
          <t>2010-07-21</t>
        </is>
      </c>
      <c r="W118" t="inlineStr">
        <is>
          <t>2008-04-01</t>
        </is>
      </c>
      <c r="X118" t="inlineStr">
        <is>
          <t>2008-04-01</t>
        </is>
      </c>
      <c r="Y118" t="n">
        <v>131</v>
      </c>
      <c r="Z118" t="n">
        <v>106</v>
      </c>
      <c r="AA118" t="n">
        <v>836</v>
      </c>
      <c r="AB118" t="n">
        <v>1</v>
      </c>
      <c r="AC118" t="n">
        <v>13</v>
      </c>
      <c r="AD118" t="n">
        <v>2</v>
      </c>
      <c r="AE118" t="n">
        <v>20</v>
      </c>
      <c r="AF118" t="n">
        <v>1</v>
      </c>
      <c r="AG118" t="n">
        <v>3</v>
      </c>
      <c r="AH118" t="n">
        <v>1</v>
      </c>
      <c r="AI118" t="n">
        <v>4</v>
      </c>
      <c r="AJ118" t="n">
        <v>0</v>
      </c>
      <c r="AK118" t="n">
        <v>5</v>
      </c>
      <c r="AL118" t="n">
        <v>0</v>
      </c>
      <c r="AM118" t="n">
        <v>10</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HYPERLINK("https://creighton-primo.hosted.exlibrisgroup.com/primo-explore/search?tab=default_tab&amp;search_scope=EVERYTHING&amp;vid=01CRU&amp;lang=en_US&amp;offset=0&amp;query=any,contains,991005195979702656","Catalog Record")</f>
        <v/>
      </c>
      <c r="AT118">
        <f>HYPERLINK("http://www.worldcat.org/oclc/85813772","WorldCat Record")</f>
        <v/>
      </c>
      <c r="AU118" t="inlineStr">
        <is>
          <t>795572455:eng</t>
        </is>
      </c>
      <c r="AV118" t="inlineStr">
        <is>
          <t>85813772</t>
        </is>
      </c>
      <c r="AW118" t="inlineStr">
        <is>
          <t>991005195979702656</t>
        </is>
      </c>
      <c r="AX118" t="inlineStr">
        <is>
          <t>991005195979702656</t>
        </is>
      </c>
      <c r="AY118" t="inlineStr">
        <is>
          <t>2266175840002656</t>
        </is>
      </c>
      <c r="AZ118" t="inlineStr">
        <is>
          <t>BOOK</t>
        </is>
      </c>
      <c r="BB118" t="inlineStr">
        <is>
          <t>9780226500898</t>
        </is>
      </c>
      <c r="BC118" t="inlineStr">
        <is>
          <t>32285005400121</t>
        </is>
      </c>
      <c r="BD118" t="inlineStr">
        <is>
          <t>893254624</t>
        </is>
      </c>
    </row>
    <row r="119">
      <c r="A119" t="inlineStr">
        <is>
          <t>No</t>
        </is>
      </c>
      <c r="B119" t="inlineStr">
        <is>
          <t>G608 .B75</t>
        </is>
      </c>
      <c r="C119" t="inlineStr">
        <is>
          <t>0                      G  0608000B  75</t>
        </is>
      </c>
      <c r="D119" t="inlineStr">
        <is>
          <t>The Arctic : photography and text / by Fred Bruemmer.</t>
        </is>
      </c>
      <c r="F119" t="inlineStr">
        <is>
          <t>No</t>
        </is>
      </c>
      <c r="G119" t="inlineStr">
        <is>
          <t>1</t>
        </is>
      </c>
      <c r="H119" t="inlineStr">
        <is>
          <t>No</t>
        </is>
      </c>
      <c r="I119" t="inlineStr">
        <is>
          <t>No</t>
        </is>
      </c>
      <c r="J119" t="inlineStr">
        <is>
          <t>0</t>
        </is>
      </c>
      <c r="K119" t="inlineStr">
        <is>
          <t>Bruemmer, Fred.</t>
        </is>
      </c>
      <c r="L119" t="inlineStr">
        <is>
          <t>New York : Quadrangle/New York Times Book Co., [1974]</t>
        </is>
      </c>
      <c r="M119" t="inlineStr">
        <is>
          <t>1974</t>
        </is>
      </c>
      <c r="O119" t="inlineStr">
        <is>
          <t>eng</t>
        </is>
      </c>
      <c r="P119" t="inlineStr">
        <is>
          <t>nyu</t>
        </is>
      </c>
      <c r="R119" t="inlineStr">
        <is>
          <t xml:space="preserve">G  </t>
        </is>
      </c>
      <c r="S119" t="n">
        <v>1</v>
      </c>
      <c r="T119" t="n">
        <v>1</v>
      </c>
      <c r="U119" t="inlineStr">
        <is>
          <t>2010-05-19</t>
        </is>
      </c>
      <c r="V119" t="inlineStr">
        <is>
          <t>2010-05-19</t>
        </is>
      </c>
      <c r="W119" t="inlineStr">
        <is>
          <t>1997-05-22</t>
        </is>
      </c>
      <c r="X119" t="inlineStr">
        <is>
          <t>1997-05-22</t>
        </is>
      </c>
      <c r="Y119" t="n">
        <v>409</v>
      </c>
      <c r="Z119" t="n">
        <v>369</v>
      </c>
      <c r="AA119" t="n">
        <v>493</v>
      </c>
      <c r="AB119" t="n">
        <v>4</v>
      </c>
      <c r="AC119" t="n">
        <v>5</v>
      </c>
      <c r="AD119" t="n">
        <v>5</v>
      </c>
      <c r="AE119" t="n">
        <v>6</v>
      </c>
      <c r="AF119" t="n">
        <v>0</v>
      </c>
      <c r="AG119" t="n">
        <v>0</v>
      </c>
      <c r="AH119" t="n">
        <v>2</v>
      </c>
      <c r="AI119" t="n">
        <v>2</v>
      </c>
      <c r="AJ119" t="n">
        <v>2</v>
      </c>
      <c r="AK119" t="n">
        <v>2</v>
      </c>
      <c r="AL119" t="n">
        <v>3</v>
      </c>
      <c r="AM119" t="n">
        <v>4</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HYPERLINK("https://creighton-primo.hosted.exlibrisgroup.com/primo-explore/search?tab=default_tab&amp;search_scope=EVERYTHING&amp;vid=01CRU&amp;lang=en_US&amp;offset=0&amp;query=any,contains,991003651969702656","Catalog Record")</f>
        <v/>
      </c>
      <c r="AT119">
        <f>HYPERLINK("http://www.worldcat.org/oclc/1255972","WorldCat Record")</f>
        <v/>
      </c>
      <c r="AU119" t="inlineStr">
        <is>
          <t>2230294:eng</t>
        </is>
      </c>
      <c r="AV119" t="inlineStr">
        <is>
          <t>1255972</t>
        </is>
      </c>
      <c r="AW119" t="inlineStr">
        <is>
          <t>991003651969702656</t>
        </is>
      </c>
      <c r="AX119" t="inlineStr">
        <is>
          <t>991003651969702656</t>
        </is>
      </c>
      <c r="AY119" t="inlineStr">
        <is>
          <t>2257831850002656</t>
        </is>
      </c>
      <c r="AZ119" t="inlineStr">
        <is>
          <t>BOOK</t>
        </is>
      </c>
      <c r="BB119" t="inlineStr">
        <is>
          <t>9780812905083</t>
        </is>
      </c>
      <c r="BC119" t="inlineStr">
        <is>
          <t>32285002691953</t>
        </is>
      </c>
      <c r="BD119" t="inlineStr">
        <is>
          <t>893318226</t>
        </is>
      </c>
    </row>
    <row r="120">
      <c r="A120" t="inlineStr">
        <is>
          <t>No</t>
        </is>
      </c>
      <c r="B120" t="inlineStr">
        <is>
          <t>G625 .S3</t>
        </is>
      </c>
      <c r="C120" t="inlineStr">
        <is>
          <t>0                      G  0625000S  3</t>
        </is>
      </c>
      <c r="D120" t="inlineStr">
        <is>
          <t>From Franklin to Nansen, tales of Arctic adventure, retold by G. Firth Scott ...</t>
        </is>
      </c>
      <c r="F120" t="inlineStr">
        <is>
          <t>No</t>
        </is>
      </c>
      <c r="G120" t="inlineStr">
        <is>
          <t>1</t>
        </is>
      </c>
      <c r="H120" t="inlineStr">
        <is>
          <t>No</t>
        </is>
      </c>
      <c r="I120" t="inlineStr">
        <is>
          <t>No</t>
        </is>
      </c>
      <c r="J120" t="inlineStr">
        <is>
          <t>0</t>
        </is>
      </c>
      <c r="K120" t="inlineStr">
        <is>
          <t>Scott, G. Firth.</t>
        </is>
      </c>
      <c r="L120" t="inlineStr">
        <is>
          <t>London, C. Arthur Pearson [1899]</t>
        </is>
      </c>
      <c r="M120" t="inlineStr">
        <is>
          <t>1899</t>
        </is>
      </c>
      <c r="N120" t="inlineStr">
        <is>
          <t>New edition.</t>
        </is>
      </c>
      <c r="O120" t="inlineStr">
        <is>
          <t>eng</t>
        </is>
      </c>
      <c r="P120" t="inlineStr">
        <is>
          <t>enk</t>
        </is>
      </c>
      <c r="R120" t="inlineStr">
        <is>
          <t xml:space="preserve">G  </t>
        </is>
      </c>
      <c r="S120" t="n">
        <v>1</v>
      </c>
      <c r="T120" t="n">
        <v>1</v>
      </c>
      <c r="U120" t="inlineStr">
        <is>
          <t>2004-06-30</t>
        </is>
      </c>
      <c r="V120" t="inlineStr">
        <is>
          <t>2004-06-30</t>
        </is>
      </c>
      <c r="W120" t="inlineStr">
        <is>
          <t>1997-05-22</t>
        </is>
      </c>
      <c r="X120" t="inlineStr">
        <is>
          <t>1997-05-22</t>
        </is>
      </c>
      <c r="Y120" t="n">
        <v>8</v>
      </c>
      <c r="Z120" t="n">
        <v>3</v>
      </c>
      <c r="AA120" t="n">
        <v>21</v>
      </c>
      <c r="AB120" t="n">
        <v>1</v>
      </c>
      <c r="AC120" t="n">
        <v>1</v>
      </c>
      <c r="AD120" t="n">
        <v>0</v>
      </c>
      <c r="AE120" t="n">
        <v>1</v>
      </c>
      <c r="AF120" t="n">
        <v>0</v>
      </c>
      <c r="AG120" t="n">
        <v>1</v>
      </c>
      <c r="AH120" t="n">
        <v>0</v>
      </c>
      <c r="AI120" t="n">
        <v>0</v>
      </c>
      <c r="AJ120" t="n">
        <v>0</v>
      </c>
      <c r="AK120" t="n">
        <v>0</v>
      </c>
      <c r="AL120" t="n">
        <v>0</v>
      </c>
      <c r="AM120" t="n">
        <v>0</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HYPERLINK("https://creighton-primo.hosted.exlibrisgroup.com/primo-explore/search?tab=default_tab&amp;search_scope=EVERYTHING&amp;vid=01CRU&amp;lang=en_US&amp;offset=0&amp;query=any,contains,991001022779702656","Catalog Record")</f>
        <v/>
      </c>
      <c r="AT120">
        <f>HYPERLINK("http://www.worldcat.org/oclc/15389905","WorldCat Record")</f>
        <v/>
      </c>
      <c r="AU120" t="inlineStr">
        <is>
          <t>2287135239:eng</t>
        </is>
      </c>
      <c r="AV120" t="inlineStr">
        <is>
          <t>15389905</t>
        </is>
      </c>
      <c r="AW120" t="inlineStr">
        <is>
          <t>991001022779702656</t>
        </is>
      </c>
      <c r="AX120" t="inlineStr">
        <is>
          <t>991001022779702656</t>
        </is>
      </c>
      <c r="AY120" t="inlineStr">
        <is>
          <t>2265056100002656</t>
        </is>
      </c>
      <c r="AZ120" t="inlineStr">
        <is>
          <t>BOOK</t>
        </is>
      </c>
      <c r="BC120" t="inlineStr">
        <is>
          <t>32285002692043</t>
        </is>
      </c>
      <c r="BD120" t="inlineStr">
        <is>
          <t>893865903</t>
        </is>
      </c>
    </row>
    <row r="121">
      <c r="A121" t="inlineStr">
        <is>
          <t>No</t>
        </is>
      </c>
      <c r="B121" t="inlineStr">
        <is>
          <t>G630.G7 D38 2000</t>
        </is>
      </c>
      <c r="C121" t="inlineStr">
        <is>
          <t>0                      G  0630000G  7                  D  38          2000</t>
        </is>
      </c>
      <c r="D121" t="inlineStr">
        <is>
          <t>The Arctic in the British imagination, 1818-1914 / Robert G. David.</t>
        </is>
      </c>
      <c r="F121" t="inlineStr">
        <is>
          <t>No</t>
        </is>
      </c>
      <c r="G121" t="inlineStr">
        <is>
          <t>1</t>
        </is>
      </c>
      <c r="H121" t="inlineStr">
        <is>
          <t>No</t>
        </is>
      </c>
      <c r="I121" t="inlineStr">
        <is>
          <t>No</t>
        </is>
      </c>
      <c r="J121" t="inlineStr">
        <is>
          <t>0</t>
        </is>
      </c>
      <c r="K121" t="inlineStr">
        <is>
          <t>David, Robert G.</t>
        </is>
      </c>
      <c r="L121" t="inlineStr">
        <is>
          <t>Manchester : Manchester University Press, 2000.</t>
        </is>
      </c>
      <c r="M121" t="inlineStr">
        <is>
          <t>2000</t>
        </is>
      </c>
      <c r="O121" t="inlineStr">
        <is>
          <t>eng</t>
        </is>
      </c>
      <c r="P121" t="inlineStr">
        <is>
          <t>enk</t>
        </is>
      </c>
      <c r="Q121" t="inlineStr">
        <is>
          <t>Studies in imperialism</t>
        </is>
      </c>
      <c r="R121" t="inlineStr">
        <is>
          <t xml:space="preserve">G  </t>
        </is>
      </c>
      <c r="S121" t="n">
        <v>1</v>
      </c>
      <c r="T121" t="n">
        <v>1</v>
      </c>
      <c r="U121" t="inlineStr">
        <is>
          <t>2002-03-25</t>
        </is>
      </c>
      <c r="V121" t="inlineStr">
        <is>
          <t>2002-03-25</t>
        </is>
      </c>
      <c r="W121" t="inlineStr">
        <is>
          <t>2002-03-04</t>
        </is>
      </c>
      <c r="X121" t="inlineStr">
        <is>
          <t>2002-03-04</t>
        </is>
      </c>
      <c r="Y121" t="n">
        <v>221</v>
      </c>
      <c r="Z121" t="n">
        <v>147</v>
      </c>
      <c r="AA121" t="n">
        <v>149</v>
      </c>
      <c r="AB121" t="n">
        <v>1</v>
      </c>
      <c r="AC121" t="n">
        <v>1</v>
      </c>
      <c r="AD121" t="n">
        <v>5</v>
      </c>
      <c r="AE121" t="n">
        <v>5</v>
      </c>
      <c r="AF121" t="n">
        <v>0</v>
      </c>
      <c r="AG121" t="n">
        <v>0</v>
      </c>
      <c r="AH121" t="n">
        <v>3</v>
      </c>
      <c r="AI121" t="n">
        <v>3</v>
      </c>
      <c r="AJ121" t="n">
        <v>5</v>
      </c>
      <c r="AK121" t="n">
        <v>5</v>
      </c>
      <c r="AL121" t="n">
        <v>0</v>
      </c>
      <c r="AM121" t="n">
        <v>0</v>
      </c>
      <c r="AN121" t="n">
        <v>0</v>
      </c>
      <c r="AO121" t="n">
        <v>0</v>
      </c>
      <c r="AP121" t="inlineStr">
        <is>
          <t>No</t>
        </is>
      </c>
      <c r="AQ121" t="inlineStr">
        <is>
          <t>Yes</t>
        </is>
      </c>
      <c r="AR121">
        <f>HYPERLINK("http://catalog.hathitrust.org/Record/004140871","HathiTrust Record")</f>
        <v/>
      </c>
      <c r="AS121">
        <f>HYPERLINK("https://creighton-primo.hosted.exlibrisgroup.com/primo-explore/search?tab=default_tab&amp;search_scope=EVERYTHING&amp;vid=01CRU&amp;lang=en_US&amp;offset=0&amp;query=any,contains,991003732019702656","Catalog Record")</f>
        <v/>
      </c>
      <c r="AT121">
        <f>HYPERLINK("http://www.worldcat.org/oclc/44915188","WorldCat Record")</f>
        <v/>
      </c>
      <c r="AU121" t="inlineStr">
        <is>
          <t>20750957:eng</t>
        </is>
      </c>
      <c r="AV121" t="inlineStr">
        <is>
          <t>44915188</t>
        </is>
      </c>
      <c r="AW121" t="inlineStr">
        <is>
          <t>991003732019702656</t>
        </is>
      </c>
      <c r="AX121" t="inlineStr">
        <is>
          <t>991003732019702656</t>
        </is>
      </c>
      <c r="AY121" t="inlineStr">
        <is>
          <t>2266548200002656</t>
        </is>
      </c>
      <c r="AZ121" t="inlineStr">
        <is>
          <t>BOOK</t>
        </is>
      </c>
      <c r="BB121" t="inlineStr">
        <is>
          <t>9780719059438</t>
        </is>
      </c>
      <c r="BC121" t="inlineStr">
        <is>
          <t>32285004459102</t>
        </is>
      </c>
      <c r="BD121" t="inlineStr">
        <is>
          <t>893693083</t>
        </is>
      </c>
    </row>
    <row r="122">
      <c r="A122" t="inlineStr">
        <is>
          <t>No</t>
        </is>
      </c>
      <c r="B122" t="inlineStr">
        <is>
          <t>G635.B2 S74 2003</t>
        </is>
      </c>
      <c r="C122" t="inlineStr">
        <is>
          <t>0                      G  0635000B  2                  S  74          2003</t>
        </is>
      </c>
      <c r="D122" t="inlineStr">
        <is>
          <t>The man who mapped the Arctic / Peter Steele.</t>
        </is>
      </c>
      <c r="F122" t="inlineStr">
        <is>
          <t>No</t>
        </is>
      </c>
      <c r="G122" t="inlineStr">
        <is>
          <t>1</t>
        </is>
      </c>
      <c r="H122" t="inlineStr">
        <is>
          <t>No</t>
        </is>
      </c>
      <c r="I122" t="inlineStr">
        <is>
          <t>No</t>
        </is>
      </c>
      <c r="J122" t="inlineStr">
        <is>
          <t>0</t>
        </is>
      </c>
      <c r="K122" t="inlineStr">
        <is>
          <t>Steele, Peter, 1935-</t>
        </is>
      </c>
      <c r="L122" t="inlineStr">
        <is>
          <t>Vancouver, B.C. : Raincoast Books, 2003.</t>
        </is>
      </c>
      <c r="M122" t="inlineStr">
        <is>
          <t>2003</t>
        </is>
      </c>
      <c r="O122" t="inlineStr">
        <is>
          <t>eng</t>
        </is>
      </c>
      <c r="P122" t="inlineStr">
        <is>
          <t>bcc</t>
        </is>
      </c>
      <c r="R122" t="inlineStr">
        <is>
          <t xml:space="preserve">G  </t>
        </is>
      </c>
      <c r="S122" t="n">
        <v>1</v>
      </c>
      <c r="T122" t="n">
        <v>1</v>
      </c>
      <c r="U122" t="inlineStr">
        <is>
          <t>2005-09-26</t>
        </is>
      </c>
      <c r="V122" t="inlineStr">
        <is>
          <t>2005-09-26</t>
        </is>
      </c>
      <c r="W122" t="inlineStr">
        <is>
          <t>2005-09-26</t>
        </is>
      </c>
      <c r="X122" t="inlineStr">
        <is>
          <t>2005-09-26</t>
        </is>
      </c>
      <c r="Y122" t="n">
        <v>154</v>
      </c>
      <c r="Z122" t="n">
        <v>74</v>
      </c>
      <c r="AA122" t="n">
        <v>131</v>
      </c>
      <c r="AB122" t="n">
        <v>1</v>
      </c>
      <c r="AC122" t="n">
        <v>1</v>
      </c>
      <c r="AD122" t="n">
        <v>0</v>
      </c>
      <c r="AE122" t="n">
        <v>2</v>
      </c>
      <c r="AF122" t="n">
        <v>0</v>
      </c>
      <c r="AG122" t="n">
        <v>1</v>
      </c>
      <c r="AH122" t="n">
        <v>0</v>
      </c>
      <c r="AI122" t="n">
        <v>2</v>
      </c>
      <c r="AJ122" t="n">
        <v>0</v>
      </c>
      <c r="AK122" t="n">
        <v>1</v>
      </c>
      <c r="AL122" t="n">
        <v>0</v>
      </c>
      <c r="AM122" t="n">
        <v>0</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HYPERLINK("https://creighton-primo.hosted.exlibrisgroup.com/primo-explore/search?tab=default_tab&amp;search_scope=EVERYTHING&amp;vid=01CRU&amp;lang=en_US&amp;offset=0&amp;query=any,contains,991004457059702656","Catalog Record")</f>
        <v/>
      </c>
      <c r="AT122">
        <f>HYPERLINK("http://www.worldcat.org/oclc/52325015","WorldCat Record")</f>
        <v/>
      </c>
      <c r="AU122" t="inlineStr">
        <is>
          <t>9738902:eng</t>
        </is>
      </c>
      <c r="AV122" t="inlineStr">
        <is>
          <t>52325015</t>
        </is>
      </c>
      <c r="AW122" t="inlineStr">
        <is>
          <t>991004457059702656</t>
        </is>
      </c>
      <c r="AX122" t="inlineStr">
        <is>
          <t>991004457059702656</t>
        </is>
      </c>
      <c r="AY122" t="inlineStr">
        <is>
          <t>2259655370002656</t>
        </is>
      </c>
      <c r="AZ122" t="inlineStr">
        <is>
          <t>BOOK</t>
        </is>
      </c>
      <c r="BB122" t="inlineStr">
        <is>
          <t>9781551926483</t>
        </is>
      </c>
      <c r="BC122" t="inlineStr">
        <is>
          <t>32285005085310</t>
        </is>
      </c>
      <c r="BD122" t="inlineStr">
        <is>
          <t>893882489</t>
        </is>
      </c>
    </row>
    <row r="123">
      <c r="A123" t="inlineStr">
        <is>
          <t>No</t>
        </is>
      </c>
      <c r="B123" t="inlineStr">
        <is>
          <t>G635.C66 H86 1997</t>
        </is>
      </c>
      <c r="C123" t="inlineStr">
        <is>
          <t>0                      G  0635000C  66                 H  86          1997</t>
        </is>
      </c>
      <c r="D123" t="inlineStr">
        <is>
          <t>Cook &amp; Peary : the polar controversy, resolved / Robert M. Bryce.</t>
        </is>
      </c>
      <c r="F123" t="inlineStr">
        <is>
          <t>No</t>
        </is>
      </c>
      <c r="G123" t="inlineStr">
        <is>
          <t>1</t>
        </is>
      </c>
      <c r="H123" t="inlineStr">
        <is>
          <t>No</t>
        </is>
      </c>
      <c r="I123" t="inlineStr">
        <is>
          <t>No</t>
        </is>
      </c>
      <c r="J123" t="inlineStr">
        <is>
          <t>0</t>
        </is>
      </c>
      <c r="K123" t="inlineStr">
        <is>
          <t>Bryce, Robert M.</t>
        </is>
      </c>
      <c r="L123" t="inlineStr">
        <is>
          <t>Mechanicsburg, PA : Stackpole Books, c1997.</t>
        </is>
      </c>
      <c r="M123" t="inlineStr">
        <is>
          <t>1997</t>
        </is>
      </c>
      <c r="N123" t="inlineStr">
        <is>
          <t>1st ed.</t>
        </is>
      </c>
      <c r="O123" t="inlineStr">
        <is>
          <t>eng</t>
        </is>
      </c>
      <c r="P123" t="inlineStr">
        <is>
          <t>pau</t>
        </is>
      </c>
      <c r="R123" t="inlineStr">
        <is>
          <t xml:space="preserve">G  </t>
        </is>
      </c>
      <c r="S123" t="n">
        <v>1</v>
      </c>
      <c r="T123" t="n">
        <v>1</v>
      </c>
      <c r="U123" t="inlineStr">
        <is>
          <t>2003-11-05</t>
        </is>
      </c>
      <c r="V123" t="inlineStr">
        <is>
          <t>2003-11-05</t>
        </is>
      </c>
      <c r="W123" t="inlineStr">
        <is>
          <t>2003-11-05</t>
        </is>
      </c>
      <c r="X123" t="inlineStr">
        <is>
          <t>2003-11-05</t>
        </is>
      </c>
      <c r="Y123" t="n">
        <v>1419</v>
      </c>
      <c r="Z123" t="n">
        <v>1375</v>
      </c>
      <c r="AA123" t="n">
        <v>1786</v>
      </c>
      <c r="AB123" t="n">
        <v>15</v>
      </c>
      <c r="AC123" t="n">
        <v>31</v>
      </c>
      <c r="AD123" t="n">
        <v>57</v>
      </c>
      <c r="AE123" t="n">
        <v>61</v>
      </c>
      <c r="AF123" t="n">
        <v>25</v>
      </c>
      <c r="AG123" t="n">
        <v>26</v>
      </c>
      <c r="AH123" t="n">
        <v>8</v>
      </c>
      <c r="AI123" t="n">
        <v>9</v>
      </c>
      <c r="AJ123" t="n">
        <v>20</v>
      </c>
      <c r="AK123" t="n">
        <v>22</v>
      </c>
      <c r="AL123" t="n">
        <v>14</v>
      </c>
      <c r="AM123" t="n">
        <v>16</v>
      </c>
      <c r="AN123" t="n">
        <v>0</v>
      </c>
      <c r="AO123" t="n">
        <v>0</v>
      </c>
      <c r="AP123" t="inlineStr">
        <is>
          <t>No</t>
        </is>
      </c>
      <c r="AQ123" t="inlineStr">
        <is>
          <t>Yes</t>
        </is>
      </c>
      <c r="AR123">
        <f>HYPERLINK("http://catalog.hathitrust.org/Record/004069007","HathiTrust Record")</f>
        <v/>
      </c>
      <c r="AS123">
        <f>HYPERLINK("https://creighton-primo.hosted.exlibrisgroup.com/primo-explore/search?tab=default_tab&amp;search_scope=EVERYTHING&amp;vid=01CRU&amp;lang=en_US&amp;offset=0&amp;query=any,contains,991004169589702656","Catalog Record")</f>
        <v/>
      </c>
      <c r="AT123">
        <f>HYPERLINK("http://www.worldcat.org/oclc/35280718","WorldCat Record")</f>
        <v/>
      </c>
      <c r="AU123" t="inlineStr">
        <is>
          <t>1009455:eng</t>
        </is>
      </c>
      <c r="AV123" t="inlineStr">
        <is>
          <t>35280718</t>
        </is>
      </c>
      <c r="AW123" t="inlineStr">
        <is>
          <t>991004169589702656</t>
        </is>
      </c>
      <c r="AX123" t="inlineStr">
        <is>
          <t>991004169589702656</t>
        </is>
      </c>
      <c r="AY123" t="inlineStr">
        <is>
          <t>2255047240002656</t>
        </is>
      </c>
      <c r="AZ123" t="inlineStr">
        <is>
          <t>BOOK</t>
        </is>
      </c>
      <c r="BB123" t="inlineStr">
        <is>
          <t>9780811703178</t>
        </is>
      </c>
      <c r="BC123" t="inlineStr">
        <is>
          <t>32285004793161</t>
        </is>
      </c>
      <c r="BD123" t="inlineStr">
        <is>
          <t>893693620</t>
        </is>
      </c>
    </row>
    <row r="124">
      <c r="A124" t="inlineStr">
        <is>
          <t>No</t>
        </is>
      </c>
      <c r="B124" t="inlineStr">
        <is>
          <t>G635.R6 E45 2003</t>
        </is>
      </c>
      <c r="C124" t="inlineStr">
        <is>
          <t>0                      G  0635000R  6                  E  45          2003</t>
        </is>
      </c>
      <c r="D124" t="inlineStr">
        <is>
          <t>Fury Beach : the four-year odyssey of Captain John Ross and the victory / Ray Edinger.</t>
        </is>
      </c>
      <c r="F124" t="inlineStr">
        <is>
          <t>No</t>
        </is>
      </c>
      <c r="G124" t="inlineStr">
        <is>
          <t>1</t>
        </is>
      </c>
      <c r="H124" t="inlineStr">
        <is>
          <t>No</t>
        </is>
      </c>
      <c r="I124" t="inlineStr">
        <is>
          <t>No</t>
        </is>
      </c>
      <c r="J124" t="inlineStr">
        <is>
          <t>0</t>
        </is>
      </c>
      <c r="K124" t="inlineStr">
        <is>
          <t>Edinger, Ray.</t>
        </is>
      </c>
      <c r="L124" t="inlineStr">
        <is>
          <t>New York : Berkley Books, 2003.</t>
        </is>
      </c>
      <c r="M124" t="inlineStr">
        <is>
          <t>2003</t>
        </is>
      </c>
      <c r="N124" t="inlineStr">
        <is>
          <t>1st ed.</t>
        </is>
      </c>
      <c r="O124" t="inlineStr">
        <is>
          <t>eng</t>
        </is>
      </c>
      <c r="P124" t="inlineStr">
        <is>
          <t>nyu</t>
        </is>
      </c>
      <c r="R124" t="inlineStr">
        <is>
          <t xml:space="preserve">G  </t>
        </is>
      </c>
      <c r="S124" t="n">
        <v>2</v>
      </c>
      <c r="T124" t="n">
        <v>2</v>
      </c>
      <c r="U124" t="inlineStr">
        <is>
          <t>2010-05-19</t>
        </is>
      </c>
      <c r="V124" t="inlineStr">
        <is>
          <t>2010-05-19</t>
        </is>
      </c>
      <c r="W124" t="inlineStr">
        <is>
          <t>2004-04-15</t>
        </is>
      </c>
      <c r="X124" t="inlineStr">
        <is>
          <t>2004-04-15</t>
        </is>
      </c>
      <c r="Y124" t="n">
        <v>193</v>
      </c>
      <c r="Z124" t="n">
        <v>171</v>
      </c>
      <c r="AA124" t="n">
        <v>177</v>
      </c>
      <c r="AB124" t="n">
        <v>1</v>
      </c>
      <c r="AC124" t="n">
        <v>1</v>
      </c>
      <c r="AD124" t="n">
        <v>2</v>
      </c>
      <c r="AE124" t="n">
        <v>2</v>
      </c>
      <c r="AF124" t="n">
        <v>0</v>
      </c>
      <c r="AG124" t="n">
        <v>0</v>
      </c>
      <c r="AH124" t="n">
        <v>2</v>
      </c>
      <c r="AI124" t="n">
        <v>2</v>
      </c>
      <c r="AJ124" t="n">
        <v>1</v>
      </c>
      <c r="AK124" t="n">
        <v>1</v>
      </c>
      <c r="AL124" t="n">
        <v>0</v>
      </c>
      <c r="AM124" t="n">
        <v>0</v>
      </c>
      <c r="AN124" t="n">
        <v>0</v>
      </c>
      <c r="AO124" t="n">
        <v>0</v>
      </c>
      <c r="AP124" t="inlineStr">
        <is>
          <t>No</t>
        </is>
      </c>
      <c r="AQ124" t="inlineStr">
        <is>
          <t>Yes</t>
        </is>
      </c>
      <c r="AR124">
        <f>HYPERLINK("http://catalog.hathitrust.org/Record/004319666","HathiTrust Record")</f>
        <v/>
      </c>
      <c r="AS124">
        <f>HYPERLINK("https://creighton-primo.hosted.exlibrisgroup.com/primo-explore/search?tab=default_tab&amp;search_scope=EVERYTHING&amp;vid=01CRU&amp;lang=en_US&amp;offset=0&amp;query=any,contains,991004241489702656","Catalog Record")</f>
        <v/>
      </c>
      <c r="AT124">
        <f>HYPERLINK("http://www.worldcat.org/oclc/50590838","WorldCat Record")</f>
        <v/>
      </c>
      <c r="AU124" t="inlineStr">
        <is>
          <t>476154344:eng</t>
        </is>
      </c>
      <c r="AV124" t="inlineStr">
        <is>
          <t>50590838</t>
        </is>
      </c>
      <c r="AW124" t="inlineStr">
        <is>
          <t>991004241489702656</t>
        </is>
      </c>
      <c r="AX124" t="inlineStr">
        <is>
          <t>991004241489702656</t>
        </is>
      </c>
      <c r="AY124" t="inlineStr">
        <is>
          <t>2268666030002656</t>
        </is>
      </c>
      <c r="AZ124" t="inlineStr">
        <is>
          <t>BOOK</t>
        </is>
      </c>
      <c r="BB124" t="inlineStr">
        <is>
          <t>9780425188453</t>
        </is>
      </c>
      <c r="BC124" t="inlineStr">
        <is>
          <t>32285004899737</t>
        </is>
      </c>
      <c r="BD124" t="inlineStr">
        <is>
          <t>893318969</t>
        </is>
      </c>
    </row>
    <row r="125">
      <c r="A125" t="inlineStr">
        <is>
          <t>No</t>
        </is>
      </c>
      <c r="B125" t="inlineStr">
        <is>
          <t>G650 1619 .Y6</t>
        </is>
      </c>
      <c r="C125" t="inlineStr">
        <is>
          <t>0                      G  0650000               1619   Y  6</t>
        </is>
      </c>
      <c r="D125" t="inlineStr">
        <is>
          <t>Last voyage of the Unicorn [by] Delbert A. Young, illustrated by Mary Cserepy.</t>
        </is>
      </c>
      <c r="F125" t="inlineStr">
        <is>
          <t>No</t>
        </is>
      </c>
      <c r="G125" t="inlineStr">
        <is>
          <t>1</t>
        </is>
      </c>
      <c r="H125" t="inlineStr">
        <is>
          <t>No</t>
        </is>
      </c>
      <c r="I125" t="inlineStr">
        <is>
          <t>No</t>
        </is>
      </c>
      <c r="J125" t="inlineStr">
        <is>
          <t>0</t>
        </is>
      </c>
      <c r="K125" t="inlineStr">
        <is>
          <t>Young, Delbert Alton, 1907-</t>
        </is>
      </c>
      <c r="L125" t="inlineStr">
        <is>
          <t>Toronto, Clarke, Irwin, 1969.</t>
        </is>
      </c>
      <c r="M125" t="inlineStr">
        <is>
          <t>1969</t>
        </is>
      </c>
      <c r="O125" t="inlineStr">
        <is>
          <t>eng</t>
        </is>
      </c>
      <c r="P125" t="inlineStr">
        <is>
          <t>onc</t>
        </is>
      </c>
      <c r="R125" t="inlineStr">
        <is>
          <t xml:space="preserve">G  </t>
        </is>
      </c>
      <c r="S125" t="n">
        <v>1</v>
      </c>
      <c r="T125" t="n">
        <v>1</v>
      </c>
      <c r="U125" t="inlineStr">
        <is>
          <t>2001-03-29</t>
        </is>
      </c>
      <c r="V125" t="inlineStr">
        <is>
          <t>2001-03-29</t>
        </is>
      </c>
      <c r="W125" t="inlineStr">
        <is>
          <t>1997-05-21</t>
        </is>
      </c>
      <c r="X125" t="inlineStr">
        <is>
          <t>1997-05-21</t>
        </is>
      </c>
      <c r="Y125" t="n">
        <v>44</v>
      </c>
      <c r="Z125" t="n">
        <v>11</v>
      </c>
      <c r="AA125" t="n">
        <v>16</v>
      </c>
      <c r="AB125" t="n">
        <v>1</v>
      </c>
      <c r="AC125" t="n">
        <v>1</v>
      </c>
      <c r="AD125" t="n">
        <v>0</v>
      </c>
      <c r="AE125" t="n">
        <v>0</v>
      </c>
      <c r="AF125" t="n">
        <v>0</v>
      </c>
      <c r="AG125" t="n">
        <v>0</v>
      </c>
      <c r="AH125" t="n">
        <v>0</v>
      </c>
      <c r="AI125" t="n">
        <v>0</v>
      </c>
      <c r="AJ125" t="n">
        <v>0</v>
      </c>
      <c r="AK125" t="n">
        <v>0</v>
      </c>
      <c r="AL125" t="n">
        <v>0</v>
      </c>
      <c r="AM125" t="n">
        <v>0</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HYPERLINK("https://creighton-primo.hosted.exlibrisgroup.com/primo-explore/search?tab=default_tab&amp;search_scope=EVERYTHING&amp;vid=01CRU&amp;lang=en_US&amp;offset=0&amp;query=any,contains,991000164379702656","Catalog Record")</f>
        <v/>
      </c>
      <c r="AT125">
        <f>HYPERLINK("http://www.worldcat.org/oclc/61601","WorldCat Record")</f>
        <v/>
      </c>
      <c r="AU125" t="inlineStr">
        <is>
          <t>144590033:eng</t>
        </is>
      </c>
      <c r="AV125" t="inlineStr">
        <is>
          <t>61601</t>
        </is>
      </c>
      <c r="AW125" t="inlineStr">
        <is>
          <t>991000164379702656</t>
        </is>
      </c>
      <c r="AX125" t="inlineStr">
        <is>
          <t>991000164379702656</t>
        </is>
      </c>
      <c r="AY125" t="inlineStr">
        <is>
          <t>2255278730002656</t>
        </is>
      </c>
      <c r="AZ125" t="inlineStr">
        <is>
          <t>BOOK</t>
        </is>
      </c>
      <c r="BC125" t="inlineStr">
        <is>
          <t>32285002740693</t>
        </is>
      </c>
      <c r="BD125" t="inlineStr">
        <is>
          <t>893419256</t>
        </is>
      </c>
    </row>
    <row r="126">
      <c r="A126" t="inlineStr">
        <is>
          <t>No</t>
        </is>
      </c>
      <c r="B126" t="inlineStr">
        <is>
          <t>G67 .G48 2002</t>
        </is>
      </c>
      <c r="C126" t="inlineStr">
        <is>
          <t>0                      G  0067000G  48          2002</t>
        </is>
      </c>
      <c r="D126" t="inlineStr">
        <is>
          <t>Geographical voices : fourteen autobiographical essays / edited by Peter Gould and Forrest R. Pitts.</t>
        </is>
      </c>
      <c r="F126" t="inlineStr">
        <is>
          <t>No</t>
        </is>
      </c>
      <c r="G126" t="inlineStr">
        <is>
          <t>1</t>
        </is>
      </c>
      <c r="H126" t="inlineStr">
        <is>
          <t>No</t>
        </is>
      </c>
      <c r="I126" t="inlineStr">
        <is>
          <t>No</t>
        </is>
      </c>
      <c r="J126" t="inlineStr">
        <is>
          <t>0</t>
        </is>
      </c>
      <c r="L126" t="inlineStr">
        <is>
          <t>Syracuse, N.Y. : Syracuse University Press, 2002.</t>
        </is>
      </c>
      <c r="M126" t="inlineStr">
        <is>
          <t>2002</t>
        </is>
      </c>
      <c r="N126" t="inlineStr">
        <is>
          <t>1st ed.</t>
        </is>
      </c>
      <c r="O126" t="inlineStr">
        <is>
          <t>eng</t>
        </is>
      </c>
      <c r="P126" t="inlineStr">
        <is>
          <t>nyu</t>
        </is>
      </c>
      <c r="Q126" t="inlineStr">
        <is>
          <t>Space, place, and society</t>
        </is>
      </c>
      <c r="R126" t="inlineStr">
        <is>
          <t xml:space="preserve">G  </t>
        </is>
      </c>
      <c r="S126" t="n">
        <v>1</v>
      </c>
      <c r="T126" t="n">
        <v>1</v>
      </c>
      <c r="U126" t="inlineStr">
        <is>
          <t>2003-02-27</t>
        </is>
      </c>
      <c r="V126" t="inlineStr">
        <is>
          <t>2003-02-27</t>
        </is>
      </c>
      <c r="W126" t="inlineStr">
        <is>
          <t>2003-02-27</t>
        </is>
      </c>
      <c r="X126" t="inlineStr">
        <is>
          <t>2003-02-27</t>
        </is>
      </c>
      <c r="Y126" t="n">
        <v>269</v>
      </c>
      <c r="Z126" t="n">
        <v>212</v>
      </c>
      <c r="AA126" t="n">
        <v>219</v>
      </c>
      <c r="AB126" t="n">
        <v>2</v>
      </c>
      <c r="AC126" t="n">
        <v>2</v>
      </c>
      <c r="AD126" t="n">
        <v>8</v>
      </c>
      <c r="AE126" t="n">
        <v>8</v>
      </c>
      <c r="AF126" t="n">
        <v>4</v>
      </c>
      <c r="AG126" t="n">
        <v>4</v>
      </c>
      <c r="AH126" t="n">
        <v>2</v>
      </c>
      <c r="AI126" t="n">
        <v>2</v>
      </c>
      <c r="AJ126" t="n">
        <v>1</v>
      </c>
      <c r="AK126" t="n">
        <v>1</v>
      </c>
      <c r="AL126" t="n">
        <v>1</v>
      </c>
      <c r="AM126" t="n">
        <v>1</v>
      </c>
      <c r="AN126" t="n">
        <v>0</v>
      </c>
      <c r="AO126" t="n">
        <v>0</v>
      </c>
      <c r="AP126" t="inlineStr">
        <is>
          <t>No</t>
        </is>
      </c>
      <c r="AQ126" t="inlineStr">
        <is>
          <t>Yes</t>
        </is>
      </c>
      <c r="AR126">
        <f>HYPERLINK("http://catalog.hathitrust.org/Record/004252466","HathiTrust Record")</f>
        <v/>
      </c>
      <c r="AS126">
        <f>HYPERLINK("https://creighton-primo.hosted.exlibrisgroup.com/primo-explore/search?tab=default_tab&amp;search_scope=EVERYTHING&amp;vid=01CRU&amp;lang=en_US&amp;offset=0&amp;query=any,contains,991003985039702656","Catalog Record")</f>
        <v/>
      </c>
      <c r="AT126">
        <f>HYPERLINK("http://www.worldcat.org/oclc/48940620","WorldCat Record")</f>
        <v/>
      </c>
      <c r="AU126" t="inlineStr">
        <is>
          <t>838319970:eng</t>
        </is>
      </c>
      <c r="AV126" t="inlineStr">
        <is>
          <t>48940620</t>
        </is>
      </c>
      <c r="AW126" t="inlineStr">
        <is>
          <t>991003985039702656</t>
        </is>
      </c>
      <c r="AX126" t="inlineStr">
        <is>
          <t>991003985039702656</t>
        </is>
      </c>
      <c r="AY126" t="inlineStr">
        <is>
          <t>2258435080002656</t>
        </is>
      </c>
      <c r="AZ126" t="inlineStr">
        <is>
          <t>BOOK</t>
        </is>
      </c>
      <c r="BB126" t="inlineStr">
        <is>
          <t>9780815629405</t>
        </is>
      </c>
      <c r="BC126" t="inlineStr">
        <is>
          <t>32285004681606</t>
        </is>
      </c>
      <c r="BD126" t="inlineStr">
        <is>
          <t>893531840</t>
        </is>
      </c>
    </row>
    <row r="127">
      <c r="A127" t="inlineStr">
        <is>
          <t>No</t>
        </is>
      </c>
      <c r="B127" t="inlineStr">
        <is>
          <t>G680 I813 2000</t>
        </is>
      </c>
      <c r="C127" t="inlineStr">
        <is>
          <t>0                      G  0680000I  813         2000</t>
        </is>
      </c>
      <c r="D127" t="inlineStr">
        <is>
          <t>Russians in the Bering Strait 1648-1791 / by M.I. Belov ; translated by Katerina Solovjova ; edited with an introduction by J.L. Smith.</t>
        </is>
      </c>
      <c r="F127" t="inlineStr">
        <is>
          <t>No</t>
        </is>
      </c>
      <c r="G127" t="inlineStr">
        <is>
          <t>1</t>
        </is>
      </c>
      <c r="H127" t="inlineStr">
        <is>
          <t>No</t>
        </is>
      </c>
      <c r="I127" t="inlineStr">
        <is>
          <t>No</t>
        </is>
      </c>
      <c r="J127" t="inlineStr">
        <is>
          <t>0</t>
        </is>
      </c>
      <c r="K127" t="inlineStr">
        <is>
          <t>Belov, M. I. (Mikhail Ivanovich), 1916-1981.</t>
        </is>
      </c>
      <c r="L127" t="inlineStr">
        <is>
          <t>Anchorage, Alaska : White Stone Press, 2000.</t>
        </is>
      </c>
      <c r="M127" t="inlineStr">
        <is>
          <t>2000</t>
        </is>
      </c>
      <c r="O127" t="inlineStr">
        <is>
          <t>eng</t>
        </is>
      </c>
      <c r="P127" t="inlineStr">
        <is>
          <t>aku</t>
        </is>
      </c>
      <c r="R127" t="inlineStr">
        <is>
          <t xml:space="preserve">G  </t>
        </is>
      </c>
      <c r="S127" t="n">
        <v>1</v>
      </c>
      <c r="T127" t="n">
        <v>1</v>
      </c>
      <c r="U127" t="inlineStr">
        <is>
          <t>2000-11-08</t>
        </is>
      </c>
      <c r="V127" t="inlineStr">
        <is>
          <t>2000-11-08</t>
        </is>
      </c>
      <c r="W127" t="inlineStr">
        <is>
          <t>2000-11-08</t>
        </is>
      </c>
      <c r="X127" t="inlineStr">
        <is>
          <t>2000-11-08</t>
        </is>
      </c>
      <c r="Y127" t="n">
        <v>228</v>
      </c>
      <c r="Z127" t="n">
        <v>223</v>
      </c>
      <c r="AA127" t="n">
        <v>225</v>
      </c>
      <c r="AB127" t="n">
        <v>3</v>
      </c>
      <c r="AC127" t="n">
        <v>3</v>
      </c>
      <c r="AD127" t="n">
        <v>16</v>
      </c>
      <c r="AE127" t="n">
        <v>16</v>
      </c>
      <c r="AF127" t="n">
        <v>4</v>
      </c>
      <c r="AG127" t="n">
        <v>4</v>
      </c>
      <c r="AH127" t="n">
        <v>4</v>
      </c>
      <c r="AI127" t="n">
        <v>4</v>
      </c>
      <c r="AJ127" t="n">
        <v>9</v>
      </c>
      <c r="AK127" t="n">
        <v>9</v>
      </c>
      <c r="AL127" t="n">
        <v>2</v>
      </c>
      <c r="AM127" t="n">
        <v>2</v>
      </c>
      <c r="AN127" t="n">
        <v>0</v>
      </c>
      <c r="AO127" t="n">
        <v>0</v>
      </c>
      <c r="AP127" t="inlineStr">
        <is>
          <t>No</t>
        </is>
      </c>
      <c r="AQ127" t="inlineStr">
        <is>
          <t>Yes</t>
        </is>
      </c>
      <c r="AR127">
        <f>HYPERLINK("http://catalog.hathitrust.org/Record/003567620","HathiTrust Record")</f>
        <v/>
      </c>
      <c r="AS127">
        <f>HYPERLINK("https://creighton-primo.hosted.exlibrisgroup.com/primo-explore/search?tab=default_tab&amp;search_scope=EVERYTHING&amp;vid=01CRU&amp;lang=en_US&amp;offset=0&amp;query=any,contains,991003337879702656","Catalog Record")</f>
        <v/>
      </c>
      <c r="AT127">
        <f>HYPERLINK("http://www.worldcat.org/oclc/44165593","WorldCat Record")</f>
        <v/>
      </c>
      <c r="AU127" t="inlineStr">
        <is>
          <t>33255076:eng</t>
        </is>
      </c>
      <c r="AV127" t="inlineStr">
        <is>
          <t>44165593</t>
        </is>
      </c>
      <c r="AW127" t="inlineStr">
        <is>
          <t>991003337879702656</t>
        </is>
      </c>
      <c r="AX127" t="inlineStr">
        <is>
          <t>991003337879702656</t>
        </is>
      </c>
      <c r="AY127" t="inlineStr">
        <is>
          <t>2264005020002656</t>
        </is>
      </c>
      <c r="AZ127" t="inlineStr">
        <is>
          <t>BOOK</t>
        </is>
      </c>
      <c r="BB127" t="inlineStr">
        <is>
          <t>9780962672729</t>
        </is>
      </c>
      <c r="BC127" t="inlineStr">
        <is>
          <t>32285004264643</t>
        </is>
      </c>
      <c r="BD127" t="inlineStr">
        <is>
          <t>893428694</t>
        </is>
      </c>
    </row>
    <row r="128">
      <c r="A128" t="inlineStr">
        <is>
          <t>No</t>
        </is>
      </c>
      <c r="B128" t="inlineStr">
        <is>
          <t>G70.212 .B87 1998</t>
        </is>
      </c>
      <c r="C128" t="inlineStr">
        <is>
          <t>0                      G  0070212B  87          1998</t>
        </is>
      </c>
      <c r="D128" t="inlineStr">
        <is>
          <t>Principles of geographical information systems / Peter A. Burrough and Rachael A. McDonnell.</t>
        </is>
      </c>
      <c r="F128" t="inlineStr">
        <is>
          <t>No</t>
        </is>
      </c>
      <c r="G128" t="inlineStr">
        <is>
          <t>1</t>
        </is>
      </c>
      <c r="H128" t="inlineStr">
        <is>
          <t>No</t>
        </is>
      </c>
      <c r="I128" t="inlineStr">
        <is>
          <t>No</t>
        </is>
      </c>
      <c r="J128" t="inlineStr">
        <is>
          <t>0</t>
        </is>
      </c>
      <c r="K128" t="inlineStr">
        <is>
          <t>Burrough, P. A.</t>
        </is>
      </c>
      <c r="L128" t="inlineStr">
        <is>
          <t>Oxford ; New York : Oxford University Press, 1998.</t>
        </is>
      </c>
      <c r="M128" t="inlineStr">
        <is>
          <t>1998</t>
        </is>
      </c>
      <c r="O128" t="inlineStr">
        <is>
          <t>eng</t>
        </is>
      </c>
      <c r="P128" t="inlineStr">
        <is>
          <t>enk</t>
        </is>
      </c>
      <c r="Q128" t="inlineStr">
        <is>
          <t>Spatial information systems</t>
        </is>
      </c>
      <c r="R128" t="inlineStr">
        <is>
          <t xml:space="preserve">G  </t>
        </is>
      </c>
      <c r="S128" t="n">
        <v>7</v>
      </c>
      <c r="T128" t="n">
        <v>7</v>
      </c>
      <c r="U128" t="inlineStr">
        <is>
          <t>2007-07-16</t>
        </is>
      </c>
      <c r="V128" t="inlineStr">
        <is>
          <t>2007-07-16</t>
        </is>
      </c>
      <c r="W128" t="inlineStr">
        <is>
          <t>2000-12-20</t>
        </is>
      </c>
      <c r="X128" t="inlineStr">
        <is>
          <t>2000-12-20</t>
        </is>
      </c>
      <c r="Y128" t="n">
        <v>539</v>
      </c>
      <c r="Z128" t="n">
        <v>301</v>
      </c>
      <c r="AA128" t="n">
        <v>336</v>
      </c>
      <c r="AB128" t="n">
        <v>3</v>
      </c>
      <c r="AC128" t="n">
        <v>3</v>
      </c>
      <c r="AD128" t="n">
        <v>9</v>
      </c>
      <c r="AE128" t="n">
        <v>9</v>
      </c>
      <c r="AF128" t="n">
        <v>2</v>
      </c>
      <c r="AG128" t="n">
        <v>2</v>
      </c>
      <c r="AH128" t="n">
        <v>2</v>
      </c>
      <c r="AI128" t="n">
        <v>2</v>
      </c>
      <c r="AJ128" t="n">
        <v>4</v>
      </c>
      <c r="AK128" t="n">
        <v>4</v>
      </c>
      <c r="AL128" t="n">
        <v>2</v>
      </c>
      <c r="AM128" t="n">
        <v>2</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HYPERLINK("https://creighton-primo.hosted.exlibrisgroup.com/primo-explore/search?tab=default_tab&amp;search_scope=EVERYTHING&amp;vid=01CRU&amp;lang=en_US&amp;offset=0&amp;query=any,contains,991003258269702656","Catalog Record")</f>
        <v/>
      </c>
      <c r="AT128">
        <f>HYPERLINK("http://www.worldcat.org/oclc/37187506","WorldCat Record")</f>
        <v/>
      </c>
      <c r="AU128" t="inlineStr">
        <is>
          <t>598615:eng</t>
        </is>
      </c>
      <c r="AV128" t="inlineStr">
        <is>
          <t>37187506</t>
        </is>
      </c>
      <c r="AW128" t="inlineStr">
        <is>
          <t>991003258269702656</t>
        </is>
      </c>
      <c r="AX128" t="inlineStr">
        <is>
          <t>991003258269702656</t>
        </is>
      </c>
      <c r="AY128" t="inlineStr">
        <is>
          <t>2258617120002656</t>
        </is>
      </c>
      <c r="AZ128" t="inlineStr">
        <is>
          <t>BOOK</t>
        </is>
      </c>
      <c r="BB128" t="inlineStr">
        <is>
          <t>9780198233657</t>
        </is>
      </c>
      <c r="BC128" t="inlineStr">
        <is>
          <t>32285004277827</t>
        </is>
      </c>
      <c r="BD128" t="inlineStr">
        <is>
          <t>893610868</t>
        </is>
      </c>
    </row>
    <row r="129">
      <c r="A129" t="inlineStr">
        <is>
          <t>No</t>
        </is>
      </c>
      <c r="B129" t="inlineStr">
        <is>
          <t>G70.212 .D45 2007</t>
        </is>
      </c>
      <c r="C129" t="inlineStr">
        <is>
          <t>0                      G  0070212D  45          2007</t>
        </is>
      </c>
      <c r="D129" t="inlineStr">
        <is>
          <t>Geographical information systems : an introduction / Julie Delaney &amp; Kimberly Van Niel.</t>
        </is>
      </c>
      <c r="F129" t="inlineStr">
        <is>
          <t>No</t>
        </is>
      </c>
      <c r="G129" t="inlineStr">
        <is>
          <t>1</t>
        </is>
      </c>
      <c r="H129" t="inlineStr">
        <is>
          <t>No</t>
        </is>
      </c>
      <c r="I129" t="inlineStr">
        <is>
          <t>No</t>
        </is>
      </c>
      <c r="J129" t="inlineStr">
        <is>
          <t>0</t>
        </is>
      </c>
      <c r="K129" t="inlineStr">
        <is>
          <t>Delaney, Julie, 1970-</t>
        </is>
      </c>
      <c r="L129" t="inlineStr">
        <is>
          <t>South Melbourne, Vic., Australia ; New York : Oxford University Press, 2007.</t>
        </is>
      </c>
      <c r="M129" t="inlineStr">
        <is>
          <t>2007</t>
        </is>
      </c>
      <c r="N129" t="inlineStr">
        <is>
          <t>2nd ed.</t>
        </is>
      </c>
      <c r="O129" t="inlineStr">
        <is>
          <t>eng</t>
        </is>
      </c>
      <c r="P129" t="inlineStr">
        <is>
          <t xml:space="preserve">at </t>
        </is>
      </c>
      <c r="R129" t="inlineStr">
        <is>
          <t xml:space="preserve">G  </t>
        </is>
      </c>
      <c r="S129" t="n">
        <v>1</v>
      </c>
      <c r="T129" t="n">
        <v>1</v>
      </c>
      <c r="U129" t="inlineStr">
        <is>
          <t>2008-12-09</t>
        </is>
      </c>
      <c r="V129" t="inlineStr">
        <is>
          <t>2008-12-09</t>
        </is>
      </c>
      <c r="W129" t="inlineStr">
        <is>
          <t>2008-12-09</t>
        </is>
      </c>
      <c r="X129" t="inlineStr">
        <is>
          <t>2008-12-09</t>
        </is>
      </c>
      <c r="Y129" t="n">
        <v>269</v>
      </c>
      <c r="Z129" t="n">
        <v>177</v>
      </c>
      <c r="AA129" t="n">
        <v>477</v>
      </c>
      <c r="AB129" t="n">
        <v>2</v>
      </c>
      <c r="AC129" t="n">
        <v>5</v>
      </c>
      <c r="AD129" t="n">
        <v>10</v>
      </c>
      <c r="AE129" t="n">
        <v>22</v>
      </c>
      <c r="AF129" t="n">
        <v>6</v>
      </c>
      <c r="AG129" t="n">
        <v>11</v>
      </c>
      <c r="AH129" t="n">
        <v>1</v>
      </c>
      <c r="AI129" t="n">
        <v>3</v>
      </c>
      <c r="AJ129" t="n">
        <v>5</v>
      </c>
      <c r="AK129" t="n">
        <v>8</v>
      </c>
      <c r="AL129" t="n">
        <v>1</v>
      </c>
      <c r="AM129" t="n">
        <v>4</v>
      </c>
      <c r="AN129" t="n">
        <v>0</v>
      </c>
      <c r="AO129" t="n">
        <v>1</v>
      </c>
      <c r="AP129" t="inlineStr">
        <is>
          <t>No</t>
        </is>
      </c>
      <c r="AQ129" t="inlineStr">
        <is>
          <t>Yes</t>
        </is>
      </c>
      <c r="AR129">
        <f>HYPERLINK("http://catalog.hathitrust.org/Record/005587902","HathiTrust Record")</f>
        <v/>
      </c>
      <c r="AS129">
        <f>HYPERLINK("https://creighton-primo.hosted.exlibrisgroup.com/primo-explore/search?tab=default_tab&amp;search_scope=EVERYTHING&amp;vid=01CRU&amp;lang=en_US&amp;offset=0&amp;query=any,contains,991005278639702656","Catalog Record")</f>
        <v/>
      </c>
      <c r="AT129">
        <f>HYPERLINK("http://www.worldcat.org/oclc/123376198","WorldCat Record")</f>
        <v/>
      </c>
      <c r="AU129" t="inlineStr">
        <is>
          <t>837000982:eng</t>
        </is>
      </c>
      <c r="AV129" t="inlineStr">
        <is>
          <t>123376198</t>
        </is>
      </c>
      <c r="AW129" t="inlineStr">
        <is>
          <t>991005278639702656</t>
        </is>
      </c>
      <c r="AX129" t="inlineStr">
        <is>
          <t>991005278639702656</t>
        </is>
      </c>
      <c r="AY129" t="inlineStr">
        <is>
          <t>2267594450002656</t>
        </is>
      </c>
      <c r="AZ129" t="inlineStr">
        <is>
          <t>BOOK</t>
        </is>
      </c>
      <c r="BB129" t="inlineStr">
        <is>
          <t>9780195556070</t>
        </is>
      </c>
      <c r="BC129" t="inlineStr">
        <is>
          <t>32285005471767</t>
        </is>
      </c>
      <c r="BD129" t="inlineStr">
        <is>
          <t>893789732</t>
        </is>
      </c>
    </row>
    <row r="130">
      <c r="A130" t="inlineStr">
        <is>
          <t>No</t>
        </is>
      </c>
      <c r="B130" t="inlineStr">
        <is>
          <t>G70.212 .S265 2009</t>
        </is>
      </c>
      <c r="C130" t="inlineStr">
        <is>
          <t>0                      G  0070212S  265         2009</t>
        </is>
      </c>
      <c r="D130" t="inlineStr">
        <is>
          <t>The SAGE handbook of spatial analysis / edited by A. Stewart Fotheringham and Peter A. Rogerson.</t>
        </is>
      </c>
      <c r="F130" t="inlineStr">
        <is>
          <t>No</t>
        </is>
      </c>
      <c r="G130" t="inlineStr">
        <is>
          <t>1</t>
        </is>
      </c>
      <c r="H130" t="inlineStr">
        <is>
          <t>No</t>
        </is>
      </c>
      <c r="I130" t="inlineStr">
        <is>
          <t>No</t>
        </is>
      </c>
      <c r="J130" t="inlineStr">
        <is>
          <t>0</t>
        </is>
      </c>
      <c r="L130" t="inlineStr">
        <is>
          <t>Los Angeles ; London : SAGE, 2009.</t>
        </is>
      </c>
      <c r="M130" t="inlineStr">
        <is>
          <t>2009</t>
        </is>
      </c>
      <c r="O130" t="inlineStr">
        <is>
          <t>eng</t>
        </is>
      </c>
      <c r="P130" t="inlineStr">
        <is>
          <t>cau</t>
        </is>
      </c>
      <c r="R130" t="inlineStr">
        <is>
          <t xml:space="preserve">G  </t>
        </is>
      </c>
      <c r="S130" t="n">
        <v>1</v>
      </c>
      <c r="T130" t="n">
        <v>1</v>
      </c>
      <c r="U130" t="inlineStr">
        <is>
          <t>2009-03-24</t>
        </is>
      </c>
      <c r="V130" t="inlineStr">
        <is>
          <t>2009-03-24</t>
        </is>
      </c>
      <c r="W130" t="inlineStr">
        <is>
          <t>2009-03-24</t>
        </is>
      </c>
      <c r="X130" t="inlineStr">
        <is>
          <t>2009-03-24</t>
        </is>
      </c>
      <c r="Y130" t="n">
        <v>258</v>
      </c>
      <c r="Z130" t="n">
        <v>144</v>
      </c>
      <c r="AA130" t="n">
        <v>289</v>
      </c>
      <c r="AB130" t="n">
        <v>2</v>
      </c>
      <c r="AC130" t="n">
        <v>3</v>
      </c>
      <c r="AD130" t="n">
        <v>7</v>
      </c>
      <c r="AE130" t="n">
        <v>14</v>
      </c>
      <c r="AF130" t="n">
        <v>1</v>
      </c>
      <c r="AG130" t="n">
        <v>4</v>
      </c>
      <c r="AH130" t="n">
        <v>3</v>
      </c>
      <c r="AI130" t="n">
        <v>5</v>
      </c>
      <c r="AJ130" t="n">
        <v>4</v>
      </c>
      <c r="AK130" t="n">
        <v>6</v>
      </c>
      <c r="AL130" t="n">
        <v>1</v>
      </c>
      <c r="AM130" t="n">
        <v>2</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HYPERLINK("https://creighton-primo.hosted.exlibrisgroup.com/primo-explore/search?tab=default_tab&amp;search_scope=EVERYTHING&amp;vid=01CRU&amp;lang=en_US&amp;offset=0&amp;query=any,contains,991005300879702656","Catalog Record")</f>
        <v/>
      </c>
      <c r="AT130">
        <f>HYPERLINK("http://www.worldcat.org/oclc/85898184","WorldCat Record")</f>
        <v/>
      </c>
      <c r="AU130" t="inlineStr">
        <is>
          <t>364001240:eng</t>
        </is>
      </c>
      <c r="AV130" t="inlineStr">
        <is>
          <t>85898184</t>
        </is>
      </c>
      <c r="AW130" t="inlineStr">
        <is>
          <t>991005300879702656</t>
        </is>
      </c>
      <c r="AX130" t="inlineStr">
        <is>
          <t>991005300879702656</t>
        </is>
      </c>
      <c r="AY130" t="inlineStr">
        <is>
          <t>2261008180002656</t>
        </is>
      </c>
      <c r="AZ130" t="inlineStr">
        <is>
          <t>BOOK</t>
        </is>
      </c>
      <c r="BB130" t="inlineStr">
        <is>
          <t>9781412910828</t>
        </is>
      </c>
      <c r="BC130" t="inlineStr">
        <is>
          <t>32285005509939</t>
        </is>
      </c>
      <c r="BD130" t="inlineStr">
        <is>
          <t>893625790</t>
        </is>
      </c>
    </row>
    <row r="131">
      <c r="A131" t="inlineStr">
        <is>
          <t>No</t>
        </is>
      </c>
      <c r="B131" t="inlineStr">
        <is>
          <t>G70.3 .W35 1995</t>
        </is>
      </c>
      <c r="C131" t="inlineStr">
        <is>
          <t>0                      G  0070300W  35          1995</t>
        </is>
      </c>
      <c r="D131" t="inlineStr">
        <is>
          <t>Geographical data analysis / Nigel Walford.</t>
        </is>
      </c>
      <c r="F131" t="inlineStr">
        <is>
          <t>No</t>
        </is>
      </c>
      <c r="G131" t="inlineStr">
        <is>
          <t>1</t>
        </is>
      </c>
      <c r="H131" t="inlineStr">
        <is>
          <t>No</t>
        </is>
      </c>
      <c r="I131" t="inlineStr">
        <is>
          <t>No</t>
        </is>
      </c>
      <c r="J131" t="inlineStr">
        <is>
          <t>0</t>
        </is>
      </c>
      <c r="K131" t="inlineStr">
        <is>
          <t>Walford, Nigel.</t>
        </is>
      </c>
      <c r="L131" t="inlineStr">
        <is>
          <t>Chichester ; New York : J. Wiley &amp; Sons, c1995.</t>
        </is>
      </c>
      <c r="M131" t="inlineStr">
        <is>
          <t>1995</t>
        </is>
      </c>
      <c r="O131" t="inlineStr">
        <is>
          <t>eng</t>
        </is>
      </c>
      <c r="P131" t="inlineStr">
        <is>
          <t>enk</t>
        </is>
      </c>
      <c r="R131" t="inlineStr">
        <is>
          <t xml:space="preserve">G  </t>
        </is>
      </c>
      <c r="S131" t="n">
        <v>4</v>
      </c>
      <c r="T131" t="n">
        <v>4</v>
      </c>
      <c r="U131" t="inlineStr">
        <is>
          <t>2005-10-05</t>
        </is>
      </c>
      <c r="V131" t="inlineStr">
        <is>
          <t>2005-10-05</t>
        </is>
      </c>
      <c r="W131" t="inlineStr">
        <is>
          <t>1996-05-08</t>
        </is>
      </c>
      <c r="X131" t="inlineStr">
        <is>
          <t>1996-05-08</t>
        </is>
      </c>
      <c r="Y131" t="n">
        <v>310</v>
      </c>
      <c r="Z131" t="n">
        <v>161</v>
      </c>
      <c r="AA131" t="n">
        <v>164</v>
      </c>
      <c r="AB131" t="n">
        <v>3</v>
      </c>
      <c r="AC131" t="n">
        <v>3</v>
      </c>
      <c r="AD131" t="n">
        <v>6</v>
      </c>
      <c r="AE131" t="n">
        <v>6</v>
      </c>
      <c r="AF131" t="n">
        <v>1</v>
      </c>
      <c r="AG131" t="n">
        <v>1</v>
      </c>
      <c r="AH131" t="n">
        <v>2</v>
      </c>
      <c r="AI131" t="n">
        <v>2</v>
      </c>
      <c r="AJ131" t="n">
        <v>1</v>
      </c>
      <c r="AK131" t="n">
        <v>1</v>
      </c>
      <c r="AL131" t="n">
        <v>2</v>
      </c>
      <c r="AM131" t="n">
        <v>2</v>
      </c>
      <c r="AN131" t="n">
        <v>0</v>
      </c>
      <c r="AO131" t="n">
        <v>0</v>
      </c>
      <c r="AP131" t="inlineStr">
        <is>
          <t>No</t>
        </is>
      </c>
      <c r="AQ131" t="inlineStr">
        <is>
          <t>Yes</t>
        </is>
      </c>
      <c r="AR131">
        <f>HYPERLINK("http://catalog.hathitrust.org/Record/002972969","HathiTrust Record")</f>
        <v/>
      </c>
      <c r="AS131">
        <f>HYPERLINK("https://creighton-primo.hosted.exlibrisgroup.com/primo-explore/search?tab=default_tab&amp;search_scope=EVERYTHING&amp;vid=01CRU&amp;lang=en_US&amp;offset=0&amp;query=any,contains,991002368459702656","Catalog Record")</f>
        <v/>
      </c>
      <c r="AT131">
        <f>HYPERLINK("http://www.worldcat.org/oclc/30780957","WorldCat Record")</f>
        <v/>
      </c>
      <c r="AU131" t="inlineStr">
        <is>
          <t>33028658:eng</t>
        </is>
      </c>
      <c r="AV131" t="inlineStr">
        <is>
          <t>30780957</t>
        </is>
      </c>
      <c r="AW131" t="inlineStr">
        <is>
          <t>991002368459702656</t>
        </is>
      </c>
      <c r="AX131" t="inlineStr">
        <is>
          <t>991002368459702656</t>
        </is>
      </c>
      <c r="AY131" t="inlineStr">
        <is>
          <t>2264414360002656</t>
        </is>
      </c>
      <c r="AZ131" t="inlineStr">
        <is>
          <t>BOOK</t>
        </is>
      </c>
      <c r="BB131" t="inlineStr">
        <is>
          <t>9780471941620</t>
        </is>
      </c>
      <c r="BC131" t="inlineStr">
        <is>
          <t>32285002165578</t>
        </is>
      </c>
      <c r="BD131" t="inlineStr">
        <is>
          <t>893534984</t>
        </is>
      </c>
    </row>
    <row r="132">
      <c r="A132" t="inlineStr">
        <is>
          <t>No</t>
        </is>
      </c>
      <c r="B132" t="inlineStr">
        <is>
          <t>G70.4 .C23 2002</t>
        </is>
      </c>
      <c r="C132" t="inlineStr">
        <is>
          <t>0                      G  0070400C  23          2002</t>
        </is>
      </c>
      <c r="D132" t="inlineStr">
        <is>
          <t>Introduction to remote sensing / James B. Campbell.</t>
        </is>
      </c>
      <c r="F132" t="inlineStr">
        <is>
          <t>No</t>
        </is>
      </c>
      <c r="G132" t="inlineStr">
        <is>
          <t>1</t>
        </is>
      </c>
      <c r="H132" t="inlineStr">
        <is>
          <t>No</t>
        </is>
      </c>
      <c r="I132" t="inlineStr">
        <is>
          <t>No</t>
        </is>
      </c>
      <c r="J132" t="inlineStr">
        <is>
          <t>0</t>
        </is>
      </c>
      <c r="K132" t="inlineStr">
        <is>
          <t>Campbell, James B., 1944-</t>
        </is>
      </c>
      <c r="L132" t="inlineStr">
        <is>
          <t>New York : Guilford Press, c2002.</t>
        </is>
      </c>
      <c r="M132" t="inlineStr">
        <is>
          <t>2002</t>
        </is>
      </c>
      <c r="N132" t="inlineStr">
        <is>
          <t>3rd ed.</t>
        </is>
      </c>
      <c r="O132" t="inlineStr">
        <is>
          <t>eng</t>
        </is>
      </c>
      <c r="P132" t="inlineStr">
        <is>
          <t>nyu</t>
        </is>
      </c>
      <c r="R132" t="inlineStr">
        <is>
          <t xml:space="preserve">G  </t>
        </is>
      </c>
      <c r="S132" t="n">
        <v>1</v>
      </c>
      <c r="T132" t="n">
        <v>1</v>
      </c>
      <c r="U132" t="inlineStr">
        <is>
          <t>2006-10-16</t>
        </is>
      </c>
      <c r="V132" t="inlineStr">
        <is>
          <t>2006-10-16</t>
        </is>
      </c>
      <c r="W132" t="inlineStr">
        <is>
          <t>2004-05-03</t>
        </is>
      </c>
      <c r="X132" t="inlineStr">
        <is>
          <t>2004-05-03</t>
        </is>
      </c>
      <c r="Y132" t="n">
        <v>224</v>
      </c>
      <c r="Z132" t="n">
        <v>148</v>
      </c>
      <c r="AA132" t="n">
        <v>633</v>
      </c>
      <c r="AB132" t="n">
        <v>2</v>
      </c>
      <c r="AC132" t="n">
        <v>6</v>
      </c>
      <c r="AD132" t="n">
        <v>2</v>
      </c>
      <c r="AE132" t="n">
        <v>22</v>
      </c>
      <c r="AF132" t="n">
        <v>1</v>
      </c>
      <c r="AG132" t="n">
        <v>10</v>
      </c>
      <c r="AH132" t="n">
        <v>0</v>
      </c>
      <c r="AI132" t="n">
        <v>4</v>
      </c>
      <c r="AJ132" t="n">
        <v>0</v>
      </c>
      <c r="AK132" t="n">
        <v>6</v>
      </c>
      <c r="AL132" t="n">
        <v>1</v>
      </c>
      <c r="AM132" t="n">
        <v>5</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HYPERLINK("https://creighton-primo.hosted.exlibrisgroup.com/primo-explore/search?tab=default_tab&amp;search_scope=EVERYTHING&amp;vid=01CRU&amp;lang=en_US&amp;offset=0&amp;query=any,contains,991004257129702656","Catalog Record")</f>
        <v/>
      </c>
      <c r="AT132">
        <f>HYPERLINK("http://www.worldcat.org/oclc/48536685","WorldCat Record")</f>
        <v/>
      </c>
      <c r="AU132" t="inlineStr">
        <is>
          <t>8170498:eng</t>
        </is>
      </c>
      <c r="AV132" t="inlineStr">
        <is>
          <t>48536685</t>
        </is>
      </c>
      <c r="AW132" t="inlineStr">
        <is>
          <t>991004257129702656</t>
        </is>
      </c>
      <c r="AX132" t="inlineStr">
        <is>
          <t>991004257129702656</t>
        </is>
      </c>
      <c r="AY132" t="inlineStr">
        <is>
          <t>2269292430002656</t>
        </is>
      </c>
      <c r="AZ132" t="inlineStr">
        <is>
          <t>BOOK</t>
        </is>
      </c>
      <c r="BB132" t="inlineStr">
        <is>
          <t>9781572306400</t>
        </is>
      </c>
      <c r="BC132" t="inlineStr">
        <is>
          <t>32285004903075</t>
        </is>
      </c>
      <c r="BD132" t="inlineStr">
        <is>
          <t>893718688</t>
        </is>
      </c>
    </row>
    <row r="133">
      <c r="A133" t="inlineStr">
        <is>
          <t>No</t>
        </is>
      </c>
      <c r="B133" t="inlineStr">
        <is>
          <t>G70.4 .C655 1997</t>
        </is>
      </c>
      <c r="C133" t="inlineStr">
        <is>
          <t>0                      G  0070400C  655         1997</t>
        </is>
      </c>
      <c r="D133" t="inlineStr">
        <is>
          <t>An introduction to satellite image interpretation / by Eric D. Conway and the Maryland Space Grant Consortium.</t>
        </is>
      </c>
      <c r="F133" t="inlineStr">
        <is>
          <t>No</t>
        </is>
      </c>
      <c r="G133" t="inlineStr">
        <is>
          <t>1</t>
        </is>
      </c>
      <c r="H133" t="inlineStr">
        <is>
          <t>No</t>
        </is>
      </c>
      <c r="I133" t="inlineStr">
        <is>
          <t>No</t>
        </is>
      </c>
      <c r="J133" t="inlineStr">
        <is>
          <t>0</t>
        </is>
      </c>
      <c r="K133" t="inlineStr">
        <is>
          <t>Conway, Eric D.</t>
        </is>
      </c>
      <c r="L133" t="inlineStr">
        <is>
          <t>Baltimore, MD : Johns Hopkins University Press, 1997.</t>
        </is>
      </c>
      <c r="M133" t="inlineStr">
        <is>
          <t>1997</t>
        </is>
      </c>
      <c r="O133" t="inlineStr">
        <is>
          <t>eng</t>
        </is>
      </c>
      <c r="P133" t="inlineStr">
        <is>
          <t>mdu</t>
        </is>
      </c>
      <c r="R133" t="inlineStr">
        <is>
          <t xml:space="preserve">G  </t>
        </is>
      </c>
      <c r="S133" t="n">
        <v>4</v>
      </c>
      <c r="T133" t="n">
        <v>4</v>
      </c>
      <c r="U133" t="inlineStr">
        <is>
          <t>2006-08-22</t>
        </is>
      </c>
      <c r="V133" t="inlineStr">
        <is>
          <t>2006-08-22</t>
        </is>
      </c>
      <c r="W133" t="inlineStr">
        <is>
          <t>1997-06-23</t>
        </is>
      </c>
      <c r="X133" t="inlineStr">
        <is>
          <t>1997-06-23</t>
        </is>
      </c>
      <c r="Y133" t="n">
        <v>287</v>
      </c>
      <c r="Z133" t="n">
        <v>214</v>
      </c>
      <c r="AA133" t="n">
        <v>216</v>
      </c>
      <c r="AB133" t="n">
        <v>1</v>
      </c>
      <c r="AC133" t="n">
        <v>1</v>
      </c>
      <c r="AD133" t="n">
        <v>4</v>
      </c>
      <c r="AE133" t="n">
        <v>4</v>
      </c>
      <c r="AF133" t="n">
        <v>2</v>
      </c>
      <c r="AG133" t="n">
        <v>2</v>
      </c>
      <c r="AH133" t="n">
        <v>1</v>
      </c>
      <c r="AI133" t="n">
        <v>1</v>
      </c>
      <c r="AJ133" t="n">
        <v>2</v>
      </c>
      <c r="AK133" t="n">
        <v>2</v>
      </c>
      <c r="AL133" t="n">
        <v>0</v>
      </c>
      <c r="AM133" t="n">
        <v>0</v>
      </c>
      <c r="AN133" t="n">
        <v>0</v>
      </c>
      <c r="AO133" t="n">
        <v>0</v>
      </c>
      <c r="AP133" t="inlineStr">
        <is>
          <t>No</t>
        </is>
      </c>
      <c r="AQ133" t="inlineStr">
        <is>
          <t>Yes</t>
        </is>
      </c>
      <c r="AR133">
        <f>HYPERLINK("http://catalog.hathitrust.org/Record/003186365","HathiTrust Record")</f>
        <v/>
      </c>
      <c r="AS133">
        <f>HYPERLINK("https://creighton-primo.hosted.exlibrisgroup.com/primo-explore/search?tab=default_tab&amp;search_scope=EVERYTHING&amp;vid=01CRU&amp;lang=en_US&amp;offset=0&amp;query=any,contains,991004623989702656","Catalog Record")</f>
        <v/>
      </c>
      <c r="AT133">
        <f>HYPERLINK("http://www.worldcat.org/oclc/36187962","WorldCat Record")</f>
        <v/>
      </c>
      <c r="AU133" t="inlineStr">
        <is>
          <t>20650762:eng</t>
        </is>
      </c>
      <c r="AV133" t="inlineStr">
        <is>
          <t>36187962</t>
        </is>
      </c>
      <c r="AW133" t="inlineStr">
        <is>
          <t>991004623989702656</t>
        </is>
      </c>
      <c r="AX133" t="inlineStr">
        <is>
          <t>991004623989702656</t>
        </is>
      </c>
      <c r="AY133" t="inlineStr">
        <is>
          <t>2264395760002656</t>
        </is>
      </c>
      <c r="AZ133" t="inlineStr">
        <is>
          <t>BOOK</t>
        </is>
      </c>
      <c r="BB133" t="inlineStr">
        <is>
          <t>9780801855764</t>
        </is>
      </c>
      <c r="BC133" t="inlineStr">
        <is>
          <t>32285002472677</t>
        </is>
      </c>
      <c r="BD133" t="inlineStr">
        <is>
          <t>893263353</t>
        </is>
      </c>
    </row>
    <row r="134">
      <c r="A134" t="inlineStr">
        <is>
          <t>No</t>
        </is>
      </c>
      <c r="B134" t="inlineStr">
        <is>
          <t>G70.4 .J46 1996</t>
        </is>
      </c>
      <c r="C134" t="inlineStr">
        <is>
          <t>0                      G  0070400J  46          1996</t>
        </is>
      </c>
      <c r="D134" t="inlineStr">
        <is>
          <t>Introductory digital image processing : a remote sensing perspective / John R. Jensen.</t>
        </is>
      </c>
      <c r="F134" t="inlineStr">
        <is>
          <t>No</t>
        </is>
      </c>
      <c r="G134" t="inlineStr">
        <is>
          <t>1</t>
        </is>
      </c>
      <c r="H134" t="inlineStr">
        <is>
          <t>No</t>
        </is>
      </c>
      <c r="I134" t="inlineStr">
        <is>
          <t>No</t>
        </is>
      </c>
      <c r="J134" t="inlineStr">
        <is>
          <t>0</t>
        </is>
      </c>
      <c r="K134" t="inlineStr">
        <is>
          <t>Jensen, John R., 1949-</t>
        </is>
      </c>
      <c r="L134" t="inlineStr">
        <is>
          <t>Upper Saddle River, N.J. : Prentice Hall, c1996.</t>
        </is>
      </c>
      <c r="M134" t="inlineStr">
        <is>
          <t>1996</t>
        </is>
      </c>
      <c r="N134" t="inlineStr">
        <is>
          <t>2nd ed.</t>
        </is>
      </c>
      <c r="O134" t="inlineStr">
        <is>
          <t>eng</t>
        </is>
      </c>
      <c r="P134" t="inlineStr">
        <is>
          <t>nju</t>
        </is>
      </c>
      <c r="Q134" t="inlineStr">
        <is>
          <t>Prentice Hall series in geographic information science</t>
        </is>
      </c>
      <c r="R134" t="inlineStr">
        <is>
          <t xml:space="preserve">G  </t>
        </is>
      </c>
      <c r="S134" t="n">
        <v>1</v>
      </c>
      <c r="T134" t="n">
        <v>1</v>
      </c>
      <c r="U134" t="inlineStr">
        <is>
          <t>2005-02-07</t>
        </is>
      </c>
      <c r="V134" t="inlineStr">
        <is>
          <t>2005-02-07</t>
        </is>
      </c>
      <c r="W134" t="inlineStr">
        <is>
          <t>2003-11-20</t>
        </is>
      </c>
      <c r="X134" t="inlineStr">
        <is>
          <t>2003-11-20</t>
        </is>
      </c>
      <c r="Y134" t="n">
        <v>334</v>
      </c>
      <c r="Z134" t="n">
        <v>204</v>
      </c>
      <c r="AA134" t="n">
        <v>392</v>
      </c>
      <c r="AB134" t="n">
        <v>2</v>
      </c>
      <c r="AC134" t="n">
        <v>4</v>
      </c>
      <c r="AD134" t="n">
        <v>4</v>
      </c>
      <c r="AE134" t="n">
        <v>11</v>
      </c>
      <c r="AF134" t="n">
        <v>0</v>
      </c>
      <c r="AG134" t="n">
        <v>4</v>
      </c>
      <c r="AH134" t="n">
        <v>3</v>
      </c>
      <c r="AI134" t="n">
        <v>3</v>
      </c>
      <c r="AJ134" t="n">
        <v>1</v>
      </c>
      <c r="AK134" t="n">
        <v>3</v>
      </c>
      <c r="AL134" t="n">
        <v>1</v>
      </c>
      <c r="AM134" t="n">
        <v>3</v>
      </c>
      <c r="AN134" t="n">
        <v>0</v>
      </c>
      <c r="AO134" t="n">
        <v>0</v>
      </c>
      <c r="AP134" t="inlineStr">
        <is>
          <t>No</t>
        </is>
      </c>
      <c r="AQ134" t="inlineStr">
        <is>
          <t>Yes</t>
        </is>
      </c>
      <c r="AR134">
        <f>HYPERLINK("http://catalog.hathitrust.org/Record/003111979","HathiTrust Record")</f>
        <v/>
      </c>
      <c r="AS134">
        <f>HYPERLINK("https://creighton-primo.hosted.exlibrisgroup.com/primo-explore/search?tab=default_tab&amp;search_scope=EVERYTHING&amp;vid=01CRU&amp;lang=en_US&amp;offset=0&amp;query=any,contains,991004181189702656","Catalog Record")</f>
        <v/>
      </c>
      <c r="AT134">
        <f>HYPERLINK("http://www.worldcat.org/oclc/32665212","WorldCat Record")</f>
        <v/>
      </c>
      <c r="AU134" t="inlineStr">
        <is>
          <t>4906084:eng</t>
        </is>
      </c>
      <c r="AV134" t="inlineStr">
        <is>
          <t>32665212</t>
        </is>
      </c>
      <c r="AW134" t="inlineStr">
        <is>
          <t>991004181189702656</t>
        </is>
      </c>
      <c r="AX134" t="inlineStr">
        <is>
          <t>991004181189702656</t>
        </is>
      </c>
      <c r="AY134" t="inlineStr">
        <is>
          <t>2264533600002656</t>
        </is>
      </c>
      <c r="AZ134" t="inlineStr">
        <is>
          <t>BOOK</t>
        </is>
      </c>
      <c r="BB134" t="inlineStr">
        <is>
          <t>9780132058407</t>
        </is>
      </c>
      <c r="BC134" t="inlineStr">
        <is>
          <t>32285004840855</t>
        </is>
      </c>
      <c r="BD134" t="inlineStr">
        <is>
          <t>893888389</t>
        </is>
      </c>
    </row>
    <row r="135">
      <c r="A135" t="inlineStr">
        <is>
          <t>No</t>
        </is>
      </c>
      <c r="B135" t="inlineStr">
        <is>
          <t>G70.4 .L54 2004</t>
        </is>
      </c>
      <c r="C135" t="inlineStr">
        <is>
          <t>0                      G  0070400L  54          2004</t>
        </is>
      </c>
      <c r="D135" t="inlineStr">
        <is>
          <t>Remote sensing and image interpretation / Thomas M. Lillesand, Ralph W. Kiefer, Jonathan W. Chipman.</t>
        </is>
      </c>
      <c r="F135" t="inlineStr">
        <is>
          <t>No</t>
        </is>
      </c>
      <c r="G135" t="inlineStr">
        <is>
          <t>1</t>
        </is>
      </c>
      <c r="H135" t="inlineStr">
        <is>
          <t>No</t>
        </is>
      </c>
      <c r="I135" t="inlineStr">
        <is>
          <t>No</t>
        </is>
      </c>
      <c r="J135" t="inlineStr">
        <is>
          <t>0</t>
        </is>
      </c>
      <c r="K135" t="inlineStr">
        <is>
          <t>Lillesand, Thomas M.</t>
        </is>
      </c>
      <c r="L135" t="inlineStr">
        <is>
          <t>New York : Wiley, c2004.</t>
        </is>
      </c>
      <c r="M135" t="inlineStr">
        <is>
          <t>2004</t>
        </is>
      </c>
      <c r="N135" t="inlineStr">
        <is>
          <t>5th ed.</t>
        </is>
      </c>
      <c r="O135" t="inlineStr">
        <is>
          <t>eng</t>
        </is>
      </c>
      <c r="P135" t="inlineStr">
        <is>
          <t>nyu</t>
        </is>
      </c>
      <c r="R135" t="inlineStr">
        <is>
          <t xml:space="preserve">G  </t>
        </is>
      </c>
      <c r="S135" t="n">
        <v>3</v>
      </c>
      <c r="T135" t="n">
        <v>3</v>
      </c>
      <c r="U135" t="inlineStr">
        <is>
          <t>2009-05-15</t>
        </is>
      </c>
      <c r="V135" t="inlineStr">
        <is>
          <t>2009-05-15</t>
        </is>
      </c>
      <c r="W135" t="inlineStr">
        <is>
          <t>2004-02-11</t>
        </is>
      </c>
      <c r="X135" t="inlineStr">
        <is>
          <t>2004-02-11</t>
        </is>
      </c>
      <c r="Y135" t="n">
        <v>372</v>
      </c>
      <c r="Z135" t="n">
        <v>173</v>
      </c>
      <c r="AA135" t="n">
        <v>790</v>
      </c>
      <c r="AB135" t="n">
        <v>3</v>
      </c>
      <c r="AC135" t="n">
        <v>7</v>
      </c>
      <c r="AD135" t="n">
        <v>7</v>
      </c>
      <c r="AE135" t="n">
        <v>24</v>
      </c>
      <c r="AF135" t="n">
        <v>1</v>
      </c>
      <c r="AG135" t="n">
        <v>8</v>
      </c>
      <c r="AH135" t="n">
        <v>2</v>
      </c>
      <c r="AI135" t="n">
        <v>5</v>
      </c>
      <c r="AJ135" t="n">
        <v>3</v>
      </c>
      <c r="AK135" t="n">
        <v>10</v>
      </c>
      <c r="AL135" t="n">
        <v>2</v>
      </c>
      <c r="AM135" t="n">
        <v>5</v>
      </c>
      <c r="AN135" t="n">
        <v>0</v>
      </c>
      <c r="AO135" t="n">
        <v>0</v>
      </c>
      <c r="AP135" t="inlineStr">
        <is>
          <t>No</t>
        </is>
      </c>
      <c r="AQ135" t="inlineStr">
        <is>
          <t>Yes</t>
        </is>
      </c>
      <c r="AR135">
        <f>HYPERLINK("http://catalog.hathitrust.org/Record/004354940","HathiTrust Record")</f>
        <v/>
      </c>
      <c r="AS135">
        <f>HYPERLINK("https://creighton-primo.hosted.exlibrisgroup.com/primo-explore/search?tab=default_tab&amp;search_scope=EVERYTHING&amp;vid=01CRU&amp;lang=en_US&amp;offset=0&amp;query=any,contains,991004181219702656","Catalog Record")</f>
        <v/>
      </c>
      <c r="AT135">
        <f>HYPERLINK("http://www.worldcat.org/oclc/53313638","WorldCat Record")</f>
        <v/>
      </c>
      <c r="AU135" t="inlineStr">
        <is>
          <t>702958:eng</t>
        </is>
      </c>
      <c r="AV135" t="inlineStr">
        <is>
          <t>53313638</t>
        </is>
      </c>
      <c r="AW135" t="inlineStr">
        <is>
          <t>991004181219702656</t>
        </is>
      </c>
      <c r="AX135" t="inlineStr">
        <is>
          <t>991004181219702656</t>
        </is>
      </c>
      <c r="AY135" t="inlineStr">
        <is>
          <t>2256113850002656</t>
        </is>
      </c>
      <c r="AZ135" t="inlineStr">
        <is>
          <t>BOOK</t>
        </is>
      </c>
      <c r="BB135" t="inlineStr">
        <is>
          <t>9780471152279</t>
        </is>
      </c>
      <c r="BC135" t="inlineStr">
        <is>
          <t>32285004637806</t>
        </is>
      </c>
      <c r="BD135" t="inlineStr">
        <is>
          <t>893781938</t>
        </is>
      </c>
    </row>
    <row r="136">
      <c r="A136" t="inlineStr">
        <is>
          <t>No</t>
        </is>
      </c>
      <c r="B136" t="inlineStr">
        <is>
          <t>G70.4 .V47 1995</t>
        </is>
      </c>
      <c r="C136" t="inlineStr">
        <is>
          <t>0                      G  0070400V  47          1995</t>
        </is>
      </c>
      <c r="D136" t="inlineStr">
        <is>
          <t>Satellite remote sensing of natural resources / David L. Verbyla.</t>
        </is>
      </c>
      <c r="F136" t="inlineStr">
        <is>
          <t>No</t>
        </is>
      </c>
      <c r="G136" t="inlineStr">
        <is>
          <t>1</t>
        </is>
      </c>
      <c r="H136" t="inlineStr">
        <is>
          <t>No</t>
        </is>
      </c>
      <c r="I136" t="inlineStr">
        <is>
          <t>No</t>
        </is>
      </c>
      <c r="J136" t="inlineStr">
        <is>
          <t>0</t>
        </is>
      </c>
      <c r="K136" t="inlineStr">
        <is>
          <t>Verbyla, David L.</t>
        </is>
      </c>
      <c r="L136" t="inlineStr">
        <is>
          <t>Boca Raton : Lewis Publishers, c1995.</t>
        </is>
      </c>
      <c r="M136" t="inlineStr">
        <is>
          <t>1995</t>
        </is>
      </c>
      <c r="O136" t="inlineStr">
        <is>
          <t>eng</t>
        </is>
      </c>
      <c r="P136" t="inlineStr">
        <is>
          <t>flu</t>
        </is>
      </c>
      <c r="R136" t="inlineStr">
        <is>
          <t xml:space="preserve">G  </t>
        </is>
      </c>
      <c r="S136" t="n">
        <v>2</v>
      </c>
      <c r="T136" t="n">
        <v>2</v>
      </c>
      <c r="U136" t="inlineStr">
        <is>
          <t>2000-05-22</t>
        </is>
      </c>
      <c r="V136" t="inlineStr">
        <is>
          <t>2000-05-22</t>
        </is>
      </c>
      <c r="W136" t="inlineStr">
        <is>
          <t>1995-11-06</t>
        </is>
      </c>
      <c r="X136" t="inlineStr">
        <is>
          <t>1995-11-06</t>
        </is>
      </c>
      <c r="Y136" t="n">
        <v>389</v>
      </c>
      <c r="Z136" t="n">
        <v>281</v>
      </c>
      <c r="AA136" t="n">
        <v>281</v>
      </c>
      <c r="AB136" t="n">
        <v>4</v>
      </c>
      <c r="AC136" t="n">
        <v>4</v>
      </c>
      <c r="AD136" t="n">
        <v>8</v>
      </c>
      <c r="AE136" t="n">
        <v>8</v>
      </c>
      <c r="AF136" t="n">
        <v>1</v>
      </c>
      <c r="AG136" t="n">
        <v>1</v>
      </c>
      <c r="AH136" t="n">
        <v>2</v>
      </c>
      <c r="AI136" t="n">
        <v>2</v>
      </c>
      <c r="AJ136" t="n">
        <v>2</v>
      </c>
      <c r="AK136" t="n">
        <v>2</v>
      </c>
      <c r="AL136" t="n">
        <v>3</v>
      </c>
      <c r="AM136" t="n">
        <v>3</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HYPERLINK("https://creighton-primo.hosted.exlibrisgroup.com/primo-explore/search?tab=default_tab&amp;search_scope=EVERYTHING&amp;vid=01CRU&amp;lang=en_US&amp;offset=0&amp;query=any,contains,991005419899702656","Catalog Record")</f>
        <v/>
      </c>
      <c r="AT136">
        <f>HYPERLINK("http://www.worldcat.org/oclc/31377743","WorldCat Record")</f>
        <v/>
      </c>
      <c r="AU136" t="inlineStr">
        <is>
          <t>33441370:eng</t>
        </is>
      </c>
      <c r="AV136" t="inlineStr">
        <is>
          <t>31377743</t>
        </is>
      </c>
      <c r="AW136" t="inlineStr">
        <is>
          <t>991005419899702656</t>
        </is>
      </c>
      <c r="AX136" t="inlineStr">
        <is>
          <t>991005419899702656</t>
        </is>
      </c>
      <c r="AY136" t="inlineStr">
        <is>
          <t>2255780020002656</t>
        </is>
      </c>
      <c r="AZ136" t="inlineStr">
        <is>
          <t>BOOK</t>
        </is>
      </c>
      <c r="BB136" t="inlineStr">
        <is>
          <t>9781566701075</t>
        </is>
      </c>
      <c r="BC136" t="inlineStr">
        <is>
          <t>32285002101375</t>
        </is>
      </c>
      <c r="BD136" t="inlineStr">
        <is>
          <t>893502005</t>
        </is>
      </c>
    </row>
    <row r="137">
      <c r="A137" t="inlineStr">
        <is>
          <t>No</t>
        </is>
      </c>
      <c r="B137" t="inlineStr">
        <is>
          <t>G743 .E47 2001</t>
        </is>
      </c>
      <c r="C137" t="inlineStr">
        <is>
          <t>0                      G  0743000E  47          2001</t>
        </is>
      </c>
      <c r="D137" t="inlineStr">
        <is>
          <t>This cold heaven : seven seasons in Greenland / Gretel Ehrlich.</t>
        </is>
      </c>
      <c r="F137" t="inlineStr">
        <is>
          <t>No</t>
        </is>
      </c>
      <c r="G137" t="inlineStr">
        <is>
          <t>1</t>
        </is>
      </c>
      <c r="H137" t="inlineStr">
        <is>
          <t>No</t>
        </is>
      </c>
      <c r="I137" t="inlineStr">
        <is>
          <t>No</t>
        </is>
      </c>
      <c r="J137" t="inlineStr">
        <is>
          <t>0</t>
        </is>
      </c>
      <c r="K137" t="inlineStr">
        <is>
          <t>Ehrlich, Gretel.</t>
        </is>
      </c>
      <c r="L137" t="inlineStr">
        <is>
          <t>New York : Pantheon Books c2001.</t>
        </is>
      </c>
      <c r="M137" t="inlineStr">
        <is>
          <t>2001</t>
        </is>
      </c>
      <c r="N137" t="inlineStr">
        <is>
          <t>1st ed.</t>
        </is>
      </c>
      <c r="O137" t="inlineStr">
        <is>
          <t>eng</t>
        </is>
      </c>
      <c r="P137" t="inlineStr">
        <is>
          <t>nyu</t>
        </is>
      </c>
      <c r="R137" t="inlineStr">
        <is>
          <t xml:space="preserve">G  </t>
        </is>
      </c>
      <c r="S137" t="n">
        <v>3</v>
      </c>
      <c r="T137" t="n">
        <v>3</v>
      </c>
      <c r="U137" t="inlineStr">
        <is>
          <t>2005-12-20</t>
        </is>
      </c>
      <c r="V137" t="inlineStr">
        <is>
          <t>2005-12-20</t>
        </is>
      </c>
      <c r="W137" t="inlineStr">
        <is>
          <t>2001-11-20</t>
        </is>
      </c>
      <c r="X137" t="inlineStr">
        <is>
          <t>2001-11-20</t>
        </is>
      </c>
      <c r="Y137" t="n">
        <v>840</v>
      </c>
      <c r="Z137" t="n">
        <v>791</v>
      </c>
      <c r="AA137" t="n">
        <v>944</v>
      </c>
      <c r="AB137" t="n">
        <v>5</v>
      </c>
      <c r="AC137" t="n">
        <v>6</v>
      </c>
      <c r="AD137" t="n">
        <v>12</v>
      </c>
      <c r="AE137" t="n">
        <v>15</v>
      </c>
      <c r="AF137" t="n">
        <v>5</v>
      </c>
      <c r="AG137" t="n">
        <v>6</v>
      </c>
      <c r="AH137" t="n">
        <v>2</v>
      </c>
      <c r="AI137" t="n">
        <v>2</v>
      </c>
      <c r="AJ137" t="n">
        <v>6</v>
      </c>
      <c r="AK137" t="n">
        <v>8</v>
      </c>
      <c r="AL137" t="n">
        <v>1</v>
      </c>
      <c r="AM137" t="n">
        <v>2</v>
      </c>
      <c r="AN137" t="n">
        <v>0</v>
      </c>
      <c r="AO137" t="n">
        <v>0</v>
      </c>
      <c r="AP137" t="inlineStr">
        <is>
          <t>No</t>
        </is>
      </c>
      <c r="AQ137" t="inlineStr">
        <is>
          <t>Yes</t>
        </is>
      </c>
      <c r="AR137">
        <f>HYPERLINK("http://catalog.hathitrust.org/Record/004206694","HathiTrust Record")</f>
        <v/>
      </c>
      <c r="AS137">
        <f>HYPERLINK("https://creighton-primo.hosted.exlibrisgroup.com/primo-explore/search?tab=default_tab&amp;search_scope=EVERYTHING&amp;vid=01CRU&amp;lang=en_US&amp;offset=0&amp;query=any,contains,991003680149702656","Catalog Record")</f>
        <v/>
      </c>
      <c r="AT137">
        <f>HYPERLINK("http://www.worldcat.org/oclc/45610031","WorldCat Record")</f>
        <v/>
      </c>
      <c r="AU137" t="inlineStr">
        <is>
          <t>6714528:eng</t>
        </is>
      </c>
      <c r="AV137" t="inlineStr">
        <is>
          <t>45610031</t>
        </is>
      </c>
      <c r="AW137" t="inlineStr">
        <is>
          <t>991003680149702656</t>
        </is>
      </c>
      <c r="AX137" t="inlineStr">
        <is>
          <t>991003680149702656</t>
        </is>
      </c>
      <c r="AY137" t="inlineStr">
        <is>
          <t>2260297030002656</t>
        </is>
      </c>
      <c r="AZ137" t="inlineStr">
        <is>
          <t>BOOK</t>
        </is>
      </c>
      <c r="BB137" t="inlineStr">
        <is>
          <t>9780679442004</t>
        </is>
      </c>
      <c r="BC137" t="inlineStr">
        <is>
          <t>32285004413091</t>
        </is>
      </c>
      <c r="BD137" t="inlineStr">
        <is>
          <t>893611312</t>
        </is>
      </c>
    </row>
    <row r="138">
      <c r="A138" t="inlineStr">
        <is>
          <t>No</t>
        </is>
      </c>
      <c r="B138" t="inlineStr">
        <is>
          <t>G765.T5 K38 2006</t>
        </is>
      </c>
      <c r="C138" t="inlineStr">
        <is>
          <t>0                      G  0765000T  5                  K  38          2006</t>
        </is>
      </c>
      <c r="D138" t="inlineStr">
        <is>
          <t>The ice museum : in search of the lost land of Thule / Joanna Kavenna.</t>
        </is>
      </c>
      <c r="F138" t="inlineStr">
        <is>
          <t>No</t>
        </is>
      </c>
      <c r="G138" t="inlineStr">
        <is>
          <t>1</t>
        </is>
      </c>
      <c r="H138" t="inlineStr">
        <is>
          <t>No</t>
        </is>
      </c>
      <c r="I138" t="inlineStr">
        <is>
          <t>No</t>
        </is>
      </c>
      <c r="J138" t="inlineStr">
        <is>
          <t>0</t>
        </is>
      </c>
      <c r="K138" t="inlineStr">
        <is>
          <t>Kavenna, Joanna.</t>
        </is>
      </c>
      <c r="L138" t="inlineStr">
        <is>
          <t>New York : Viking, 2006, c2005.</t>
        </is>
      </c>
      <c r="M138" t="inlineStr">
        <is>
          <t>2006</t>
        </is>
      </c>
      <c r="O138" t="inlineStr">
        <is>
          <t>eng</t>
        </is>
      </c>
      <c r="P138" t="inlineStr">
        <is>
          <t>nyu</t>
        </is>
      </c>
      <c r="R138" t="inlineStr">
        <is>
          <t xml:space="preserve">G  </t>
        </is>
      </c>
      <c r="S138" t="n">
        <v>3</v>
      </c>
      <c r="T138" t="n">
        <v>3</v>
      </c>
      <c r="U138" t="inlineStr">
        <is>
          <t>2006-06-13</t>
        </is>
      </c>
      <c r="V138" t="inlineStr">
        <is>
          <t>2006-06-13</t>
        </is>
      </c>
      <c r="W138" t="inlineStr">
        <is>
          <t>2006-03-07</t>
        </is>
      </c>
      <c r="X138" t="inlineStr">
        <is>
          <t>2006-03-07</t>
        </is>
      </c>
      <c r="Y138" t="n">
        <v>455</v>
      </c>
      <c r="Z138" t="n">
        <v>434</v>
      </c>
      <c r="AA138" t="n">
        <v>536</v>
      </c>
      <c r="AB138" t="n">
        <v>3</v>
      </c>
      <c r="AC138" t="n">
        <v>4</v>
      </c>
      <c r="AD138" t="n">
        <v>7</v>
      </c>
      <c r="AE138" t="n">
        <v>8</v>
      </c>
      <c r="AF138" t="n">
        <v>2</v>
      </c>
      <c r="AG138" t="n">
        <v>2</v>
      </c>
      <c r="AH138" t="n">
        <v>3</v>
      </c>
      <c r="AI138" t="n">
        <v>3</v>
      </c>
      <c r="AJ138" t="n">
        <v>4</v>
      </c>
      <c r="AK138" t="n">
        <v>4</v>
      </c>
      <c r="AL138" t="n">
        <v>0</v>
      </c>
      <c r="AM138" t="n">
        <v>1</v>
      </c>
      <c r="AN138" t="n">
        <v>0</v>
      </c>
      <c r="AO138" t="n">
        <v>0</v>
      </c>
      <c r="AP138" t="inlineStr">
        <is>
          <t>No</t>
        </is>
      </c>
      <c r="AQ138" t="inlineStr">
        <is>
          <t>Yes</t>
        </is>
      </c>
      <c r="AR138">
        <f>HYPERLINK("http://catalog.hathitrust.org/Record/007146376","HathiTrust Record")</f>
        <v/>
      </c>
      <c r="AS138">
        <f>HYPERLINK("https://creighton-primo.hosted.exlibrisgroup.com/primo-explore/search?tab=default_tab&amp;search_scope=EVERYTHING&amp;vid=01CRU&amp;lang=en_US&amp;offset=0&amp;query=any,contains,991004760829702656","Catalog Record")</f>
        <v/>
      </c>
      <c r="AT138">
        <f>HYPERLINK("http://www.worldcat.org/oclc/63655117","WorldCat Record")</f>
        <v/>
      </c>
      <c r="AU138" t="inlineStr">
        <is>
          <t>17426639:eng</t>
        </is>
      </c>
      <c r="AV138" t="inlineStr">
        <is>
          <t>63655117</t>
        </is>
      </c>
      <c r="AW138" t="inlineStr">
        <is>
          <t>991004760829702656</t>
        </is>
      </c>
      <c r="AX138" t="inlineStr">
        <is>
          <t>991004760829702656</t>
        </is>
      </c>
      <c r="AY138" t="inlineStr">
        <is>
          <t>2262996460002656</t>
        </is>
      </c>
      <c r="AZ138" t="inlineStr">
        <is>
          <t>BOOK</t>
        </is>
      </c>
      <c r="BB138" t="inlineStr">
        <is>
          <t>9780670034734</t>
        </is>
      </c>
      <c r="BC138" t="inlineStr">
        <is>
          <t>32285005168629</t>
        </is>
      </c>
      <c r="BD138" t="inlineStr">
        <is>
          <t>893876547</t>
        </is>
      </c>
    </row>
    <row r="139">
      <c r="A139" t="inlineStr">
        <is>
          <t>No</t>
        </is>
      </c>
      <c r="B139" t="inlineStr">
        <is>
          <t>G80 .D4</t>
        </is>
      </c>
      <c r="C139" t="inlineStr">
        <is>
          <t>0                      G  0080000D  4</t>
        </is>
      </c>
      <c r="D139" t="inlineStr">
        <is>
          <t>Discovery and exploration; an atlas-history of man's wanderings. Introd. by Edward Shackleton.</t>
        </is>
      </c>
      <c r="F139" t="inlineStr">
        <is>
          <t>No</t>
        </is>
      </c>
      <c r="G139" t="inlineStr">
        <is>
          <t>1</t>
        </is>
      </c>
      <c r="H139" t="inlineStr">
        <is>
          <t>No</t>
        </is>
      </c>
      <c r="I139" t="inlineStr">
        <is>
          <t>No</t>
        </is>
      </c>
      <c r="J139" t="inlineStr">
        <is>
          <t>0</t>
        </is>
      </c>
      <c r="K139" t="inlineStr">
        <is>
          <t>Debenham, Frank, 1883-1965.</t>
        </is>
      </c>
      <c r="L139" t="inlineStr">
        <is>
          <t>New York, Doubleday [1960]</t>
        </is>
      </c>
      <c r="M139" t="inlineStr">
        <is>
          <t>1960</t>
        </is>
      </c>
      <c r="O139" t="inlineStr">
        <is>
          <t>eng</t>
        </is>
      </c>
      <c r="P139" t="inlineStr">
        <is>
          <t>nyu</t>
        </is>
      </c>
      <c r="R139" t="inlineStr">
        <is>
          <t xml:space="preserve">G  </t>
        </is>
      </c>
      <c r="S139" t="n">
        <v>3</v>
      </c>
      <c r="T139" t="n">
        <v>3</v>
      </c>
      <c r="U139" t="inlineStr">
        <is>
          <t>2000-11-05</t>
        </is>
      </c>
      <c r="V139" t="inlineStr">
        <is>
          <t>2000-11-05</t>
        </is>
      </c>
      <c r="W139" t="inlineStr">
        <is>
          <t>1997-05-21</t>
        </is>
      </c>
      <c r="X139" t="inlineStr">
        <is>
          <t>1997-05-21</t>
        </is>
      </c>
      <c r="Y139" t="n">
        <v>592</v>
      </c>
      <c r="Z139" t="n">
        <v>562</v>
      </c>
      <c r="AA139" t="n">
        <v>570</v>
      </c>
      <c r="AB139" t="n">
        <v>3</v>
      </c>
      <c r="AC139" t="n">
        <v>3</v>
      </c>
      <c r="AD139" t="n">
        <v>14</v>
      </c>
      <c r="AE139" t="n">
        <v>14</v>
      </c>
      <c r="AF139" t="n">
        <v>7</v>
      </c>
      <c r="AG139" t="n">
        <v>7</v>
      </c>
      <c r="AH139" t="n">
        <v>3</v>
      </c>
      <c r="AI139" t="n">
        <v>3</v>
      </c>
      <c r="AJ139" t="n">
        <v>6</v>
      </c>
      <c r="AK139" t="n">
        <v>6</v>
      </c>
      <c r="AL139" t="n">
        <v>2</v>
      </c>
      <c r="AM139" t="n">
        <v>2</v>
      </c>
      <c r="AN139" t="n">
        <v>0</v>
      </c>
      <c r="AO139" t="n">
        <v>0</v>
      </c>
      <c r="AP139" t="inlineStr">
        <is>
          <t>No</t>
        </is>
      </c>
      <c r="AQ139" t="inlineStr">
        <is>
          <t>No</t>
        </is>
      </c>
      <c r="AR139">
        <f>HYPERLINK("http://catalog.hathitrust.org/Record/001270318","HathiTrust Record")</f>
        <v/>
      </c>
      <c r="AS139">
        <f>HYPERLINK("https://creighton-primo.hosted.exlibrisgroup.com/primo-explore/search?tab=default_tab&amp;search_scope=EVERYTHING&amp;vid=01CRU&amp;lang=en_US&amp;offset=0&amp;query=any,contains,991002849639702656","Catalog Record")</f>
        <v/>
      </c>
      <c r="AT139">
        <f>HYPERLINK("http://www.worldcat.org/oclc/485965","WorldCat Record")</f>
        <v/>
      </c>
      <c r="AU139" t="inlineStr">
        <is>
          <t>9592890145:eng</t>
        </is>
      </c>
      <c r="AV139" t="inlineStr">
        <is>
          <t>485965</t>
        </is>
      </c>
      <c r="AW139" t="inlineStr">
        <is>
          <t>991002849639702656</t>
        </is>
      </c>
      <c r="AX139" t="inlineStr">
        <is>
          <t>991002849639702656</t>
        </is>
      </c>
      <c r="AY139" t="inlineStr">
        <is>
          <t>2259497860002656</t>
        </is>
      </c>
      <c r="AZ139" t="inlineStr">
        <is>
          <t>BOOK</t>
        </is>
      </c>
      <c r="BC139" t="inlineStr">
        <is>
          <t>32285002690492</t>
        </is>
      </c>
      <c r="BD139" t="inlineStr">
        <is>
          <t>893440594</t>
        </is>
      </c>
    </row>
    <row r="140">
      <c r="A140" t="inlineStr">
        <is>
          <t>No</t>
        </is>
      </c>
      <c r="B140" t="inlineStr">
        <is>
          <t>G80 .F37 2007</t>
        </is>
      </c>
      <c r="C140" t="inlineStr">
        <is>
          <t>0                      G  0080000F  37          2007</t>
        </is>
      </c>
      <c r="D140" t="inlineStr">
        <is>
          <t>Pathfinders : a global history of exploration / Felipe Fernández-Armesto.</t>
        </is>
      </c>
      <c r="F140" t="inlineStr">
        <is>
          <t>No</t>
        </is>
      </c>
      <c r="G140" t="inlineStr">
        <is>
          <t>1</t>
        </is>
      </c>
      <c r="H140" t="inlineStr">
        <is>
          <t>No</t>
        </is>
      </c>
      <c r="I140" t="inlineStr">
        <is>
          <t>No</t>
        </is>
      </c>
      <c r="J140" t="inlineStr">
        <is>
          <t>0</t>
        </is>
      </c>
      <c r="K140" t="inlineStr">
        <is>
          <t>Fernández-Armesto, Felipe.</t>
        </is>
      </c>
      <c r="L140" t="inlineStr">
        <is>
          <t>New York : W. W. Norton, 2007, c2006.</t>
        </is>
      </c>
      <c r="M140" t="inlineStr">
        <is>
          <t>2007</t>
        </is>
      </c>
      <c r="O140" t="inlineStr">
        <is>
          <t>eng</t>
        </is>
      </c>
      <c r="P140" t="inlineStr">
        <is>
          <t>nyu</t>
        </is>
      </c>
      <c r="R140" t="inlineStr">
        <is>
          <t xml:space="preserve">G  </t>
        </is>
      </c>
      <c r="S140" t="n">
        <v>4</v>
      </c>
      <c r="T140" t="n">
        <v>4</v>
      </c>
      <c r="U140" t="inlineStr">
        <is>
          <t>2008-09-15</t>
        </is>
      </c>
      <c r="V140" t="inlineStr">
        <is>
          <t>2008-09-15</t>
        </is>
      </c>
      <c r="W140" t="inlineStr">
        <is>
          <t>2008-08-11</t>
        </is>
      </c>
      <c r="X140" t="inlineStr">
        <is>
          <t>2008-08-11</t>
        </is>
      </c>
      <c r="Y140" t="n">
        <v>114</v>
      </c>
      <c r="Z140" t="n">
        <v>91</v>
      </c>
      <c r="AA140" t="n">
        <v>892</v>
      </c>
      <c r="AB140" t="n">
        <v>1</v>
      </c>
      <c r="AC140" t="n">
        <v>4</v>
      </c>
      <c r="AD140" t="n">
        <v>1</v>
      </c>
      <c r="AE140" t="n">
        <v>20</v>
      </c>
      <c r="AF140" t="n">
        <v>0</v>
      </c>
      <c r="AG140" t="n">
        <v>7</v>
      </c>
      <c r="AH140" t="n">
        <v>1</v>
      </c>
      <c r="AI140" t="n">
        <v>5</v>
      </c>
      <c r="AJ140" t="n">
        <v>1</v>
      </c>
      <c r="AK140" t="n">
        <v>12</v>
      </c>
      <c r="AL140" t="n">
        <v>0</v>
      </c>
      <c r="AM140" t="n">
        <v>2</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HYPERLINK("https://creighton-primo.hosted.exlibrisgroup.com/primo-explore/search?tab=default_tab&amp;search_scope=EVERYTHING&amp;vid=01CRU&amp;lang=en_US&amp;offset=0&amp;query=any,contains,991005258969702656","Catalog Record")</f>
        <v/>
      </c>
      <c r="AT140">
        <f>HYPERLINK("http://www.worldcat.org/oclc/173846783","WorldCat Record")</f>
        <v/>
      </c>
      <c r="AU140" t="inlineStr">
        <is>
          <t>796439038:eng</t>
        </is>
      </c>
      <c r="AV140" t="inlineStr">
        <is>
          <t>173846783</t>
        </is>
      </c>
      <c r="AW140" t="inlineStr">
        <is>
          <t>991005258969702656</t>
        </is>
      </c>
      <c r="AX140" t="inlineStr">
        <is>
          <t>991005258969702656</t>
        </is>
      </c>
      <c r="AY140" t="inlineStr">
        <is>
          <t>2257273800002656</t>
        </is>
      </c>
      <c r="AZ140" t="inlineStr">
        <is>
          <t>BOOK</t>
        </is>
      </c>
      <c r="BB140" t="inlineStr">
        <is>
          <t>9780393330915</t>
        </is>
      </c>
      <c r="BC140" t="inlineStr">
        <is>
          <t>32285005452783</t>
        </is>
      </c>
      <c r="BD140" t="inlineStr">
        <is>
          <t>893230456</t>
        </is>
      </c>
    </row>
    <row r="141">
      <c r="A141" t="inlineStr">
        <is>
          <t>No</t>
        </is>
      </c>
      <c r="B141" t="inlineStr">
        <is>
          <t>G80 .G76 1974</t>
        </is>
      </c>
      <c r="C141" t="inlineStr">
        <is>
          <t>0                      G  0080000G  76          1974</t>
        </is>
      </c>
      <c r="D141" t="inlineStr">
        <is>
          <t>Die Grossen Entdecker / herausgegeben von C. C. Bergius ... et al. ; Textmitarb., C. C. Bergius [... et al. ; Zeichn., Günter Radtke, Jörg Kühn].</t>
        </is>
      </c>
      <c r="F141" t="inlineStr">
        <is>
          <t>No</t>
        </is>
      </c>
      <c r="G141" t="inlineStr">
        <is>
          <t>1</t>
        </is>
      </c>
      <c r="H141" t="inlineStr">
        <is>
          <t>No</t>
        </is>
      </c>
      <c r="I141" t="inlineStr">
        <is>
          <t>No</t>
        </is>
      </c>
      <c r="J141" t="inlineStr">
        <is>
          <t>0</t>
        </is>
      </c>
      <c r="L141" t="inlineStr">
        <is>
          <t>Gütersloh : Praesentverlag Peter, [1974]</t>
        </is>
      </c>
      <c r="M141" t="inlineStr">
        <is>
          <t>1974</t>
        </is>
      </c>
      <c r="O141" t="inlineStr">
        <is>
          <t>ger</t>
        </is>
      </c>
      <c r="P141" t="inlineStr">
        <is>
          <t xml:space="preserve">gw </t>
        </is>
      </c>
      <c r="R141" t="inlineStr">
        <is>
          <t xml:space="preserve">G  </t>
        </is>
      </c>
      <c r="S141" t="n">
        <v>5</v>
      </c>
      <c r="T141" t="n">
        <v>5</v>
      </c>
      <c r="U141" t="inlineStr">
        <is>
          <t>1996-10-17</t>
        </is>
      </c>
      <c r="V141" t="inlineStr">
        <is>
          <t>1996-10-17</t>
        </is>
      </c>
      <c r="W141" t="inlineStr">
        <is>
          <t>1993-11-04</t>
        </is>
      </c>
      <c r="X141" t="inlineStr">
        <is>
          <t>1993-11-04</t>
        </is>
      </c>
      <c r="Y141" t="n">
        <v>14</v>
      </c>
      <c r="Z141" t="n">
        <v>9</v>
      </c>
      <c r="AA141" t="n">
        <v>11</v>
      </c>
      <c r="AB141" t="n">
        <v>1</v>
      </c>
      <c r="AC141" t="n">
        <v>1</v>
      </c>
      <c r="AD141" t="n">
        <v>0</v>
      </c>
      <c r="AE141" t="n">
        <v>0</v>
      </c>
      <c r="AF141" t="n">
        <v>0</v>
      </c>
      <c r="AG141" t="n">
        <v>0</v>
      </c>
      <c r="AH141" t="n">
        <v>0</v>
      </c>
      <c r="AI141" t="n">
        <v>0</v>
      </c>
      <c r="AJ141" t="n">
        <v>0</v>
      </c>
      <c r="AK141" t="n">
        <v>0</v>
      </c>
      <c r="AL141" t="n">
        <v>0</v>
      </c>
      <c r="AM141" t="n">
        <v>0</v>
      </c>
      <c r="AN141" t="n">
        <v>0</v>
      </c>
      <c r="AO141" t="n">
        <v>0</v>
      </c>
      <c r="AP141" t="inlineStr">
        <is>
          <t>No</t>
        </is>
      </c>
      <c r="AQ141" t="inlineStr">
        <is>
          <t>Yes</t>
        </is>
      </c>
      <c r="AR141">
        <f>HYPERLINK("http://catalog.hathitrust.org/Record/001270324","HathiTrust Record")</f>
        <v/>
      </c>
      <c r="AS141">
        <f>HYPERLINK("https://creighton-primo.hosted.exlibrisgroup.com/primo-explore/search?tab=default_tab&amp;search_scope=EVERYTHING&amp;vid=01CRU&amp;lang=en_US&amp;offset=0&amp;query=any,contains,991000252869702656","Catalog Record")</f>
        <v/>
      </c>
      <c r="AT141">
        <f>HYPERLINK("http://www.worldcat.org/oclc/9759969","WorldCat Record")</f>
        <v/>
      </c>
      <c r="AU141" t="inlineStr">
        <is>
          <t>3943724135:ger</t>
        </is>
      </c>
      <c r="AV141" t="inlineStr">
        <is>
          <t>9759969</t>
        </is>
      </c>
      <c r="AW141" t="inlineStr">
        <is>
          <t>991000252869702656</t>
        </is>
      </c>
      <c r="AX141" t="inlineStr">
        <is>
          <t>991000252869702656</t>
        </is>
      </c>
      <c r="AY141" t="inlineStr">
        <is>
          <t>2255747170002656</t>
        </is>
      </c>
      <c r="AZ141" t="inlineStr">
        <is>
          <t>BOOK</t>
        </is>
      </c>
      <c r="BB141" t="inlineStr">
        <is>
          <t>9783876440408</t>
        </is>
      </c>
      <c r="BC141" t="inlineStr">
        <is>
          <t>32285001801603</t>
        </is>
      </c>
      <c r="BD141" t="inlineStr">
        <is>
          <t>893496085</t>
        </is>
      </c>
    </row>
    <row r="142">
      <c r="A142" t="inlineStr">
        <is>
          <t>No</t>
        </is>
      </c>
      <c r="B142" t="inlineStr">
        <is>
          <t>G80 .H2</t>
        </is>
      </c>
      <c r="C142" t="inlineStr">
        <is>
          <t>0                      G  0080000H  2</t>
        </is>
      </c>
      <c r="D142" t="inlineStr">
        <is>
          <t>Age of exploration, by John R. Hale and the editors of Time-Life books.</t>
        </is>
      </c>
      <c r="F142" t="inlineStr">
        <is>
          <t>No</t>
        </is>
      </c>
      <c r="G142" t="inlineStr">
        <is>
          <t>1</t>
        </is>
      </c>
      <c r="H142" t="inlineStr">
        <is>
          <t>No</t>
        </is>
      </c>
      <c r="I142" t="inlineStr">
        <is>
          <t>No</t>
        </is>
      </c>
      <c r="J142" t="inlineStr">
        <is>
          <t>0</t>
        </is>
      </c>
      <c r="K142" t="inlineStr">
        <is>
          <t>Hale, J. R. (John Rigby), 1923-1999.</t>
        </is>
      </c>
      <c r="L142" t="inlineStr">
        <is>
          <t>New York, Time, inc. [1966]</t>
        </is>
      </c>
      <c r="M142" t="inlineStr">
        <is>
          <t>1966</t>
        </is>
      </c>
      <c r="O142" t="inlineStr">
        <is>
          <t>eng</t>
        </is>
      </c>
      <c r="P142" t="inlineStr">
        <is>
          <t>nyu</t>
        </is>
      </c>
      <c r="Q142" t="inlineStr">
        <is>
          <t>Great ages of man, a history of the world's cultures</t>
        </is>
      </c>
      <c r="R142" t="inlineStr">
        <is>
          <t xml:space="preserve">G  </t>
        </is>
      </c>
      <c r="S142" t="n">
        <v>2</v>
      </c>
      <c r="T142" t="n">
        <v>2</v>
      </c>
      <c r="U142" t="inlineStr">
        <is>
          <t>1998-02-01</t>
        </is>
      </c>
      <c r="V142" t="inlineStr">
        <is>
          <t>1998-02-01</t>
        </is>
      </c>
      <c r="W142" t="inlineStr">
        <is>
          <t>1997-05-21</t>
        </is>
      </c>
      <c r="X142" t="inlineStr">
        <is>
          <t>1997-05-21</t>
        </is>
      </c>
      <c r="Y142" t="n">
        <v>2188</v>
      </c>
      <c r="Z142" t="n">
        <v>2051</v>
      </c>
      <c r="AA142" t="n">
        <v>2362</v>
      </c>
      <c r="AB142" t="n">
        <v>20</v>
      </c>
      <c r="AC142" t="n">
        <v>20</v>
      </c>
      <c r="AD142" t="n">
        <v>29</v>
      </c>
      <c r="AE142" t="n">
        <v>33</v>
      </c>
      <c r="AF142" t="n">
        <v>14</v>
      </c>
      <c r="AG142" t="n">
        <v>15</v>
      </c>
      <c r="AH142" t="n">
        <v>5</v>
      </c>
      <c r="AI142" t="n">
        <v>7</v>
      </c>
      <c r="AJ142" t="n">
        <v>16</v>
      </c>
      <c r="AK142" t="n">
        <v>17</v>
      </c>
      <c r="AL142" t="n">
        <v>3</v>
      </c>
      <c r="AM142" t="n">
        <v>3</v>
      </c>
      <c r="AN142" t="n">
        <v>0</v>
      </c>
      <c r="AO142" t="n">
        <v>0</v>
      </c>
      <c r="AP142" t="inlineStr">
        <is>
          <t>No</t>
        </is>
      </c>
      <c r="AQ142" t="inlineStr">
        <is>
          <t>Yes</t>
        </is>
      </c>
      <c r="AR142">
        <f>HYPERLINK("http://catalog.hathitrust.org/Record/001270325","HathiTrust Record")</f>
        <v/>
      </c>
      <c r="AS142">
        <f>HYPERLINK("https://creighton-primo.hosted.exlibrisgroup.com/primo-explore/search?tab=default_tab&amp;search_scope=EVERYTHING&amp;vid=01CRU&amp;lang=en_US&amp;offset=0&amp;query=any,contains,991003979429702656","Catalog Record")</f>
        <v/>
      </c>
      <c r="AT142">
        <f>HYPERLINK("http://www.worldcat.org/oclc/2017012","WorldCat Record")</f>
        <v/>
      </c>
      <c r="AU142" t="inlineStr">
        <is>
          <t>58298133:eng</t>
        </is>
      </c>
      <c r="AV142" t="inlineStr">
        <is>
          <t>2017012</t>
        </is>
      </c>
      <c r="AW142" t="inlineStr">
        <is>
          <t>991003979429702656</t>
        </is>
      </c>
      <c r="AX142" t="inlineStr">
        <is>
          <t>991003979429702656</t>
        </is>
      </c>
      <c r="AY142" t="inlineStr">
        <is>
          <t>2260998550002656</t>
        </is>
      </c>
      <c r="AZ142" t="inlineStr">
        <is>
          <t>BOOK</t>
        </is>
      </c>
      <c r="BC142" t="inlineStr">
        <is>
          <t>32285002690526</t>
        </is>
      </c>
      <c r="BD142" t="inlineStr">
        <is>
          <t>893781714</t>
        </is>
      </c>
    </row>
    <row r="143">
      <c r="A143" t="inlineStr">
        <is>
          <t>No</t>
        </is>
      </c>
      <c r="B143" t="inlineStr">
        <is>
          <t>G80 .H423</t>
        </is>
      </c>
      <c r="C143" t="inlineStr">
        <is>
          <t>0                      G  0080000H  423</t>
        </is>
      </c>
      <c r="D143" t="inlineStr">
        <is>
          <t>The great age of discovery. Translated by Arnold J. Pomerans.</t>
        </is>
      </c>
      <c r="F143" t="inlineStr">
        <is>
          <t>No</t>
        </is>
      </c>
      <c r="G143" t="inlineStr">
        <is>
          <t>1</t>
        </is>
      </c>
      <c r="H143" t="inlineStr">
        <is>
          <t>No</t>
        </is>
      </c>
      <c r="I143" t="inlineStr">
        <is>
          <t>No</t>
        </is>
      </c>
      <c r="J143" t="inlineStr">
        <is>
          <t>0</t>
        </is>
      </c>
      <c r="K143" t="inlineStr">
        <is>
          <t>Herrmann, Paul.</t>
        </is>
      </c>
      <c r="L143" t="inlineStr">
        <is>
          <t>New York, Harper [1958]</t>
        </is>
      </c>
      <c r="M143" t="inlineStr">
        <is>
          <t>1958</t>
        </is>
      </c>
      <c r="O143" t="inlineStr">
        <is>
          <t>eng</t>
        </is>
      </c>
      <c r="P143" t="inlineStr">
        <is>
          <t>nyu</t>
        </is>
      </c>
      <c r="R143" t="inlineStr">
        <is>
          <t xml:space="preserve">G  </t>
        </is>
      </c>
      <c r="S143" t="n">
        <v>2</v>
      </c>
      <c r="T143" t="n">
        <v>2</v>
      </c>
      <c r="U143" t="inlineStr">
        <is>
          <t>1998-02-01</t>
        </is>
      </c>
      <c r="V143" t="inlineStr">
        <is>
          <t>1998-02-01</t>
        </is>
      </c>
      <c r="W143" t="inlineStr">
        <is>
          <t>1997-05-21</t>
        </is>
      </c>
      <c r="X143" t="inlineStr">
        <is>
          <t>1997-05-21</t>
        </is>
      </c>
      <c r="Y143" t="n">
        <v>857</v>
      </c>
      <c r="Z143" t="n">
        <v>823</v>
      </c>
      <c r="AA143" t="n">
        <v>829</v>
      </c>
      <c r="AB143" t="n">
        <v>5</v>
      </c>
      <c r="AC143" t="n">
        <v>5</v>
      </c>
      <c r="AD143" t="n">
        <v>25</v>
      </c>
      <c r="AE143" t="n">
        <v>25</v>
      </c>
      <c r="AF143" t="n">
        <v>10</v>
      </c>
      <c r="AG143" t="n">
        <v>10</v>
      </c>
      <c r="AH143" t="n">
        <v>6</v>
      </c>
      <c r="AI143" t="n">
        <v>6</v>
      </c>
      <c r="AJ143" t="n">
        <v>11</v>
      </c>
      <c r="AK143" t="n">
        <v>11</v>
      </c>
      <c r="AL143" t="n">
        <v>3</v>
      </c>
      <c r="AM143" t="n">
        <v>3</v>
      </c>
      <c r="AN143" t="n">
        <v>0</v>
      </c>
      <c r="AO143" t="n">
        <v>0</v>
      </c>
      <c r="AP143" t="inlineStr">
        <is>
          <t>No</t>
        </is>
      </c>
      <c r="AQ143" t="inlineStr">
        <is>
          <t>No</t>
        </is>
      </c>
      <c r="AR143">
        <f>HYPERLINK("http://catalog.hathitrust.org/Record/001270326","HathiTrust Record")</f>
        <v/>
      </c>
      <c r="AS143">
        <f>HYPERLINK("https://creighton-primo.hosted.exlibrisgroup.com/primo-explore/search?tab=default_tab&amp;search_scope=EVERYTHING&amp;vid=01CRU&amp;lang=en_US&amp;offset=0&amp;query=any,contains,991002185559702656","Catalog Record")</f>
        <v/>
      </c>
      <c r="AT143">
        <f>HYPERLINK("http://www.worldcat.org/oclc/279747","WorldCat Record")</f>
        <v/>
      </c>
      <c r="AU143" t="inlineStr">
        <is>
          <t>9657308038:eng</t>
        </is>
      </c>
      <c r="AV143" t="inlineStr">
        <is>
          <t>279747</t>
        </is>
      </c>
      <c r="AW143" t="inlineStr">
        <is>
          <t>991002185559702656</t>
        </is>
      </c>
      <c r="AX143" t="inlineStr">
        <is>
          <t>991002185559702656</t>
        </is>
      </c>
      <c r="AY143" t="inlineStr">
        <is>
          <t>2261286800002656</t>
        </is>
      </c>
      <c r="AZ143" t="inlineStr">
        <is>
          <t>BOOK</t>
        </is>
      </c>
      <c r="BC143" t="inlineStr">
        <is>
          <t>32285002690534</t>
        </is>
      </c>
      <c r="BD143" t="inlineStr">
        <is>
          <t>893226556</t>
        </is>
      </c>
    </row>
    <row r="144">
      <c r="A144" t="inlineStr">
        <is>
          <t>No</t>
        </is>
      </c>
      <c r="B144" t="inlineStr">
        <is>
          <t>G80 .M38 2005</t>
        </is>
      </c>
      <c r="C144" t="inlineStr">
        <is>
          <t>0                      G  0080000M  38          2005</t>
        </is>
      </c>
      <c r="D144" t="inlineStr">
        <is>
          <t>All possible worlds : a history of geographical ideas / Geoffrey J. Martin.</t>
        </is>
      </c>
      <c r="F144" t="inlineStr">
        <is>
          <t>No</t>
        </is>
      </c>
      <c r="G144" t="inlineStr">
        <is>
          <t>1</t>
        </is>
      </c>
      <c r="H144" t="inlineStr">
        <is>
          <t>No</t>
        </is>
      </c>
      <c r="I144" t="inlineStr">
        <is>
          <t>No</t>
        </is>
      </c>
      <c r="J144" t="inlineStr">
        <is>
          <t>0</t>
        </is>
      </c>
      <c r="K144" t="inlineStr">
        <is>
          <t>Martin, Geoffrey J.</t>
        </is>
      </c>
      <c r="L144" t="inlineStr">
        <is>
          <t>New York : Oxford University Press, 2005.</t>
        </is>
      </c>
      <c r="M144" t="inlineStr">
        <is>
          <t>2005</t>
        </is>
      </c>
      <c r="N144" t="inlineStr">
        <is>
          <t>4th ed.</t>
        </is>
      </c>
      <c r="O144" t="inlineStr">
        <is>
          <t>eng</t>
        </is>
      </c>
      <c r="P144" t="inlineStr">
        <is>
          <t>nyu</t>
        </is>
      </c>
      <c r="R144" t="inlineStr">
        <is>
          <t xml:space="preserve">G  </t>
        </is>
      </c>
      <c r="S144" t="n">
        <v>1</v>
      </c>
      <c r="T144" t="n">
        <v>1</v>
      </c>
      <c r="U144" t="inlineStr">
        <is>
          <t>2005-12-07</t>
        </is>
      </c>
      <c r="V144" t="inlineStr">
        <is>
          <t>2005-12-07</t>
        </is>
      </c>
      <c r="W144" t="inlineStr">
        <is>
          <t>2005-12-07</t>
        </is>
      </c>
      <c r="X144" t="inlineStr">
        <is>
          <t>2005-12-07</t>
        </is>
      </c>
      <c r="Y144" t="n">
        <v>515</v>
      </c>
      <c r="Z144" t="n">
        <v>414</v>
      </c>
      <c r="AA144" t="n">
        <v>868</v>
      </c>
      <c r="AB144" t="n">
        <v>5</v>
      </c>
      <c r="AC144" t="n">
        <v>10</v>
      </c>
      <c r="AD144" t="n">
        <v>22</v>
      </c>
      <c r="AE144" t="n">
        <v>38</v>
      </c>
      <c r="AF144" t="n">
        <v>10</v>
      </c>
      <c r="AG144" t="n">
        <v>17</v>
      </c>
      <c r="AH144" t="n">
        <v>5</v>
      </c>
      <c r="AI144" t="n">
        <v>8</v>
      </c>
      <c r="AJ144" t="n">
        <v>9</v>
      </c>
      <c r="AK144" t="n">
        <v>14</v>
      </c>
      <c r="AL144" t="n">
        <v>4</v>
      </c>
      <c r="AM144" t="n">
        <v>9</v>
      </c>
      <c r="AN144" t="n">
        <v>0</v>
      </c>
      <c r="AO144" t="n">
        <v>0</v>
      </c>
      <c r="AP144" t="inlineStr">
        <is>
          <t>No</t>
        </is>
      </c>
      <c r="AQ144" t="inlineStr">
        <is>
          <t>Yes</t>
        </is>
      </c>
      <c r="AR144">
        <f>HYPERLINK("http://catalog.hathitrust.org/Record/004948437","HathiTrust Record")</f>
        <v/>
      </c>
      <c r="AS144">
        <f>HYPERLINK("https://creighton-primo.hosted.exlibrisgroup.com/primo-explore/search?tab=default_tab&amp;search_scope=EVERYTHING&amp;vid=01CRU&amp;lang=en_US&amp;offset=0&amp;query=any,contains,991004683999702656","Catalog Record")</f>
        <v/>
      </c>
      <c r="AT144">
        <f>HYPERLINK("http://www.worldcat.org/oclc/56214727","WorldCat Record")</f>
        <v/>
      </c>
      <c r="AU144" t="inlineStr">
        <is>
          <t>320847659:eng</t>
        </is>
      </c>
      <c r="AV144" t="inlineStr">
        <is>
          <t>56214727</t>
        </is>
      </c>
      <c r="AW144" t="inlineStr">
        <is>
          <t>991004683999702656</t>
        </is>
      </c>
      <c r="AX144" t="inlineStr">
        <is>
          <t>991004683999702656</t>
        </is>
      </c>
      <c r="AY144" t="inlineStr">
        <is>
          <t>2261581800002656</t>
        </is>
      </c>
      <c r="AZ144" t="inlineStr">
        <is>
          <t>BOOK</t>
        </is>
      </c>
      <c r="BB144" t="inlineStr">
        <is>
          <t>9780195168709</t>
        </is>
      </c>
      <c r="BC144" t="inlineStr">
        <is>
          <t>32285005151559</t>
        </is>
      </c>
      <c r="BD144" t="inlineStr">
        <is>
          <t>893424073</t>
        </is>
      </c>
    </row>
    <row r="145">
      <c r="A145" t="inlineStr">
        <is>
          <t>No</t>
        </is>
      </c>
      <c r="B145" t="inlineStr">
        <is>
          <t>G80 .P37 1981</t>
        </is>
      </c>
      <c r="C145" t="inlineStr">
        <is>
          <t>0                      G  0080000P  37          1981</t>
        </is>
      </c>
      <c r="D145" t="inlineStr">
        <is>
          <t>The discovery of the sea / J. H. Parry.</t>
        </is>
      </c>
      <c r="F145" t="inlineStr">
        <is>
          <t>No</t>
        </is>
      </c>
      <c r="G145" t="inlineStr">
        <is>
          <t>1</t>
        </is>
      </c>
      <c r="H145" t="inlineStr">
        <is>
          <t>No</t>
        </is>
      </c>
      <c r="I145" t="inlineStr">
        <is>
          <t>No</t>
        </is>
      </c>
      <c r="J145" t="inlineStr">
        <is>
          <t>0</t>
        </is>
      </c>
      <c r="K145" t="inlineStr">
        <is>
          <t>Parry, J. H. (John Horace), 1914-1982.</t>
        </is>
      </c>
      <c r="L145" t="inlineStr">
        <is>
          <t>Berkeley, Calif. : University of California Press, 1981, c 1974.</t>
        </is>
      </c>
      <c r="M145" t="inlineStr">
        <is>
          <t>1981</t>
        </is>
      </c>
      <c r="O145" t="inlineStr">
        <is>
          <t>eng</t>
        </is>
      </c>
      <c r="P145" t="inlineStr">
        <is>
          <t>cau</t>
        </is>
      </c>
      <c r="R145" t="inlineStr">
        <is>
          <t xml:space="preserve">G  </t>
        </is>
      </c>
      <c r="S145" t="n">
        <v>2</v>
      </c>
      <c r="T145" t="n">
        <v>2</v>
      </c>
      <c r="U145" t="inlineStr">
        <is>
          <t>1994-08-31</t>
        </is>
      </c>
      <c r="V145" t="inlineStr">
        <is>
          <t>1994-08-31</t>
        </is>
      </c>
      <c r="W145" t="inlineStr">
        <is>
          <t>1990-08-02</t>
        </is>
      </c>
      <c r="X145" t="inlineStr">
        <is>
          <t>1990-08-02</t>
        </is>
      </c>
      <c r="Y145" t="n">
        <v>356</v>
      </c>
      <c r="Z145" t="n">
        <v>292</v>
      </c>
      <c r="AA145" t="n">
        <v>884</v>
      </c>
      <c r="AB145" t="n">
        <v>3</v>
      </c>
      <c r="AC145" t="n">
        <v>7</v>
      </c>
      <c r="AD145" t="n">
        <v>17</v>
      </c>
      <c r="AE145" t="n">
        <v>36</v>
      </c>
      <c r="AF145" t="n">
        <v>6</v>
      </c>
      <c r="AG145" t="n">
        <v>10</v>
      </c>
      <c r="AH145" t="n">
        <v>4</v>
      </c>
      <c r="AI145" t="n">
        <v>8</v>
      </c>
      <c r="AJ145" t="n">
        <v>10</v>
      </c>
      <c r="AK145" t="n">
        <v>20</v>
      </c>
      <c r="AL145" t="n">
        <v>2</v>
      </c>
      <c r="AM145" t="n">
        <v>6</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HYPERLINK("https://creighton-primo.hosted.exlibrisgroup.com/primo-explore/search?tab=default_tab&amp;search_scope=EVERYTHING&amp;vid=01CRU&amp;lang=en_US&amp;offset=0&amp;query=any,contains,991005200669702656","Catalog Record")</f>
        <v/>
      </c>
      <c r="AT145">
        <f>HYPERLINK("http://www.worldcat.org/oclc/8072110","WorldCat Record")</f>
        <v/>
      </c>
      <c r="AU145" t="inlineStr">
        <is>
          <t>260978594:eng</t>
        </is>
      </c>
      <c r="AV145" t="inlineStr">
        <is>
          <t>8072110</t>
        </is>
      </c>
      <c r="AW145" t="inlineStr">
        <is>
          <t>991005200669702656</t>
        </is>
      </c>
      <c r="AX145" t="inlineStr">
        <is>
          <t>991005200669702656</t>
        </is>
      </c>
      <c r="AY145" t="inlineStr">
        <is>
          <t>2256500120002656</t>
        </is>
      </c>
      <c r="AZ145" t="inlineStr">
        <is>
          <t>BOOK</t>
        </is>
      </c>
      <c r="BB145" t="inlineStr">
        <is>
          <t>9780520042360</t>
        </is>
      </c>
      <c r="BC145" t="inlineStr">
        <is>
          <t>32285000263599</t>
        </is>
      </c>
      <c r="BD145" t="inlineStr">
        <is>
          <t>893507768</t>
        </is>
      </c>
    </row>
    <row r="146">
      <c r="A146" t="inlineStr">
        <is>
          <t>No</t>
        </is>
      </c>
      <c r="B146" t="inlineStr">
        <is>
          <t>G80.S9 H5</t>
        </is>
      </c>
      <c r="C146" t="inlineStr">
        <is>
          <t>0                      G  0080000S  9                  H  5</t>
        </is>
      </c>
      <c r="D146" t="inlineStr">
        <is>
          <t>A history of exploration from the earliest times to the present day / Introd. by John K. Wright.</t>
        </is>
      </c>
      <c r="F146" t="inlineStr">
        <is>
          <t>No</t>
        </is>
      </c>
      <c r="G146" t="inlineStr">
        <is>
          <t>1</t>
        </is>
      </c>
      <c r="H146" t="inlineStr">
        <is>
          <t>No</t>
        </is>
      </c>
      <c r="I146" t="inlineStr">
        <is>
          <t>No</t>
        </is>
      </c>
      <c r="J146" t="inlineStr">
        <is>
          <t>0</t>
        </is>
      </c>
      <c r="K146" t="inlineStr">
        <is>
          <t>Sykes, Percy, Sir, 1867-1945.</t>
        </is>
      </c>
      <c r="L146" t="inlineStr">
        <is>
          <t>New York, Harper [1961]</t>
        </is>
      </c>
      <c r="M146" t="inlineStr">
        <is>
          <t>1961</t>
        </is>
      </c>
      <c r="O146" t="inlineStr">
        <is>
          <t>eng</t>
        </is>
      </c>
      <c r="P146" t="inlineStr">
        <is>
          <t>nyu</t>
        </is>
      </c>
      <c r="Q146" t="inlineStr">
        <is>
          <t>Harper torchbooks. The Academy library</t>
        </is>
      </c>
      <c r="R146" t="inlineStr">
        <is>
          <t xml:space="preserve">G  </t>
        </is>
      </c>
      <c r="S146" t="n">
        <v>1</v>
      </c>
      <c r="T146" t="n">
        <v>1</v>
      </c>
      <c r="U146" t="inlineStr">
        <is>
          <t>2000-11-05</t>
        </is>
      </c>
      <c r="V146" t="inlineStr">
        <is>
          <t>2000-11-05</t>
        </is>
      </c>
      <c r="W146" t="inlineStr">
        <is>
          <t>1996-09-04</t>
        </is>
      </c>
      <c r="X146" t="inlineStr">
        <is>
          <t>1996-09-04</t>
        </is>
      </c>
      <c r="Y146" t="n">
        <v>217</v>
      </c>
      <c r="Z146" t="n">
        <v>193</v>
      </c>
      <c r="AA146" t="n">
        <v>662</v>
      </c>
      <c r="AB146" t="n">
        <v>1</v>
      </c>
      <c r="AC146" t="n">
        <v>3</v>
      </c>
      <c r="AD146" t="n">
        <v>11</v>
      </c>
      <c r="AE146" t="n">
        <v>32</v>
      </c>
      <c r="AF146" t="n">
        <v>6</v>
      </c>
      <c r="AG146" t="n">
        <v>14</v>
      </c>
      <c r="AH146" t="n">
        <v>2</v>
      </c>
      <c r="AI146" t="n">
        <v>7</v>
      </c>
      <c r="AJ146" t="n">
        <v>4</v>
      </c>
      <c r="AK146" t="n">
        <v>15</v>
      </c>
      <c r="AL146" t="n">
        <v>0</v>
      </c>
      <c r="AM146" t="n">
        <v>2</v>
      </c>
      <c r="AN146" t="n">
        <v>1</v>
      </c>
      <c r="AO146" t="n">
        <v>1</v>
      </c>
      <c r="AP146" t="inlineStr">
        <is>
          <t>No</t>
        </is>
      </c>
      <c r="AQ146" t="inlineStr">
        <is>
          <t>No</t>
        </is>
      </c>
      <c r="AR146">
        <f>HYPERLINK("http://catalog.hathitrust.org/Record/001270341","HathiTrust Record")</f>
        <v/>
      </c>
      <c r="AS146">
        <f>HYPERLINK("https://creighton-primo.hosted.exlibrisgroup.com/primo-explore/search?tab=default_tab&amp;search_scope=EVERYTHING&amp;vid=01CRU&amp;lang=en_US&amp;offset=0&amp;query=any,contains,991004329689702656","Catalog Record")</f>
        <v/>
      </c>
      <c r="AT146">
        <f>HYPERLINK("http://www.worldcat.org/oclc/3055912","WorldCat Record")</f>
        <v/>
      </c>
      <c r="AU146" t="inlineStr">
        <is>
          <t>2281136:eng</t>
        </is>
      </c>
      <c r="AV146" t="inlineStr">
        <is>
          <t>3055912</t>
        </is>
      </c>
      <c r="AW146" t="inlineStr">
        <is>
          <t>991004329689702656</t>
        </is>
      </c>
      <c r="AX146" t="inlineStr">
        <is>
          <t>991004329689702656</t>
        </is>
      </c>
      <c r="AY146" t="inlineStr">
        <is>
          <t>2266892800002656</t>
        </is>
      </c>
      <c r="AZ146" t="inlineStr">
        <is>
          <t>BOOK</t>
        </is>
      </c>
      <c r="BC146" t="inlineStr">
        <is>
          <t>32285002305109</t>
        </is>
      </c>
      <c r="BD146" t="inlineStr">
        <is>
          <t>893794731</t>
        </is>
      </c>
    </row>
    <row r="147">
      <c r="A147" t="inlineStr">
        <is>
          <t>No</t>
        </is>
      </c>
      <c r="B147" t="inlineStr">
        <is>
          <t>G81 .W47 1998</t>
        </is>
      </c>
      <c r="C147" t="inlineStr">
        <is>
          <t>0                      G  0081000W  47          1998</t>
        </is>
      </c>
      <c r="D147" t="inlineStr">
        <is>
          <t>New found lands : maps in the history of exploration / Peter Whitfield.</t>
        </is>
      </c>
      <c r="F147" t="inlineStr">
        <is>
          <t>No</t>
        </is>
      </c>
      <c r="G147" t="inlineStr">
        <is>
          <t>1</t>
        </is>
      </c>
      <c r="H147" t="inlineStr">
        <is>
          <t>No</t>
        </is>
      </c>
      <c r="I147" t="inlineStr">
        <is>
          <t>No</t>
        </is>
      </c>
      <c r="J147" t="inlineStr">
        <is>
          <t>0</t>
        </is>
      </c>
      <c r="K147" t="inlineStr">
        <is>
          <t>Whitfield, Peter, 1947-</t>
        </is>
      </c>
      <c r="L147" t="inlineStr">
        <is>
          <t>New York : Routledge, c1998.</t>
        </is>
      </c>
      <c r="M147" t="inlineStr">
        <is>
          <t>1998</t>
        </is>
      </c>
      <c r="O147" t="inlineStr">
        <is>
          <t>eng</t>
        </is>
      </c>
      <c r="P147" t="inlineStr">
        <is>
          <t>nyu</t>
        </is>
      </c>
      <c r="R147" t="inlineStr">
        <is>
          <t xml:space="preserve">G  </t>
        </is>
      </c>
      <c r="S147" t="n">
        <v>1</v>
      </c>
      <c r="T147" t="n">
        <v>1</v>
      </c>
      <c r="U147" t="inlineStr">
        <is>
          <t>2008-01-28</t>
        </is>
      </c>
      <c r="V147" t="inlineStr">
        <is>
          <t>2008-01-28</t>
        </is>
      </c>
      <c r="W147" t="inlineStr">
        <is>
          <t>1999-09-30</t>
        </is>
      </c>
      <c r="X147" t="inlineStr">
        <is>
          <t>1999-09-30</t>
        </is>
      </c>
      <c r="Y147" t="n">
        <v>579</v>
      </c>
      <c r="Z147" t="n">
        <v>514</v>
      </c>
      <c r="AA147" t="n">
        <v>555</v>
      </c>
      <c r="AB147" t="n">
        <v>4</v>
      </c>
      <c r="AC147" t="n">
        <v>5</v>
      </c>
      <c r="AD147" t="n">
        <v>12</v>
      </c>
      <c r="AE147" t="n">
        <v>13</v>
      </c>
      <c r="AF147" t="n">
        <v>2</v>
      </c>
      <c r="AG147" t="n">
        <v>2</v>
      </c>
      <c r="AH147" t="n">
        <v>3</v>
      </c>
      <c r="AI147" t="n">
        <v>3</v>
      </c>
      <c r="AJ147" t="n">
        <v>5</v>
      </c>
      <c r="AK147" t="n">
        <v>5</v>
      </c>
      <c r="AL147" t="n">
        <v>2</v>
      </c>
      <c r="AM147" t="n">
        <v>3</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HYPERLINK("https://creighton-primo.hosted.exlibrisgroup.com/primo-explore/search?tab=default_tab&amp;search_scope=EVERYTHING&amp;vid=01CRU&amp;lang=en_US&amp;offset=0&amp;query=any,contains,991002895479702656","Catalog Record")</f>
        <v/>
      </c>
      <c r="AT147">
        <f>HYPERLINK("http://www.worldcat.org/oclc/38144335","WorldCat Record")</f>
        <v/>
      </c>
      <c r="AU147" t="inlineStr">
        <is>
          <t>439061792:eng</t>
        </is>
      </c>
      <c r="AV147" t="inlineStr">
        <is>
          <t>38144335</t>
        </is>
      </c>
      <c r="AW147" t="inlineStr">
        <is>
          <t>991002895479702656</t>
        </is>
      </c>
      <c r="AX147" t="inlineStr">
        <is>
          <t>991002895479702656</t>
        </is>
      </c>
      <c r="AY147" t="inlineStr">
        <is>
          <t>2263378540002656</t>
        </is>
      </c>
      <c r="AZ147" t="inlineStr">
        <is>
          <t>BOOK</t>
        </is>
      </c>
      <c r="BB147" t="inlineStr">
        <is>
          <t>9780415920261</t>
        </is>
      </c>
      <c r="BC147" t="inlineStr">
        <is>
          <t>32285003591723</t>
        </is>
      </c>
      <c r="BD147" t="inlineStr">
        <is>
          <t>893622880</t>
        </is>
      </c>
    </row>
    <row r="148">
      <c r="A148" t="inlineStr">
        <is>
          <t>No</t>
        </is>
      </c>
      <c r="B148" t="inlineStr">
        <is>
          <t>G84 .H9</t>
        </is>
      </c>
      <c r="C148" t="inlineStr">
        <is>
          <t>0                      G  0084000H  9</t>
        </is>
      </c>
      <c r="D148" t="inlineStr">
        <is>
          <t>Ancient Greek mariners [by] Walter Woodburn Hyde.</t>
        </is>
      </c>
      <c r="F148" t="inlineStr">
        <is>
          <t>No</t>
        </is>
      </c>
      <c r="G148" t="inlineStr">
        <is>
          <t>1</t>
        </is>
      </c>
      <c r="H148" t="inlineStr">
        <is>
          <t>No</t>
        </is>
      </c>
      <c r="I148" t="inlineStr">
        <is>
          <t>No</t>
        </is>
      </c>
      <c r="J148" t="inlineStr">
        <is>
          <t>0</t>
        </is>
      </c>
      <c r="K148" t="inlineStr">
        <is>
          <t>Hyde, Walter Woodburn, 1871-1966.</t>
        </is>
      </c>
      <c r="L148" t="inlineStr">
        <is>
          <t>New York, Oxford university press, 1947.</t>
        </is>
      </c>
      <c r="M148" t="inlineStr">
        <is>
          <t>1947</t>
        </is>
      </c>
      <c r="O148" t="inlineStr">
        <is>
          <t>eng</t>
        </is>
      </c>
      <c r="P148" t="inlineStr">
        <is>
          <t>nyu</t>
        </is>
      </c>
      <c r="R148" t="inlineStr">
        <is>
          <t xml:space="preserve">G  </t>
        </is>
      </c>
      <c r="S148" t="n">
        <v>1</v>
      </c>
      <c r="T148" t="n">
        <v>1</v>
      </c>
      <c r="U148" t="inlineStr">
        <is>
          <t>1997-12-01</t>
        </is>
      </c>
      <c r="V148" t="inlineStr">
        <is>
          <t>1997-12-01</t>
        </is>
      </c>
      <c r="W148" t="inlineStr">
        <is>
          <t>1997-05-21</t>
        </is>
      </c>
      <c r="X148" t="inlineStr">
        <is>
          <t>1997-05-21</t>
        </is>
      </c>
      <c r="Y148" t="n">
        <v>503</v>
      </c>
      <c r="Z148" t="n">
        <v>415</v>
      </c>
      <c r="AA148" t="n">
        <v>416</v>
      </c>
      <c r="AB148" t="n">
        <v>3</v>
      </c>
      <c r="AC148" t="n">
        <v>3</v>
      </c>
      <c r="AD148" t="n">
        <v>20</v>
      </c>
      <c r="AE148" t="n">
        <v>20</v>
      </c>
      <c r="AF148" t="n">
        <v>4</v>
      </c>
      <c r="AG148" t="n">
        <v>4</v>
      </c>
      <c r="AH148" t="n">
        <v>4</v>
      </c>
      <c r="AI148" t="n">
        <v>4</v>
      </c>
      <c r="AJ148" t="n">
        <v>14</v>
      </c>
      <c r="AK148" t="n">
        <v>14</v>
      </c>
      <c r="AL148" t="n">
        <v>2</v>
      </c>
      <c r="AM148" t="n">
        <v>2</v>
      </c>
      <c r="AN148" t="n">
        <v>0</v>
      </c>
      <c r="AO148" t="n">
        <v>0</v>
      </c>
      <c r="AP148" t="inlineStr">
        <is>
          <t>No</t>
        </is>
      </c>
      <c r="AQ148" t="inlineStr">
        <is>
          <t>Yes</t>
        </is>
      </c>
      <c r="AR148">
        <f>HYPERLINK("http://catalog.hathitrust.org/Record/001270357","HathiTrust Record")</f>
        <v/>
      </c>
      <c r="AS148">
        <f>HYPERLINK("https://creighton-primo.hosted.exlibrisgroup.com/primo-explore/search?tab=default_tab&amp;search_scope=EVERYTHING&amp;vid=01CRU&amp;lang=en_US&amp;offset=0&amp;query=any,contains,991003894249702656","Catalog Record")</f>
        <v/>
      </c>
      <c r="AT148">
        <f>HYPERLINK("http://www.worldcat.org/oclc/1805040","WorldCat Record")</f>
        <v/>
      </c>
      <c r="AU148" t="inlineStr">
        <is>
          <t>104135047:eng</t>
        </is>
      </c>
      <c r="AV148" t="inlineStr">
        <is>
          <t>1805040</t>
        </is>
      </c>
      <c r="AW148" t="inlineStr">
        <is>
          <t>991003894249702656</t>
        </is>
      </c>
      <c r="AX148" t="inlineStr">
        <is>
          <t>991003894249702656</t>
        </is>
      </c>
      <c r="AY148" t="inlineStr">
        <is>
          <t>2272339630002656</t>
        </is>
      </c>
      <c r="AZ148" t="inlineStr">
        <is>
          <t>BOOK</t>
        </is>
      </c>
      <c r="BC148" t="inlineStr">
        <is>
          <t>32285002690591</t>
        </is>
      </c>
      <c r="BD148" t="inlineStr">
        <is>
          <t>893228642</t>
        </is>
      </c>
    </row>
    <row r="149">
      <c r="A149" t="inlineStr">
        <is>
          <t>No</t>
        </is>
      </c>
      <c r="B149" t="inlineStr">
        <is>
          <t>G84 .R65 2006</t>
        </is>
      </c>
      <c r="C149" t="inlineStr">
        <is>
          <t>0                      G  0084000R  65          2006</t>
        </is>
      </c>
      <c r="D149" t="inlineStr">
        <is>
          <t>Through the pillars of Herakles : Greco-Roman exploration of the Atlantic / Duane W. Roller.</t>
        </is>
      </c>
      <c r="F149" t="inlineStr">
        <is>
          <t>No</t>
        </is>
      </c>
      <c r="G149" t="inlineStr">
        <is>
          <t>1</t>
        </is>
      </c>
      <c r="H149" t="inlineStr">
        <is>
          <t>No</t>
        </is>
      </c>
      <c r="I149" t="inlineStr">
        <is>
          <t>No</t>
        </is>
      </c>
      <c r="J149" t="inlineStr">
        <is>
          <t>0</t>
        </is>
      </c>
      <c r="K149" t="inlineStr">
        <is>
          <t>Roller, Duane W.</t>
        </is>
      </c>
      <c r="L149" t="inlineStr">
        <is>
          <t>New York ; London : Routledge, 2006.</t>
        </is>
      </c>
      <c r="M149" t="inlineStr">
        <is>
          <t>2006</t>
        </is>
      </c>
      <c r="O149" t="inlineStr">
        <is>
          <t>eng</t>
        </is>
      </c>
      <c r="P149" t="inlineStr">
        <is>
          <t>nyu</t>
        </is>
      </c>
      <c r="R149" t="inlineStr">
        <is>
          <t xml:space="preserve">G  </t>
        </is>
      </c>
      <c r="S149" t="n">
        <v>1</v>
      </c>
      <c r="T149" t="n">
        <v>1</v>
      </c>
      <c r="U149" t="inlineStr">
        <is>
          <t>2007-05-07</t>
        </is>
      </c>
      <c r="V149" t="inlineStr">
        <is>
          <t>2007-05-07</t>
        </is>
      </c>
      <c r="W149" t="inlineStr">
        <is>
          <t>2007-05-07</t>
        </is>
      </c>
      <c r="X149" t="inlineStr">
        <is>
          <t>2007-05-07</t>
        </is>
      </c>
      <c r="Y149" t="n">
        <v>228</v>
      </c>
      <c r="Z149" t="n">
        <v>159</v>
      </c>
      <c r="AA149" t="n">
        <v>181</v>
      </c>
      <c r="AB149" t="n">
        <v>1</v>
      </c>
      <c r="AC149" t="n">
        <v>1</v>
      </c>
      <c r="AD149" t="n">
        <v>5</v>
      </c>
      <c r="AE149" t="n">
        <v>5</v>
      </c>
      <c r="AF149" t="n">
        <v>0</v>
      </c>
      <c r="AG149" t="n">
        <v>0</v>
      </c>
      <c r="AH149" t="n">
        <v>4</v>
      </c>
      <c r="AI149" t="n">
        <v>4</v>
      </c>
      <c r="AJ149" t="n">
        <v>3</v>
      </c>
      <c r="AK149" t="n">
        <v>3</v>
      </c>
      <c r="AL149" t="n">
        <v>0</v>
      </c>
      <c r="AM149" t="n">
        <v>0</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HYPERLINK("https://creighton-primo.hosted.exlibrisgroup.com/primo-explore/search?tab=default_tab&amp;search_scope=EVERYTHING&amp;vid=01CRU&amp;lang=en_US&amp;offset=0&amp;query=any,contains,991005069809702656","Catalog Record")</f>
        <v/>
      </c>
      <c r="AT149">
        <f>HYPERLINK("http://www.worldcat.org/oclc/60715009","WorldCat Record")</f>
        <v/>
      </c>
      <c r="AU149" t="inlineStr">
        <is>
          <t>43302017:eng</t>
        </is>
      </c>
      <c r="AV149" t="inlineStr">
        <is>
          <t>60715009</t>
        </is>
      </c>
      <c r="AW149" t="inlineStr">
        <is>
          <t>991005069809702656</t>
        </is>
      </c>
      <c r="AX149" t="inlineStr">
        <is>
          <t>991005069809702656</t>
        </is>
      </c>
      <c r="AY149" t="inlineStr">
        <is>
          <t>2266405790002656</t>
        </is>
      </c>
      <c r="AZ149" t="inlineStr">
        <is>
          <t>BOOK</t>
        </is>
      </c>
      <c r="BB149" t="inlineStr">
        <is>
          <t>9780415372879</t>
        </is>
      </c>
      <c r="BC149" t="inlineStr">
        <is>
          <t>32285005311229</t>
        </is>
      </c>
      <c r="BD149" t="inlineStr">
        <is>
          <t>893600558</t>
        </is>
      </c>
    </row>
    <row r="150">
      <c r="A150" t="inlineStr">
        <is>
          <t>No</t>
        </is>
      </c>
      <c r="B150" t="inlineStr">
        <is>
          <t>G850 .M39</t>
        </is>
      </c>
      <c r="C150" t="inlineStr">
        <is>
          <t>0                      G  0850000M  39</t>
        </is>
      </c>
      <c r="D150" t="inlineStr">
        <is>
          <t>The home of the blizzard; being the story of the Australasian Antarctic expedition, 1911-1914, by Sir Douglas Mawson.</t>
        </is>
      </c>
      <c r="E150" t="inlineStr">
        <is>
          <t>V.1</t>
        </is>
      </c>
      <c r="F150" t="inlineStr">
        <is>
          <t>Yes</t>
        </is>
      </c>
      <c r="G150" t="inlineStr">
        <is>
          <t>1</t>
        </is>
      </c>
      <c r="H150" t="inlineStr">
        <is>
          <t>No</t>
        </is>
      </c>
      <c r="I150" t="inlineStr">
        <is>
          <t>No</t>
        </is>
      </c>
      <c r="J150" t="inlineStr">
        <is>
          <t>0</t>
        </is>
      </c>
      <c r="K150" t="inlineStr">
        <is>
          <t>Mawson, Douglas, 1882-1958.</t>
        </is>
      </c>
      <c r="L150" t="inlineStr">
        <is>
          <t>Philadelphia, Lippincott [1915]</t>
        </is>
      </c>
      <c r="M150" t="inlineStr">
        <is>
          <t>1915</t>
        </is>
      </c>
      <c r="O150" t="inlineStr">
        <is>
          <t>eng</t>
        </is>
      </c>
      <c r="P150" t="inlineStr">
        <is>
          <t xml:space="preserve">xx </t>
        </is>
      </c>
      <c r="R150" t="inlineStr">
        <is>
          <t xml:space="preserve">G  </t>
        </is>
      </c>
      <c r="S150" t="n">
        <v>1</v>
      </c>
      <c r="T150" t="n">
        <v>2</v>
      </c>
      <c r="U150" t="inlineStr">
        <is>
          <t>1998-11-17</t>
        </is>
      </c>
      <c r="V150" t="inlineStr">
        <is>
          <t>1998-11-17</t>
        </is>
      </c>
      <c r="W150" t="inlineStr">
        <is>
          <t>1997-05-22</t>
        </is>
      </c>
      <c r="X150" t="inlineStr">
        <is>
          <t>1997-05-22</t>
        </is>
      </c>
      <c r="Y150" t="n">
        <v>149</v>
      </c>
      <c r="Z150" t="n">
        <v>134</v>
      </c>
      <c r="AA150" t="n">
        <v>295</v>
      </c>
      <c r="AB150" t="n">
        <v>1</v>
      </c>
      <c r="AC150" t="n">
        <v>3</v>
      </c>
      <c r="AD150" t="n">
        <v>2</v>
      </c>
      <c r="AE150" t="n">
        <v>7</v>
      </c>
      <c r="AF150" t="n">
        <v>0</v>
      </c>
      <c r="AG150" t="n">
        <v>1</v>
      </c>
      <c r="AH150" t="n">
        <v>1</v>
      </c>
      <c r="AI150" t="n">
        <v>2</v>
      </c>
      <c r="AJ150" t="n">
        <v>1</v>
      </c>
      <c r="AK150" t="n">
        <v>3</v>
      </c>
      <c r="AL150" t="n">
        <v>0</v>
      </c>
      <c r="AM150" t="n">
        <v>2</v>
      </c>
      <c r="AN150" t="n">
        <v>0</v>
      </c>
      <c r="AO150" t="n">
        <v>0</v>
      </c>
      <c r="AP150" t="inlineStr">
        <is>
          <t>Yes</t>
        </is>
      </c>
      <c r="AQ150" t="inlineStr">
        <is>
          <t>No</t>
        </is>
      </c>
      <c r="AR150">
        <f>HYPERLINK("http://catalog.hathitrust.org/Record/001877101","HathiTrust Record")</f>
        <v/>
      </c>
      <c r="AS150">
        <f>HYPERLINK("https://creighton-primo.hosted.exlibrisgroup.com/primo-explore/search?tab=default_tab&amp;search_scope=EVERYTHING&amp;vid=01CRU&amp;lang=en_US&amp;offset=0&amp;query=any,contains,991003203709702656","Catalog Record")</f>
        <v/>
      </c>
      <c r="AT150">
        <f>HYPERLINK("http://www.worldcat.org/oclc/728521","WorldCat Record")</f>
        <v/>
      </c>
      <c r="AU150" t="inlineStr">
        <is>
          <t>3902317367:eng</t>
        </is>
      </c>
      <c r="AV150" t="inlineStr">
        <is>
          <t>728521</t>
        </is>
      </c>
      <c r="AW150" t="inlineStr">
        <is>
          <t>991003203709702656</t>
        </is>
      </c>
      <c r="AX150" t="inlineStr">
        <is>
          <t>991003203709702656</t>
        </is>
      </c>
      <c r="AY150" t="inlineStr">
        <is>
          <t>2260820720002656</t>
        </is>
      </c>
      <c r="AZ150" t="inlineStr">
        <is>
          <t>BOOK</t>
        </is>
      </c>
      <c r="BC150" t="inlineStr">
        <is>
          <t>32285002692803</t>
        </is>
      </c>
      <c r="BD150" t="inlineStr">
        <is>
          <t>893805517</t>
        </is>
      </c>
    </row>
    <row r="151">
      <c r="A151" t="inlineStr">
        <is>
          <t>No</t>
        </is>
      </c>
      <c r="B151" t="inlineStr">
        <is>
          <t>G850 .M39</t>
        </is>
      </c>
      <c r="C151" t="inlineStr">
        <is>
          <t>0                      G  0850000M  39</t>
        </is>
      </c>
      <c r="D151" t="inlineStr">
        <is>
          <t>The home of the blizzard; being the story of the Australasian Antarctic expedition, 1911-1914, by Sir Douglas Mawson.</t>
        </is>
      </c>
      <c r="E151" t="inlineStr">
        <is>
          <t>V.2</t>
        </is>
      </c>
      <c r="F151" t="inlineStr">
        <is>
          <t>Yes</t>
        </is>
      </c>
      <c r="G151" t="inlineStr">
        <is>
          <t>1</t>
        </is>
      </c>
      <c r="H151" t="inlineStr">
        <is>
          <t>No</t>
        </is>
      </c>
      <c r="I151" t="inlineStr">
        <is>
          <t>No</t>
        </is>
      </c>
      <c r="J151" t="inlineStr">
        <is>
          <t>0</t>
        </is>
      </c>
      <c r="K151" t="inlineStr">
        <is>
          <t>Mawson, Douglas, 1882-1958.</t>
        </is>
      </c>
      <c r="L151" t="inlineStr">
        <is>
          <t>Philadelphia, Lippincott [1915]</t>
        </is>
      </c>
      <c r="M151" t="inlineStr">
        <is>
          <t>1915</t>
        </is>
      </c>
      <c r="O151" t="inlineStr">
        <is>
          <t>eng</t>
        </is>
      </c>
      <c r="P151" t="inlineStr">
        <is>
          <t xml:space="preserve">xx </t>
        </is>
      </c>
      <c r="R151" t="inlineStr">
        <is>
          <t xml:space="preserve">G  </t>
        </is>
      </c>
      <c r="S151" t="n">
        <v>1</v>
      </c>
      <c r="T151" t="n">
        <v>2</v>
      </c>
      <c r="U151" t="inlineStr">
        <is>
          <t>1998-11-17</t>
        </is>
      </c>
      <c r="V151" t="inlineStr">
        <is>
          <t>1998-11-17</t>
        </is>
      </c>
      <c r="W151" t="inlineStr">
        <is>
          <t>1997-05-22</t>
        </is>
      </c>
      <c r="X151" t="inlineStr">
        <is>
          <t>1997-05-22</t>
        </is>
      </c>
      <c r="Y151" t="n">
        <v>149</v>
      </c>
      <c r="Z151" t="n">
        <v>134</v>
      </c>
      <c r="AA151" t="n">
        <v>295</v>
      </c>
      <c r="AB151" t="n">
        <v>1</v>
      </c>
      <c r="AC151" t="n">
        <v>3</v>
      </c>
      <c r="AD151" t="n">
        <v>2</v>
      </c>
      <c r="AE151" t="n">
        <v>7</v>
      </c>
      <c r="AF151" t="n">
        <v>0</v>
      </c>
      <c r="AG151" t="n">
        <v>1</v>
      </c>
      <c r="AH151" t="n">
        <v>1</v>
      </c>
      <c r="AI151" t="n">
        <v>2</v>
      </c>
      <c r="AJ151" t="n">
        <v>1</v>
      </c>
      <c r="AK151" t="n">
        <v>3</v>
      </c>
      <c r="AL151" t="n">
        <v>0</v>
      </c>
      <c r="AM151" t="n">
        <v>2</v>
      </c>
      <c r="AN151" t="n">
        <v>0</v>
      </c>
      <c r="AO151" t="n">
        <v>0</v>
      </c>
      <c r="AP151" t="inlineStr">
        <is>
          <t>Yes</t>
        </is>
      </c>
      <c r="AQ151" t="inlineStr">
        <is>
          <t>No</t>
        </is>
      </c>
      <c r="AR151">
        <f>HYPERLINK("http://catalog.hathitrust.org/Record/001877101","HathiTrust Record")</f>
        <v/>
      </c>
      <c r="AS151">
        <f>HYPERLINK("https://creighton-primo.hosted.exlibrisgroup.com/primo-explore/search?tab=default_tab&amp;search_scope=EVERYTHING&amp;vid=01CRU&amp;lang=en_US&amp;offset=0&amp;query=any,contains,991003203709702656","Catalog Record")</f>
        <v/>
      </c>
      <c r="AT151">
        <f>HYPERLINK("http://www.worldcat.org/oclc/728521","WorldCat Record")</f>
        <v/>
      </c>
      <c r="AU151" t="inlineStr">
        <is>
          <t>3902317367:eng</t>
        </is>
      </c>
      <c r="AV151" t="inlineStr">
        <is>
          <t>728521</t>
        </is>
      </c>
      <c r="AW151" t="inlineStr">
        <is>
          <t>991003203709702656</t>
        </is>
      </c>
      <c r="AX151" t="inlineStr">
        <is>
          <t>991003203709702656</t>
        </is>
      </c>
      <c r="AY151" t="inlineStr">
        <is>
          <t>2260820720002656</t>
        </is>
      </c>
      <c r="AZ151" t="inlineStr">
        <is>
          <t>BOOK</t>
        </is>
      </c>
      <c r="BC151" t="inlineStr">
        <is>
          <t>32285002692811</t>
        </is>
      </c>
      <c r="BD151" t="inlineStr">
        <is>
          <t>893780706</t>
        </is>
      </c>
    </row>
    <row r="152">
      <c r="A152" t="inlineStr">
        <is>
          <t>No</t>
        </is>
      </c>
      <c r="B152" t="inlineStr">
        <is>
          <t>G850 .W5 1967</t>
        </is>
      </c>
      <c r="C152" t="inlineStr">
        <is>
          <t>0                      G  0850000W  5           1967</t>
        </is>
      </c>
      <c r="D152" t="inlineStr">
        <is>
          <t>Diary of the Discovery Expedition to the Antarctic regions 1901-1904. Edited from the original MSS. in the Scott Polar Research Institute, Cambridge, by Ann Savours.</t>
        </is>
      </c>
      <c r="F152" t="inlineStr">
        <is>
          <t>No</t>
        </is>
      </c>
      <c r="G152" t="inlineStr">
        <is>
          <t>1</t>
        </is>
      </c>
      <c r="H152" t="inlineStr">
        <is>
          <t>No</t>
        </is>
      </c>
      <c r="I152" t="inlineStr">
        <is>
          <t>No</t>
        </is>
      </c>
      <c r="J152" t="inlineStr">
        <is>
          <t>0</t>
        </is>
      </c>
      <c r="K152" t="inlineStr">
        <is>
          <t>Wilson, Edward, 1872-1912.</t>
        </is>
      </c>
      <c r="L152" t="inlineStr">
        <is>
          <t>New York, Humanities Press [1967]</t>
        </is>
      </c>
      <c r="M152" t="inlineStr">
        <is>
          <t>1967</t>
        </is>
      </c>
      <c r="O152" t="inlineStr">
        <is>
          <t>eng</t>
        </is>
      </c>
      <c r="P152" t="inlineStr">
        <is>
          <t>nyu</t>
        </is>
      </c>
      <c r="R152" t="inlineStr">
        <is>
          <t xml:space="preserve">G  </t>
        </is>
      </c>
      <c r="S152" t="n">
        <v>1</v>
      </c>
      <c r="T152" t="n">
        <v>1</v>
      </c>
      <c r="U152" t="inlineStr">
        <is>
          <t>1998-06-30</t>
        </is>
      </c>
      <c r="V152" t="inlineStr">
        <is>
          <t>1998-06-30</t>
        </is>
      </c>
      <c r="W152" t="inlineStr">
        <is>
          <t>1997-05-22</t>
        </is>
      </c>
      <c r="X152" t="inlineStr">
        <is>
          <t>1997-05-22</t>
        </is>
      </c>
      <c r="Y152" t="n">
        <v>316</v>
      </c>
      <c r="Z152" t="n">
        <v>305</v>
      </c>
      <c r="AA152" t="n">
        <v>406</v>
      </c>
      <c r="AB152" t="n">
        <v>4</v>
      </c>
      <c r="AC152" t="n">
        <v>4</v>
      </c>
      <c r="AD152" t="n">
        <v>8</v>
      </c>
      <c r="AE152" t="n">
        <v>10</v>
      </c>
      <c r="AF152" t="n">
        <v>3</v>
      </c>
      <c r="AG152" t="n">
        <v>3</v>
      </c>
      <c r="AH152" t="n">
        <v>2</v>
      </c>
      <c r="AI152" t="n">
        <v>2</v>
      </c>
      <c r="AJ152" t="n">
        <v>1</v>
      </c>
      <c r="AK152" t="n">
        <v>3</v>
      </c>
      <c r="AL152" t="n">
        <v>3</v>
      </c>
      <c r="AM152" t="n">
        <v>3</v>
      </c>
      <c r="AN152" t="n">
        <v>0</v>
      </c>
      <c r="AO152" t="n">
        <v>0</v>
      </c>
      <c r="AP152" t="inlineStr">
        <is>
          <t>No</t>
        </is>
      </c>
      <c r="AQ152" t="inlineStr">
        <is>
          <t>Yes</t>
        </is>
      </c>
      <c r="AR152">
        <f>HYPERLINK("http://catalog.hathitrust.org/Record/001271810","HathiTrust Record")</f>
        <v/>
      </c>
      <c r="AS152">
        <f>HYPERLINK("https://creighton-primo.hosted.exlibrisgroup.com/primo-explore/search?tab=default_tab&amp;search_scope=EVERYTHING&amp;vid=01CRU&amp;lang=en_US&amp;offset=0&amp;query=any,contains,991001401219702656","Catalog Record")</f>
        <v/>
      </c>
      <c r="AT152">
        <f>HYPERLINK("http://www.worldcat.org/oclc/229420","WorldCat Record")</f>
        <v/>
      </c>
      <c r="AU152" t="inlineStr">
        <is>
          <t>259912276:eng</t>
        </is>
      </c>
      <c r="AV152" t="inlineStr">
        <is>
          <t>229420</t>
        </is>
      </c>
      <c r="AW152" t="inlineStr">
        <is>
          <t>991001401219702656</t>
        </is>
      </c>
      <c r="AX152" t="inlineStr">
        <is>
          <t>991001401219702656</t>
        </is>
      </c>
      <c r="AY152" t="inlineStr">
        <is>
          <t>2255395870002656</t>
        </is>
      </c>
      <c r="AZ152" t="inlineStr">
        <is>
          <t>BOOK</t>
        </is>
      </c>
      <c r="BC152" t="inlineStr">
        <is>
          <t>32285002692829</t>
        </is>
      </c>
      <c r="BD152" t="inlineStr">
        <is>
          <t>893684298</t>
        </is>
      </c>
    </row>
    <row r="153">
      <c r="A153" t="inlineStr">
        <is>
          <t>No</t>
        </is>
      </c>
      <c r="B153" t="inlineStr">
        <is>
          <t>G850 1910 .S4 S65 2001</t>
        </is>
      </c>
      <c r="C153" t="inlineStr">
        <is>
          <t>0                      G  0850000               1910   S  4                  S  65          2001</t>
        </is>
      </c>
      <c r="D153" t="inlineStr">
        <is>
          <t>The coldest March : Scott's fatal Antarctic expedition / Susan Solomon.</t>
        </is>
      </c>
      <c r="F153" t="inlineStr">
        <is>
          <t>No</t>
        </is>
      </c>
      <c r="G153" t="inlineStr">
        <is>
          <t>1</t>
        </is>
      </c>
      <c r="H153" t="inlineStr">
        <is>
          <t>No</t>
        </is>
      </c>
      <c r="I153" t="inlineStr">
        <is>
          <t>No</t>
        </is>
      </c>
      <c r="J153" t="inlineStr">
        <is>
          <t>0</t>
        </is>
      </c>
      <c r="K153" t="inlineStr">
        <is>
          <t>Solomon, Susan (Atmospheric chemist)</t>
        </is>
      </c>
      <c r="L153" t="inlineStr">
        <is>
          <t>New Haven [Conn.] : Yale University Press, c2001.</t>
        </is>
      </c>
      <c r="M153" t="inlineStr">
        <is>
          <t>2001</t>
        </is>
      </c>
      <c r="O153" t="inlineStr">
        <is>
          <t>eng</t>
        </is>
      </c>
      <c r="P153" t="inlineStr">
        <is>
          <t>ctu</t>
        </is>
      </c>
      <c r="R153" t="inlineStr">
        <is>
          <t xml:space="preserve">G  </t>
        </is>
      </c>
      <c r="S153" t="n">
        <v>2</v>
      </c>
      <c r="T153" t="n">
        <v>2</v>
      </c>
      <c r="U153" t="inlineStr">
        <is>
          <t>2001-09-12</t>
        </is>
      </c>
      <c r="V153" t="inlineStr">
        <is>
          <t>2001-09-12</t>
        </is>
      </c>
      <c r="W153" t="inlineStr">
        <is>
          <t>2001-09-12</t>
        </is>
      </c>
      <c r="X153" t="inlineStr">
        <is>
          <t>2001-09-12</t>
        </is>
      </c>
      <c r="Y153" t="n">
        <v>909</v>
      </c>
      <c r="Z153" t="n">
        <v>782</v>
      </c>
      <c r="AA153" t="n">
        <v>840</v>
      </c>
      <c r="AB153" t="n">
        <v>4</v>
      </c>
      <c r="AC153" t="n">
        <v>5</v>
      </c>
      <c r="AD153" t="n">
        <v>23</v>
      </c>
      <c r="AE153" t="n">
        <v>23</v>
      </c>
      <c r="AF153" t="n">
        <v>10</v>
      </c>
      <c r="AG153" t="n">
        <v>10</v>
      </c>
      <c r="AH153" t="n">
        <v>6</v>
      </c>
      <c r="AI153" t="n">
        <v>6</v>
      </c>
      <c r="AJ153" t="n">
        <v>10</v>
      </c>
      <c r="AK153" t="n">
        <v>10</v>
      </c>
      <c r="AL153" t="n">
        <v>3</v>
      </c>
      <c r="AM153" t="n">
        <v>3</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HYPERLINK("https://creighton-primo.hosted.exlibrisgroup.com/primo-explore/search?tab=default_tab&amp;search_scope=EVERYTHING&amp;vid=01CRU&amp;lang=en_US&amp;offset=0&amp;query=any,contains,991003611379702656","Catalog Record")</f>
        <v/>
      </c>
      <c r="AT153">
        <f>HYPERLINK("http://www.worldcat.org/oclc/45661501","WorldCat Record")</f>
        <v/>
      </c>
      <c r="AU153" t="inlineStr">
        <is>
          <t>671920:eng</t>
        </is>
      </c>
      <c r="AV153" t="inlineStr">
        <is>
          <t>45661501</t>
        </is>
      </c>
      <c r="AW153" t="inlineStr">
        <is>
          <t>991003611379702656</t>
        </is>
      </c>
      <c r="AX153" t="inlineStr">
        <is>
          <t>991003611379702656</t>
        </is>
      </c>
      <c r="AY153" t="inlineStr">
        <is>
          <t>2268279940002656</t>
        </is>
      </c>
      <c r="AZ153" t="inlineStr">
        <is>
          <t>BOOK</t>
        </is>
      </c>
      <c r="BB153" t="inlineStr">
        <is>
          <t>9780300089677</t>
        </is>
      </c>
      <c r="BC153" t="inlineStr">
        <is>
          <t>32285004390844</t>
        </is>
      </c>
      <c r="BD153" t="inlineStr">
        <is>
          <t>893416574</t>
        </is>
      </c>
    </row>
    <row r="154">
      <c r="A154" t="inlineStr">
        <is>
          <t>No</t>
        </is>
      </c>
      <c r="B154" t="inlineStr">
        <is>
          <t>G850 1910 .S658 1975</t>
        </is>
      </c>
      <c r="C154" t="inlineStr">
        <is>
          <t>0                      G  0850000               1910   S  658         1975</t>
        </is>
      </c>
      <c r="D154" t="inlineStr">
        <is>
          <t>Scott's last voyage, through the Antarctic camera of Herbert Ponting. Edited by Ann Savours. Introduced by Sir Peter Scott.</t>
        </is>
      </c>
      <c r="F154" t="inlineStr">
        <is>
          <t>No</t>
        </is>
      </c>
      <c r="G154" t="inlineStr">
        <is>
          <t>1</t>
        </is>
      </c>
      <c r="H154" t="inlineStr">
        <is>
          <t>No</t>
        </is>
      </c>
      <c r="I154" t="inlineStr">
        <is>
          <t>No</t>
        </is>
      </c>
      <c r="J154" t="inlineStr">
        <is>
          <t>0</t>
        </is>
      </c>
      <c r="K154" t="inlineStr">
        <is>
          <t>Ponting, Herbert George.</t>
        </is>
      </c>
      <c r="L154" t="inlineStr">
        <is>
          <t>New York : Praeger Publishers, [1975, c1974]</t>
        </is>
      </c>
      <c r="M154" t="inlineStr">
        <is>
          <t>1975</t>
        </is>
      </c>
      <c r="O154" t="inlineStr">
        <is>
          <t>eng</t>
        </is>
      </c>
      <c r="P154" t="inlineStr">
        <is>
          <t>nyu</t>
        </is>
      </c>
      <c r="R154" t="inlineStr">
        <is>
          <t xml:space="preserve">G  </t>
        </is>
      </c>
      <c r="S154" t="n">
        <v>3</v>
      </c>
      <c r="T154" t="n">
        <v>3</v>
      </c>
      <c r="U154" t="inlineStr">
        <is>
          <t>1999-01-04</t>
        </is>
      </c>
      <c r="V154" t="inlineStr">
        <is>
          <t>1999-01-04</t>
        </is>
      </c>
      <c r="W154" t="inlineStr">
        <is>
          <t>1994-01-19</t>
        </is>
      </c>
      <c r="X154" t="inlineStr">
        <is>
          <t>1994-01-19</t>
        </is>
      </c>
      <c r="Y154" t="n">
        <v>482</v>
      </c>
      <c r="Z154" t="n">
        <v>451</v>
      </c>
      <c r="AA154" t="n">
        <v>495</v>
      </c>
      <c r="AB154" t="n">
        <v>2</v>
      </c>
      <c r="AC154" t="n">
        <v>3</v>
      </c>
      <c r="AD154" t="n">
        <v>6</v>
      </c>
      <c r="AE154" t="n">
        <v>7</v>
      </c>
      <c r="AF154" t="n">
        <v>4</v>
      </c>
      <c r="AG154" t="n">
        <v>4</v>
      </c>
      <c r="AH154" t="n">
        <v>1</v>
      </c>
      <c r="AI154" t="n">
        <v>1</v>
      </c>
      <c r="AJ154" t="n">
        <v>3</v>
      </c>
      <c r="AK154" t="n">
        <v>3</v>
      </c>
      <c r="AL154" t="n">
        <v>0</v>
      </c>
      <c r="AM154" t="n">
        <v>1</v>
      </c>
      <c r="AN154" t="n">
        <v>0</v>
      </c>
      <c r="AO154" t="n">
        <v>0</v>
      </c>
      <c r="AP154" t="inlineStr">
        <is>
          <t>No</t>
        </is>
      </c>
      <c r="AQ154" t="inlineStr">
        <is>
          <t>Yes</t>
        </is>
      </c>
      <c r="AR154">
        <f>HYPERLINK("http://catalog.hathitrust.org/Record/001271819","HathiTrust Record")</f>
        <v/>
      </c>
      <c r="AS154">
        <f>HYPERLINK("https://creighton-primo.hosted.exlibrisgroup.com/primo-explore/search?tab=default_tab&amp;search_scope=EVERYTHING&amp;vid=01CRU&amp;lang=en_US&amp;offset=0&amp;query=any,contains,991003455429702656","Catalog Record")</f>
        <v/>
      </c>
      <c r="AT154">
        <f>HYPERLINK("http://www.worldcat.org/oclc/995009","WorldCat Record")</f>
        <v/>
      </c>
      <c r="AU154" t="inlineStr">
        <is>
          <t>1984531:eng</t>
        </is>
      </c>
      <c r="AV154" t="inlineStr">
        <is>
          <t>995009</t>
        </is>
      </c>
      <c r="AW154" t="inlineStr">
        <is>
          <t>991003455429702656</t>
        </is>
      </c>
      <c r="AX154" t="inlineStr">
        <is>
          <t>991003455429702656</t>
        </is>
      </c>
      <c r="AY154" t="inlineStr">
        <is>
          <t>2257076810002656</t>
        </is>
      </c>
      <c r="AZ154" t="inlineStr">
        <is>
          <t>BOOK</t>
        </is>
      </c>
      <c r="BB154" t="inlineStr">
        <is>
          <t>9780275526702</t>
        </is>
      </c>
      <c r="BC154" t="inlineStr">
        <is>
          <t>32285001829992</t>
        </is>
      </c>
      <c r="BD154" t="inlineStr">
        <is>
          <t>893317990</t>
        </is>
      </c>
    </row>
    <row r="155">
      <c r="A155" t="inlineStr">
        <is>
          <t>No</t>
        </is>
      </c>
      <c r="B155" t="inlineStr">
        <is>
          <t>G850 1910 .S95</t>
        </is>
      </c>
      <c r="C155" t="inlineStr">
        <is>
          <t>0                      G  0850000               1910   S  95</t>
        </is>
      </c>
      <c r="D155" t="inlineStr">
        <is>
          <t>Diary of the Terra Nova Expedition to the Antarctic, 1910-1912. An account of Scott's last expedition edited from the original mss. in the Scott Polar Research Institute and the British Museum by H. G. R. King.</t>
        </is>
      </c>
      <c r="F155" t="inlineStr">
        <is>
          <t>No</t>
        </is>
      </c>
      <c r="G155" t="inlineStr">
        <is>
          <t>1</t>
        </is>
      </c>
      <c r="H155" t="inlineStr">
        <is>
          <t>No</t>
        </is>
      </c>
      <c r="I155" t="inlineStr">
        <is>
          <t>No</t>
        </is>
      </c>
      <c r="J155" t="inlineStr">
        <is>
          <t>0</t>
        </is>
      </c>
      <c r="K155" t="inlineStr">
        <is>
          <t>Wilson, Edward, 1872-1912.</t>
        </is>
      </c>
      <c r="L155" t="inlineStr">
        <is>
          <t>New York, Humanities Press [1972]</t>
        </is>
      </c>
      <c r="M155" t="inlineStr">
        <is>
          <t>1972</t>
        </is>
      </c>
      <c r="O155" t="inlineStr">
        <is>
          <t>eng</t>
        </is>
      </c>
      <c r="P155" t="inlineStr">
        <is>
          <t>nyu</t>
        </is>
      </c>
      <c r="R155" t="inlineStr">
        <is>
          <t xml:space="preserve">G  </t>
        </is>
      </c>
      <c r="S155" t="n">
        <v>1</v>
      </c>
      <c r="T155" t="n">
        <v>1</v>
      </c>
      <c r="U155" t="inlineStr">
        <is>
          <t>1998-06-30</t>
        </is>
      </c>
      <c r="V155" t="inlineStr">
        <is>
          <t>1998-06-30</t>
        </is>
      </c>
      <c r="W155" t="inlineStr">
        <is>
          <t>1997-05-22</t>
        </is>
      </c>
      <c r="X155" t="inlineStr">
        <is>
          <t>1997-05-22</t>
        </is>
      </c>
      <c r="Y155" t="n">
        <v>236</v>
      </c>
      <c r="Z155" t="n">
        <v>216</v>
      </c>
      <c r="AA155" t="n">
        <v>233</v>
      </c>
      <c r="AB155" t="n">
        <v>1</v>
      </c>
      <c r="AC155" t="n">
        <v>1</v>
      </c>
      <c r="AD155" t="n">
        <v>6</v>
      </c>
      <c r="AE155" t="n">
        <v>6</v>
      </c>
      <c r="AF155" t="n">
        <v>2</v>
      </c>
      <c r="AG155" t="n">
        <v>2</v>
      </c>
      <c r="AH155" t="n">
        <v>3</v>
      </c>
      <c r="AI155" t="n">
        <v>3</v>
      </c>
      <c r="AJ155" t="n">
        <v>3</v>
      </c>
      <c r="AK155" t="n">
        <v>3</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HYPERLINK("https://creighton-primo.hosted.exlibrisgroup.com/primo-explore/search?tab=default_tab&amp;search_scope=EVERYTHING&amp;vid=01CRU&amp;lang=en_US&amp;offset=0&amp;query=any,contains,991002841859702656","Catalog Record")</f>
        <v/>
      </c>
      <c r="AT155">
        <f>HYPERLINK("http://www.worldcat.org/oclc/482560","WorldCat Record")</f>
        <v/>
      </c>
      <c r="AU155" t="inlineStr">
        <is>
          <t>1694365:eng</t>
        </is>
      </c>
      <c r="AV155" t="inlineStr">
        <is>
          <t>482560</t>
        </is>
      </c>
      <c r="AW155" t="inlineStr">
        <is>
          <t>991002841859702656</t>
        </is>
      </c>
      <c r="AX155" t="inlineStr">
        <is>
          <t>991002841859702656</t>
        </is>
      </c>
      <c r="AY155" t="inlineStr">
        <is>
          <t>2258817410002656</t>
        </is>
      </c>
      <c r="AZ155" t="inlineStr">
        <is>
          <t>BOOK</t>
        </is>
      </c>
      <c r="BC155" t="inlineStr">
        <is>
          <t>32285002692753</t>
        </is>
      </c>
      <c r="BD155" t="inlineStr">
        <is>
          <t>893597951</t>
        </is>
      </c>
    </row>
    <row r="156">
      <c r="A156" t="inlineStr">
        <is>
          <t>No</t>
        </is>
      </c>
      <c r="B156" t="inlineStr">
        <is>
          <t>G850 1914.S53 K56 1999</t>
        </is>
      </c>
      <c r="C156" t="inlineStr">
        <is>
          <t>0                      G  0850000               1914   S  53                 K  56          1999</t>
        </is>
      </c>
      <c r="D156" t="inlineStr">
        <is>
          <t>Ice story : Shackleton's lost expedition / Elizabeth Cody Kimmel.</t>
        </is>
      </c>
      <c r="F156" t="inlineStr">
        <is>
          <t>No</t>
        </is>
      </c>
      <c r="G156" t="inlineStr">
        <is>
          <t>1</t>
        </is>
      </c>
      <c r="H156" t="inlineStr">
        <is>
          <t>No</t>
        </is>
      </c>
      <c r="I156" t="inlineStr">
        <is>
          <t>No</t>
        </is>
      </c>
      <c r="J156" t="inlineStr">
        <is>
          <t>0</t>
        </is>
      </c>
      <c r="K156" t="inlineStr">
        <is>
          <t>Kimmel, Elizabeth Cody.</t>
        </is>
      </c>
      <c r="L156" t="inlineStr">
        <is>
          <t>New York : Clarion Books, c1999.</t>
        </is>
      </c>
      <c r="M156" t="inlineStr">
        <is>
          <t>1999</t>
        </is>
      </c>
      <c r="O156" t="inlineStr">
        <is>
          <t>eng</t>
        </is>
      </c>
      <c r="P156" t="inlineStr">
        <is>
          <t>nyu</t>
        </is>
      </c>
      <c r="R156" t="inlineStr">
        <is>
          <t xml:space="preserve">G  </t>
        </is>
      </c>
      <c r="S156" t="n">
        <v>1</v>
      </c>
      <c r="T156" t="n">
        <v>1</v>
      </c>
      <c r="U156" t="inlineStr">
        <is>
          <t>2001-01-30</t>
        </is>
      </c>
      <c r="V156" t="inlineStr">
        <is>
          <t>2001-01-30</t>
        </is>
      </c>
      <c r="W156" t="inlineStr">
        <is>
          <t>2001-01-30</t>
        </is>
      </c>
      <c r="X156" t="inlineStr">
        <is>
          <t>2001-01-30</t>
        </is>
      </c>
      <c r="Y156" t="n">
        <v>980</v>
      </c>
      <c r="Z156" t="n">
        <v>942</v>
      </c>
      <c r="AA156" t="n">
        <v>943</v>
      </c>
      <c r="AB156" t="n">
        <v>16</v>
      </c>
      <c r="AC156" t="n">
        <v>16</v>
      </c>
      <c r="AD156" t="n">
        <v>5</v>
      </c>
      <c r="AE156" t="n">
        <v>5</v>
      </c>
      <c r="AF156" t="n">
        <v>0</v>
      </c>
      <c r="AG156" t="n">
        <v>0</v>
      </c>
      <c r="AH156" t="n">
        <v>1</v>
      </c>
      <c r="AI156" t="n">
        <v>1</v>
      </c>
      <c r="AJ156" t="n">
        <v>3</v>
      </c>
      <c r="AK156" t="n">
        <v>3</v>
      </c>
      <c r="AL156" t="n">
        <v>2</v>
      </c>
      <c r="AM156" t="n">
        <v>2</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HYPERLINK("https://creighton-primo.hosted.exlibrisgroup.com/primo-explore/search?tab=default_tab&amp;search_scope=EVERYTHING&amp;vid=01CRU&amp;lang=en_US&amp;offset=0&amp;query=any,contains,991003477919702656","Catalog Record")</f>
        <v/>
      </c>
      <c r="AT156">
        <f>HYPERLINK("http://www.worldcat.org/oclc/39477773","WorldCat Record")</f>
        <v/>
      </c>
      <c r="AU156" t="inlineStr">
        <is>
          <t>292243070:eng</t>
        </is>
      </c>
      <c r="AV156" t="inlineStr">
        <is>
          <t>39477773</t>
        </is>
      </c>
      <c r="AW156" t="inlineStr">
        <is>
          <t>991003477919702656</t>
        </is>
      </c>
      <c r="AX156" t="inlineStr">
        <is>
          <t>991003477919702656</t>
        </is>
      </c>
      <c r="AY156" t="inlineStr">
        <is>
          <t>2269612720002656</t>
        </is>
      </c>
      <c r="AZ156" t="inlineStr">
        <is>
          <t>BOOK</t>
        </is>
      </c>
      <c r="BB156" t="inlineStr">
        <is>
          <t>9780395915240</t>
        </is>
      </c>
      <c r="BC156" t="inlineStr">
        <is>
          <t>32285004292859</t>
        </is>
      </c>
      <c r="BD156" t="inlineStr">
        <is>
          <t>893489656</t>
        </is>
      </c>
    </row>
    <row r="157">
      <c r="A157" t="inlineStr">
        <is>
          <t>No</t>
        </is>
      </c>
      <c r="B157" t="inlineStr">
        <is>
          <t>G863 .P75 1992</t>
        </is>
      </c>
      <c r="C157" t="inlineStr">
        <is>
          <t>0                      G  0863000P  75          1992</t>
        </is>
      </c>
      <c r="D157" t="inlineStr">
        <is>
          <t>Antarctica : the last unspoiled continent / by Laurence Pringle.</t>
        </is>
      </c>
      <c r="F157" t="inlineStr">
        <is>
          <t>No</t>
        </is>
      </c>
      <c r="G157" t="inlineStr">
        <is>
          <t>1</t>
        </is>
      </c>
      <c r="H157" t="inlineStr">
        <is>
          <t>No</t>
        </is>
      </c>
      <c r="I157" t="inlineStr">
        <is>
          <t>No</t>
        </is>
      </c>
      <c r="J157" t="inlineStr">
        <is>
          <t>0</t>
        </is>
      </c>
      <c r="K157" t="inlineStr">
        <is>
          <t>Pringle, Laurence, 1935-</t>
        </is>
      </c>
      <c r="L157" t="inlineStr">
        <is>
          <t>New York : Simon &amp; Schuster Books for Young Readers, c1992.</t>
        </is>
      </c>
      <c r="M157" t="inlineStr">
        <is>
          <t>1992</t>
        </is>
      </c>
      <c r="O157" t="inlineStr">
        <is>
          <t>eng</t>
        </is>
      </c>
      <c r="P157" t="inlineStr">
        <is>
          <t>nyu</t>
        </is>
      </c>
      <c r="R157" t="inlineStr">
        <is>
          <t xml:space="preserve">G  </t>
        </is>
      </c>
      <c r="S157" t="n">
        <v>8</v>
      </c>
      <c r="T157" t="n">
        <v>8</v>
      </c>
      <c r="U157" t="inlineStr">
        <is>
          <t>2004-09-14</t>
        </is>
      </c>
      <c r="V157" t="inlineStr">
        <is>
          <t>2004-09-14</t>
        </is>
      </c>
      <c r="W157" t="inlineStr">
        <is>
          <t>1994-09-16</t>
        </is>
      </c>
      <c r="X157" t="inlineStr">
        <is>
          <t>1994-09-16</t>
        </is>
      </c>
      <c r="Y157" t="n">
        <v>726</v>
      </c>
      <c r="Z157" t="n">
        <v>698</v>
      </c>
      <c r="AA157" t="n">
        <v>706</v>
      </c>
      <c r="AB157" t="n">
        <v>7</v>
      </c>
      <c r="AC157" t="n">
        <v>7</v>
      </c>
      <c r="AD157" t="n">
        <v>6</v>
      </c>
      <c r="AE157" t="n">
        <v>6</v>
      </c>
      <c r="AF157" t="n">
        <v>0</v>
      </c>
      <c r="AG157" t="n">
        <v>0</v>
      </c>
      <c r="AH157" t="n">
        <v>4</v>
      </c>
      <c r="AI157" t="n">
        <v>4</v>
      </c>
      <c r="AJ157" t="n">
        <v>5</v>
      </c>
      <c r="AK157" t="n">
        <v>5</v>
      </c>
      <c r="AL157" t="n">
        <v>0</v>
      </c>
      <c r="AM157" t="n">
        <v>0</v>
      </c>
      <c r="AN157" t="n">
        <v>0</v>
      </c>
      <c r="AO157" t="n">
        <v>0</v>
      </c>
      <c r="AP157" t="inlineStr">
        <is>
          <t>No</t>
        </is>
      </c>
      <c r="AQ157" t="inlineStr">
        <is>
          <t>Yes</t>
        </is>
      </c>
      <c r="AR157">
        <f>HYPERLINK("http://catalog.hathitrust.org/Record/002617168","HathiTrust Record")</f>
        <v/>
      </c>
      <c r="AS157">
        <f>HYPERLINK("https://creighton-primo.hosted.exlibrisgroup.com/primo-explore/search?tab=default_tab&amp;search_scope=EVERYTHING&amp;vid=01CRU&amp;lang=en_US&amp;offset=0&amp;query=any,contains,991004498289702656","Catalog Record")</f>
        <v/>
      </c>
      <c r="AT157">
        <f>HYPERLINK("http://www.worldcat.org/oclc/22952072","WorldCat Record")</f>
        <v/>
      </c>
      <c r="AU157" t="inlineStr">
        <is>
          <t>23960914:eng</t>
        </is>
      </c>
      <c r="AV157" t="inlineStr">
        <is>
          <t>22952072</t>
        </is>
      </c>
      <c r="AW157" t="inlineStr">
        <is>
          <t>991004498289702656</t>
        </is>
      </c>
      <c r="AX157" t="inlineStr">
        <is>
          <t>991004498289702656</t>
        </is>
      </c>
      <c r="AY157" t="inlineStr">
        <is>
          <t>2260827650002656</t>
        </is>
      </c>
      <c r="AZ157" t="inlineStr">
        <is>
          <t>BOOK</t>
        </is>
      </c>
      <c r="BB157" t="inlineStr">
        <is>
          <t>9780671738501</t>
        </is>
      </c>
      <c r="BC157" t="inlineStr">
        <is>
          <t>32285001945731</t>
        </is>
      </c>
      <c r="BD157" t="inlineStr">
        <is>
          <t>893585443</t>
        </is>
      </c>
    </row>
    <row r="158">
      <c r="A158" t="inlineStr">
        <is>
          <t>No</t>
        </is>
      </c>
      <c r="B158" t="inlineStr">
        <is>
          <t>G87 .E923 1966</t>
        </is>
      </c>
      <c r="C158" t="inlineStr">
        <is>
          <t>0                      G  0087000E  923         1966</t>
        </is>
      </c>
      <c r="D158" t="inlineStr">
        <is>
          <t>Expositio totius mundi et gentium / Introduction, texte critique, traduction, notes et commentaire, par Jean Rougé ...</t>
        </is>
      </c>
      <c r="F158" t="inlineStr">
        <is>
          <t>No</t>
        </is>
      </c>
      <c r="G158" t="inlineStr">
        <is>
          <t>1</t>
        </is>
      </c>
      <c r="H158" t="inlineStr">
        <is>
          <t>No</t>
        </is>
      </c>
      <c r="I158" t="inlineStr">
        <is>
          <t>No</t>
        </is>
      </c>
      <c r="J158" t="inlineStr">
        <is>
          <t>0</t>
        </is>
      </c>
      <c r="K158" t="inlineStr">
        <is>
          <t>Expositio totius mundi et gentium.</t>
        </is>
      </c>
      <c r="L158" t="inlineStr">
        <is>
          <t>Paris : Éditions du Cerf, 1966.</t>
        </is>
      </c>
      <c r="M158" t="inlineStr">
        <is>
          <t>1966</t>
        </is>
      </c>
      <c r="O158" t="inlineStr">
        <is>
          <t>lat</t>
        </is>
      </c>
      <c r="P158" t="inlineStr">
        <is>
          <t xml:space="preserve">fr </t>
        </is>
      </c>
      <c r="Q158" t="inlineStr">
        <is>
          <t>Série Annexe de textes non chrétiens</t>
        </is>
      </c>
      <c r="R158" t="inlineStr">
        <is>
          <t xml:space="preserve">G  </t>
        </is>
      </c>
      <c r="S158" t="n">
        <v>1</v>
      </c>
      <c r="T158" t="n">
        <v>1</v>
      </c>
      <c r="U158" t="inlineStr">
        <is>
          <t>1998-04-03</t>
        </is>
      </c>
      <c r="V158" t="inlineStr">
        <is>
          <t>1998-04-03</t>
        </is>
      </c>
      <c r="W158" t="inlineStr">
        <is>
          <t>1991-12-17</t>
        </is>
      </c>
      <c r="X158" t="inlineStr">
        <is>
          <t>1991-12-17</t>
        </is>
      </c>
      <c r="Y158" t="n">
        <v>214</v>
      </c>
      <c r="Z158" t="n">
        <v>144</v>
      </c>
      <c r="AA158" t="n">
        <v>146</v>
      </c>
      <c r="AB158" t="n">
        <v>2</v>
      </c>
      <c r="AC158" t="n">
        <v>2</v>
      </c>
      <c r="AD158" t="n">
        <v>16</v>
      </c>
      <c r="AE158" t="n">
        <v>16</v>
      </c>
      <c r="AF158" t="n">
        <v>4</v>
      </c>
      <c r="AG158" t="n">
        <v>4</v>
      </c>
      <c r="AH158" t="n">
        <v>2</v>
      </c>
      <c r="AI158" t="n">
        <v>2</v>
      </c>
      <c r="AJ158" t="n">
        <v>13</v>
      </c>
      <c r="AK158" t="n">
        <v>13</v>
      </c>
      <c r="AL158" t="n">
        <v>1</v>
      </c>
      <c r="AM158" t="n">
        <v>1</v>
      </c>
      <c r="AN158" t="n">
        <v>0</v>
      </c>
      <c r="AO158" t="n">
        <v>0</v>
      </c>
      <c r="AP158" t="inlineStr">
        <is>
          <t>No</t>
        </is>
      </c>
      <c r="AQ158" t="inlineStr">
        <is>
          <t>Yes</t>
        </is>
      </c>
      <c r="AR158">
        <f>HYPERLINK("http://catalog.hathitrust.org/Record/001227195","HathiTrust Record")</f>
        <v/>
      </c>
      <c r="AS158">
        <f>HYPERLINK("https://creighton-primo.hosted.exlibrisgroup.com/primo-explore/search?tab=default_tab&amp;search_scope=EVERYTHING&amp;vid=01CRU&amp;lang=en_US&amp;offset=0&amp;query=any,contains,991003964589702656","Catalog Record")</f>
        <v/>
      </c>
      <c r="AT158">
        <f>HYPERLINK("http://www.worldcat.org/oclc/1979123","WorldCat Record")</f>
        <v/>
      </c>
      <c r="AU158" t="inlineStr">
        <is>
          <t>9093578651:lat</t>
        </is>
      </c>
      <c r="AV158" t="inlineStr">
        <is>
          <t>1979123</t>
        </is>
      </c>
      <c r="AW158" t="inlineStr">
        <is>
          <t>991003964589702656</t>
        </is>
      </c>
      <c r="AX158" t="inlineStr">
        <is>
          <t>991003964589702656</t>
        </is>
      </c>
      <c r="AY158" t="inlineStr">
        <is>
          <t>2265294030002656</t>
        </is>
      </c>
      <c r="AZ158" t="inlineStr">
        <is>
          <t>BOOK</t>
        </is>
      </c>
      <c r="BC158" t="inlineStr">
        <is>
          <t>32285000891852</t>
        </is>
      </c>
      <c r="BD158" t="inlineStr">
        <is>
          <t>893605467</t>
        </is>
      </c>
    </row>
    <row r="159">
      <c r="A159" t="inlineStr">
        <is>
          <t>No</t>
        </is>
      </c>
      <c r="B159" t="inlineStr">
        <is>
          <t>G875.S35 C73 2006</t>
        </is>
      </c>
      <c r="C159" t="inlineStr">
        <is>
          <t>0                      G  0875000S  35                 C  73          2006</t>
        </is>
      </c>
      <c r="D159" t="inlineStr">
        <is>
          <t>Scott of the Antarctic : a life of courage and tragedy / David Crane.</t>
        </is>
      </c>
      <c r="F159" t="inlineStr">
        <is>
          <t>No</t>
        </is>
      </c>
      <c r="G159" t="inlineStr">
        <is>
          <t>1</t>
        </is>
      </c>
      <c r="H159" t="inlineStr">
        <is>
          <t>No</t>
        </is>
      </c>
      <c r="I159" t="inlineStr">
        <is>
          <t>No</t>
        </is>
      </c>
      <c r="J159" t="inlineStr">
        <is>
          <t>0</t>
        </is>
      </c>
      <c r="K159" t="inlineStr">
        <is>
          <t>Crane, David, 1942-</t>
        </is>
      </c>
      <c r="L159" t="inlineStr">
        <is>
          <t>New York : Knopf, 2006.</t>
        </is>
      </c>
      <c r="M159" t="inlineStr">
        <is>
          <t>2006</t>
        </is>
      </c>
      <c r="N159" t="inlineStr">
        <is>
          <t>1st American ed.</t>
        </is>
      </c>
      <c r="O159" t="inlineStr">
        <is>
          <t>eng</t>
        </is>
      </c>
      <c r="P159" t="inlineStr">
        <is>
          <t>nyu</t>
        </is>
      </c>
      <c r="R159" t="inlineStr">
        <is>
          <t xml:space="preserve">G  </t>
        </is>
      </c>
      <c r="S159" t="n">
        <v>1</v>
      </c>
      <c r="T159" t="n">
        <v>1</v>
      </c>
      <c r="U159" t="inlineStr">
        <is>
          <t>2006-11-21</t>
        </is>
      </c>
      <c r="V159" t="inlineStr">
        <is>
          <t>2006-11-21</t>
        </is>
      </c>
      <c r="W159" t="inlineStr">
        <is>
          <t>2006-11-21</t>
        </is>
      </c>
      <c r="X159" t="inlineStr">
        <is>
          <t>2006-11-21</t>
        </is>
      </c>
      <c r="Y159" t="n">
        <v>628</v>
      </c>
      <c r="Z159" t="n">
        <v>612</v>
      </c>
      <c r="AA159" t="n">
        <v>701</v>
      </c>
      <c r="AB159" t="n">
        <v>5</v>
      </c>
      <c r="AC159" t="n">
        <v>5</v>
      </c>
      <c r="AD159" t="n">
        <v>7</v>
      </c>
      <c r="AE159" t="n">
        <v>9</v>
      </c>
      <c r="AF159" t="n">
        <v>2</v>
      </c>
      <c r="AG159" t="n">
        <v>3</v>
      </c>
      <c r="AH159" t="n">
        <v>2</v>
      </c>
      <c r="AI159" t="n">
        <v>2</v>
      </c>
      <c r="AJ159" t="n">
        <v>2</v>
      </c>
      <c r="AK159" t="n">
        <v>3</v>
      </c>
      <c r="AL159" t="n">
        <v>2</v>
      </c>
      <c r="AM159" t="n">
        <v>2</v>
      </c>
      <c r="AN159" t="n">
        <v>0</v>
      </c>
      <c r="AO159" t="n">
        <v>0</v>
      </c>
      <c r="AP159" t="inlineStr">
        <is>
          <t>No</t>
        </is>
      </c>
      <c r="AQ159" t="inlineStr">
        <is>
          <t>Yes</t>
        </is>
      </c>
      <c r="AR159">
        <f>HYPERLINK("http://catalog.hathitrust.org/Record/007147347","HathiTrust Record")</f>
        <v/>
      </c>
      <c r="AS159">
        <f>HYPERLINK("https://creighton-primo.hosted.exlibrisgroup.com/primo-explore/search?tab=default_tab&amp;search_scope=EVERYTHING&amp;vid=01CRU&amp;lang=en_US&amp;offset=0&amp;query=any,contains,991004935749702656","Catalog Record")</f>
        <v/>
      </c>
      <c r="AT159">
        <f>HYPERLINK("http://www.worldcat.org/oclc/67361694","WorldCat Record")</f>
        <v/>
      </c>
      <c r="AU159" t="inlineStr">
        <is>
          <t>896779597:eng</t>
        </is>
      </c>
      <c r="AV159" t="inlineStr">
        <is>
          <t>67361694</t>
        </is>
      </c>
      <c r="AW159" t="inlineStr">
        <is>
          <t>991004935749702656</t>
        </is>
      </c>
      <c r="AX159" t="inlineStr">
        <is>
          <t>991004935749702656</t>
        </is>
      </c>
      <c r="AY159" t="inlineStr">
        <is>
          <t>2266398120002656</t>
        </is>
      </c>
      <c r="AZ159" t="inlineStr">
        <is>
          <t>BOOK</t>
        </is>
      </c>
      <c r="BB159" t="inlineStr">
        <is>
          <t>9780375415272</t>
        </is>
      </c>
      <c r="BC159" t="inlineStr">
        <is>
          <t>32285005261085</t>
        </is>
      </c>
      <c r="BD159" t="inlineStr">
        <is>
          <t>893883129</t>
        </is>
      </c>
    </row>
    <row r="160">
      <c r="A160" t="inlineStr">
        <is>
          <t>No</t>
        </is>
      </c>
      <c r="B160" t="inlineStr">
        <is>
          <t>G875.S5 H86 1986</t>
        </is>
      </c>
      <c r="C160" t="inlineStr">
        <is>
          <t>0                      G  0875000S  5                  H  86          1986</t>
        </is>
      </c>
      <c r="D160" t="inlineStr">
        <is>
          <t>Shackleton / Roland Huntford.</t>
        </is>
      </c>
      <c r="F160" t="inlineStr">
        <is>
          <t>No</t>
        </is>
      </c>
      <c r="G160" t="inlineStr">
        <is>
          <t>1</t>
        </is>
      </c>
      <c r="H160" t="inlineStr">
        <is>
          <t>No</t>
        </is>
      </c>
      <c r="I160" t="inlineStr">
        <is>
          <t>No</t>
        </is>
      </c>
      <c r="J160" t="inlineStr">
        <is>
          <t>0</t>
        </is>
      </c>
      <c r="K160" t="inlineStr">
        <is>
          <t>Huntford, Roland, 1927-</t>
        </is>
      </c>
      <c r="L160" t="inlineStr">
        <is>
          <t>New York : Atheneum, 1986, c1985.</t>
        </is>
      </c>
      <c r="M160" t="inlineStr">
        <is>
          <t>1986</t>
        </is>
      </c>
      <c r="N160" t="inlineStr">
        <is>
          <t>1st American ed.</t>
        </is>
      </c>
      <c r="O160" t="inlineStr">
        <is>
          <t>eng</t>
        </is>
      </c>
      <c r="P160" t="inlineStr">
        <is>
          <t>nyu</t>
        </is>
      </c>
      <c r="R160" t="inlineStr">
        <is>
          <t xml:space="preserve">G  </t>
        </is>
      </c>
      <c r="S160" t="n">
        <v>1</v>
      </c>
      <c r="T160" t="n">
        <v>1</v>
      </c>
      <c r="U160" t="inlineStr">
        <is>
          <t>2010-09-13</t>
        </is>
      </c>
      <c r="V160" t="inlineStr">
        <is>
          <t>2010-09-13</t>
        </is>
      </c>
      <c r="W160" t="inlineStr">
        <is>
          <t>1992-01-06</t>
        </is>
      </c>
      <c r="X160" t="inlineStr">
        <is>
          <t>1992-01-06</t>
        </is>
      </c>
      <c r="Y160" t="n">
        <v>793</v>
      </c>
      <c r="Z160" t="n">
        <v>756</v>
      </c>
      <c r="AA160" t="n">
        <v>972</v>
      </c>
      <c r="AB160" t="n">
        <v>3</v>
      </c>
      <c r="AC160" t="n">
        <v>3</v>
      </c>
      <c r="AD160" t="n">
        <v>12</v>
      </c>
      <c r="AE160" t="n">
        <v>16</v>
      </c>
      <c r="AF160" t="n">
        <v>4</v>
      </c>
      <c r="AG160" t="n">
        <v>4</v>
      </c>
      <c r="AH160" t="n">
        <v>3</v>
      </c>
      <c r="AI160" t="n">
        <v>4</v>
      </c>
      <c r="AJ160" t="n">
        <v>9</v>
      </c>
      <c r="AK160" t="n">
        <v>12</v>
      </c>
      <c r="AL160" t="n">
        <v>1</v>
      </c>
      <c r="AM160" t="n">
        <v>1</v>
      </c>
      <c r="AN160" t="n">
        <v>0</v>
      </c>
      <c r="AO160" t="n">
        <v>0</v>
      </c>
      <c r="AP160" t="inlineStr">
        <is>
          <t>No</t>
        </is>
      </c>
      <c r="AQ160" t="inlineStr">
        <is>
          <t>Yes</t>
        </is>
      </c>
      <c r="AR160">
        <f>HYPERLINK("http://catalog.hathitrust.org/Record/004417538","HathiTrust Record")</f>
        <v/>
      </c>
      <c r="AS160">
        <f>HYPERLINK("https://creighton-primo.hosted.exlibrisgroup.com/primo-explore/search?tab=default_tab&amp;search_scope=EVERYTHING&amp;vid=01CRU&amp;lang=en_US&amp;offset=0&amp;query=any,contains,991000677529702656","Catalog Record")</f>
        <v/>
      </c>
      <c r="AT160">
        <f>HYPERLINK("http://www.worldcat.org/oclc/12370255","WorldCat Record")</f>
        <v/>
      </c>
      <c r="AU160" t="inlineStr">
        <is>
          <t>5020407:eng</t>
        </is>
      </c>
      <c r="AV160" t="inlineStr">
        <is>
          <t>12370255</t>
        </is>
      </c>
      <c r="AW160" t="inlineStr">
        <is>
          <t>991000677529702656</t>
        </is>
      </c>
      <c r="AX160" t="inlineStr">
        <is>
          <t>991000677529702656</t>
        </is>
      </c>
      <c r="AY160" t="inlineStr">
        <is>
          <t>2261321890002656</t>
        </is>
      </c>
      <c r="AZ160" t="inlineStr">
        <is>
          <t>BOOK</t>
        </is>
      </c>
      <c r="BB160" t="inlineStr">
        <is>
          <t>9780689114298</t>
        </is>
      </c>
      <c r="BC160" t="inlineStr">
        <is>
          <t>32285000892520</t>
        </is>
      </c>
      <c r="BD160" t="inlineStr">
        <is>
          <t>893620695</t>
        </is>
      </c>
    </row>
    <row r="161">
      <c r="A161" t="inlineStr">
        <is>
          <t>No</t>
        </is>
      </c>
      <c r="B161" t="inlineStr">
        <is>
          <t>G88 .C86 2003</t>
        </is>
      </c>
      <c r="C161" t="inlineStr">
        <is>
          <t>0                      G  0088000C  86          2003</t>
        </is>
      </c>
      <c r="D161" t="inlineStr">
        <is>
          <t>The extraordinary voyage of Pytheas the Greek / Barry Cunliffe.</t>
        </is>
      </c>
      <c r="F161" t="inlineStr">
        <is>
          <t>No</t>
        </is>
      </c>
      <c r="G161" t="inlineStr">
        <is>
          <t>1</t>
        </is>
      </c>
      <c r="H161" t="inlineStr">
        <is>
          <t>No</t>
        </is>
      </c>
      <c r="I161" t="inlineStr">
        <is>
          <t>No</t>
        </is>
      </c>
      <c r="J161" t="inlineStr">
        <is>
          <t>0</t>
        </is>
      </c>
      <c r="K161" t="inlineStr">
        <is>
          <t>Cunliffe, Barry W.</t>
        </is>
      </c>
      <c r="L161" t="inlineStr">
        <is>
          <t>New York, N.Y. : Penguin Books, 2003.</t>
        </is>
      </c>
      <c r="M161" t="inlineStr">
        <is>
          <t>2003</t>
        </is>
      </c>
      <c r="O161" t="inlineStr">
        <is>
          <t>eng</t>
        </is>
      </c>
      <c r="P161" t="inlineStr">
        <is>
          <t>nyu</t>
        </is>
      </c>
      <c r="R161" t="inlineStr">
        <is>
          <t xml:space="preserve">G  </t>
        </is>
      </c>
      <c r="S161" t="n">
        <v>2</v>
      </c>
      <c r="T161" t="n">
        <v>2</v>
      </c>
      <c r="U161" t="inlineStr">
        <is>
          <t>2010-11-12</t>
        </is>
      </c>
      <c r="V161" t="inlineStr">
        <is>
          <t>2010-11-12</t>
        </is>
      </c>
      <c r="W161" t="inlineStr">
        <is>
          <t>2007-04-19</t>
        </is>
      </c>
      <c r="X161" t="inlineStr">
        <is>
          <t>2007-04-19</t>
        </is>
      </c>
      <c r="Y161" t="n">
        <v>104</v>
      </c>
      <c r="Z161" t="n">
        <v>91</v>
      </c>
      <c r="AA161" t="n">
        <v>646</v>
      </c>
      <c r="AB161" t="n">
        <v>2</v>
      </c>
      <c r="AC161" t="n">
        <v>4</v>
      </c>
      <c r="AD161" t="n">
        <v>2</v>
      </c>
      <c r="AE161" t="n">
        <v>18</v>
      </c>
      <c r="AF161" t="n">
        <v>0</v>
      </c>
      <c r="AG161" t="n">
        <v>8</v>
      </c>
      <c r="AH161" t="n">
        <v>0</v>
      </c>
      <c r="AI161" t="n">
        <v>3</v>
      </c>
      <c r="AJ161" t="n">
        <v>1</v>
      </c>
      <c r="AK161" t="n">
        <v>9</v>
      </c>
      <c r="AL161" t="n">
        <v>1</v>
      </c>
      <c r="AM161" t="n">
        <v>2</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HYPERLINK("https://creighton-primo.hosted.exlibrisgroup.com/primo-explore/search?tab=default_tab&amp;search_scope=EVERYTHING&amp;vid=01CRU&amp;lang=en_US&amp;offset=0&amp;query=any,contains,991005069669702656","Catalog Record")</f>
        <v/>
      </c>
      <c r="AT161">
        <f>HYPERLINK("http://www.worldcat.org/oclc/51944567","WorldCat Record")</f>
        <v/>
      </c>
      <c r="AU161" t="inlineStr">
        <is>
          <t>4160467089:eng</t>
        </is>
      </c>
      <c r="AV161" t="inlineStr">
        <is>
          <t>51944567</t>
        </is>
      </c>
      <c r="AW161" t="inlineStr">
        <is>
          <t>991005069669702656</t>
        </is>
      </c>
      <c r="AX161" t="inlineStr">
        <is>
          <t>991005069669702656</t>
        </is>
      </c>
      <c r="AY161" t="inlineStr">
        <is>
          <t>2262428330002656</t>
        </is>
      </c>
      <c r="AZ161" t="inlineStr">
        <is>
          <t>BOOK</t>
        </is>
      </c>
      <c r="BB161" t="inlineStr">
        <is>
          <t>9780142002544</t>
        </is>
      </c>
      <c r="BC161" t="inlineStr">
        <is>
          <t>32285005288351</t>
        </is>
      </c>
      <c r="BD161" t="inlineStr">
        <is>
          <t>893694698</t>
        </is>
      </c>
    </row>
    <row r="162">
      <c r="A162" t="inlineStr">
        <is>
          <t>No</t>
        </is>
      </c>
      <c r="B162" t="inlineStr">
        <is>
          <t>G89 .N4 1967</t>
        </is>
      </c>
      <c r="C162" t="inlineStr">
        <is>
          <t>0                      G  0089000N  4           1967</t>
        </is>
      </c>
      <c r="D162" t="inlineStr">
        <is>
          <t>Travel and travellers of the Middle Ages.</t>
        </is>
      </c>
      <c r="F162" t="inlineStr">
        <is>
          <t>No</t>
        </is>
      </c>
      <c r="G162" t="inlineStr">
        <is>
          <t>1</t>
        </is>
      </c>
      <c r="H162" t="inlineStr">
        <is>
          <t>No</t>
        </is>
      </c>
      <c r="I162" t="inlineStr">
        <is>
          <t>No</t>
        </is>
      </c>
      <c r="J162" t="inlineStr">
        <is>
          <t>0</t>
        </is>
      </c>
      <c r="K162" t="inlineStr">
        <is>
          <t>Newton, Arthur Percival, 1873-1942, editor.</t>
        </is>
      </c>
      <c r="L162" t="inlineStr">
        <is>
          <t>Freeport, N.Y., Books for Libraries Press [1967]</t>
        </is>
      </c>
      <c r="M162" t="inlineStr">
        <is>
          <t>1967</t>
        </is>
      </c>
      <c r="O162" t="inlineStr">
        <is>
          <t>eng</t>
        </is>
      </c>
      <c r="P162" t="inlineStr">
        <is>
          <t>nyu</t>
        </is>
      </c>
      <c r="Q162" t="inlineStr">
        <is>
          <t>Essay index reprint series</t>
        </is>
      </c>
      <c r="R162" t="inlineStr">
        <is>
          <t xml:space="preserve">G  </t>
        </is>
      </c>
      <c r="S162" t="n">
        <v>0</v>
      </c>
      <c r="T162" t="n">
        <v>0</v>
      </c>
      <c r="U162" t="inlineStr">
        <is>
          <t>2007-01-24</t>
        </is>
      </c>
      <c r="V162" t="inlineStr">
        <is>
          <t>2007-01-24</t>
        </is>
      </c>
      <c r="W162" t="inlineStr">
        <is>
          <t>1997-05-21</t>
        </is>
      </c>
      <c r="X162" t="inlineStr">
        <is>
          <t>1997-05-21</t>
        </is>
      </c>
      <c r="Y162" t="n">
        <v>318</v>
      </c>
      <c r="Z162" t="n">
        <v>301</v>
      </c>
      <c r="AA162" t="n">
        <v>755</v>
      </c>
      <c r="AB162" t="n">
        <v>2</v>
      </c>
      <c r="AC162" t="n">
        <v>6</v>
      </c>
      <c r="AD162" t="n">
        <v>11</v>
      </c>
      <c r="AE162" t="n">
        <v>38</v>
      </c>
      <c r="AF162" t="n">
        <v>7</v>
      </c>
      <c r="AG162" t="n">
        <v>16</v>
      </c>
      <c r="AH162" t="n">
        <v>1</v>
      </c>
      <c r="AI162" t="n">
        <v>9</v>
      </c>
      <c r="AJ162" t="n">
        <v>4</v>
      </c>
      <c r="AK162" t="n">
        <v>19</v>
      </c>
      <c r="AL162" t="n">
        <v>1</v>
      </c>
      <c r="AM162" t="n">
        <v>5</v>
      </c>
      <c r="AN162" t="n">
        <v>0</v>
      </c>
      <c r="AO162" t="n">
        <v>0</v>
      </c>
      <c r="AP162" t="inlineStr">
        <is>
          <t>No</t>
        </is>
      </c>
      <c r="AQ162" t="inlineStr">
        <is>
          <t>Yes</t>
        </is>
      </c>
      <c r="AR162">
        <f>HYPERLINK("http://catalog.hathitrust.org/Record/005994770","HathiTrust Record")</f>
        <v/>
      </c>
      <c r="AS162">
        <f>HYPERLINK("https://creighton-primo.hosted.exlibrisgroup.com/primo-explore/search?tab=default_tab&amp;search_scope=EVERYTHING&amp;vid=01CRU&amp;lang=en_US&amp;offset=0&amp;query=any,contains,991002704119702656","Catalog Record")</f>
        <v/>
      </c>
      <c r="AT162">
        <f>HYPERLINK("http://www.worldcat.org/oclc/406555","WorldCat Record")</f>
        <v/>
      </c>
      <c r="AU162" t="inlineStr">
        <is>
          <t>9657940335:eng</t>
        </is>
      </c>
      <c r="AV162" t="inlineStr">
        <is>
          <t>406555</t>
        </is>
      </c>
      <c r="AW162" t="inlineStr">
        <is>
          <t>991002704119702656</t>
        </is>
      </c>
      <c r="AX162" t="inlineStr">
        <is>
          <t>991002704119702656</t>
        </is>
      </c>
      <c r="AY162" t="inlineStr">
        <is>
          <t>2261101580002656</t>
        </is>
      </c>
      <c r="AZ162" t="inlineStr">
        <is>
          <t>BOOK</t>
        </is>
      </c>
      <c r="BC162" t="inlineStr">
        <is>
          <t>32285002690658</t>
        </is>
      </c>
      <c r="BD162" t="inlineStr">
        <is>
          <t>893445313</t>
        </is>
      </c>
    </row>
    <row r="163">
      <c r="A163" t="inlineStr">
        <is>
          <t>No</t>
        </is>
      </c>
      <c r="B163" t="inlineStr">
        <is>
          <t>G93 .D56 1982</t>
        </is>
      </c>
      <c r="C163" t="inlineStr">
        <is>
          <t>0                      G  0093000D  56          1982</t>
        </is>
      </c>
      <c r="D163" t="inlineStr">
        <is>
          <t>Kitāb nukhbat al-dahr fī ʻajāʼib al-barr wa-al-baḥr / taʼlīf Shams al-Dīn Abī ʻAbd Allāh Muḥammad Abī Ṭālib al-Anṣārī al-Ṣūfī al-Dimashqī ; qām awwalan bi-ṭabʻih al-marḥūm Farīn Aḥad aʻḍāʼ al-Akādimīyah al-Impiraṭurīyah bi-madīnat Piṭirbūrgh thumma iʻtanā baʻd wafātih bi-taṣḥīhīh wa-ṭabʻih al-ʻabd al-muftaqar ilá raḥmat Allāh Aghshaṭis ibn Yaḥyā ́al-madʻūw Mahran al-Alsinah al-Sharqīyah fī al-madrasah al-ʻuẓmá al-malakīyah bi-madīnat Qūpinhāgh al-maḥrūsah.</t>
        </is>
      </c>
      <c r="F163" t="inlineStr">
        <is>
          <t>No</t>
        </is>
      </c>
      <c r="G163" t="inlineStr">
        <is>
          <t>1</t>
        </is>
      </c>
      <c r="H163" t="inlineStr">
        <is>
          <t>No</t>
        </is>
      </c>
      <c r="I163" t="inlineStr">
        <is>
          <t>No</t>
        </is>
      </c>
      <c r="J163" t="inlineStr">
        <is>
          <t>0</t>
        </is>
      </c>
      <c r="K163" t="inlineStr">
        <is>
          <t>Dimashqī, Shams al-Dīn Muḥammad ibn Abī Ṭālib, 1256 or 1257-1327.</t>
        </is>
      </c>
      <c r="L163" t="inlineStr">
        <is>
          <t>Osnabrück : Biblio Verlag, 1982.</t>
        </is>
      </c>
      <c r="M163" t="inlineStr">
        <is>
          <t>1982</t>
        </is>
      </c>
      <c r="O163" t="inlineStr">
        <is>
          <t>ara</t>
        </is>
      </c>
      <c r="P163" t="inlineStr">
        <is>
          <t xml:space="preserve">gw </t>
        </is>
      </c>
      <c r="R163" t="inlineStr">
        <is>
          <t xml:space="preserve">G  </t>
        </is>
      </c>
      <c r="S163" t="n">
        <v>0</v>
      </c>
      <c r="T163" t="n">
        <v>0</v>
      </c>
      <c r="U163" t="inlineStr">
        <is>
          <t>2010-07-02</t>
        </is>
      </c>
      <c r="V163" t="inlineStr">
        <is>
          <t>2010-07-02</t>
        </is>
      </c>
      <c r="W163" t="inlineStr">
        <is>
          <t>2000-06-16</t>
        </is>
      </c>
      <c r="X163" t="inlineStr">
        <is>
          <t>2000-06-16</t>
        </is>
      </c>
      <c r="Y163" t="n">
        <v>3</v>
      </c>
      <c r="Z163" t="n">
        <v>2</v>
      </c>
      <c r="AA163" t="n">
        <v>5</v>
      </c>
      <c r="AB163" t="n">
        <v>1</v>
      </c>
      <c r="AC163" t="n">
        <v>1</v>
      </c>
      <c r="AD163" t="n">
        <v>0</v>
      </c>
      <c r="AE163" t="n">
        <v>0</v>
      </c>
      <c r="AF163" t="n">
        <v>0</v>
      </c>
      <c r="AG163" t="n">
        <v>0</v>
      </c>
      <c r="AH163" t="n">
        <v>0</v>
      </c>
      <c r="AI163" t="n">
        <v>0</v>
      </c>
      <c r="AJ163" t="n">
        <v>0</v>
      </c>
      <c r="AK163" t="n">
        <v>0</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HYPERLINK("https://creighton-primo.hosted.exlibrisgroup.com/primo-explore/search?tab=default_tab&amp;search_scope=EVERYTHING&amp;vid=01CRU&amp;lang=en_US&amp;offset=0&amp;query=any,contains,991003190079702656","Catalog Record")</f>
        <v/>
      </c>
      <c r="AT163">
        <f>HYPERLINK("http://www.worldcat.org/oclc/43316324","WorldCat Record")</f>
        <v/>
      </c>
      <c r="AU163" t="inlineStr">
        <is>
          <t>5218326405:ara</t>
        </is>
      </c>
      <c r="AV163" t="inlineStr">
        <is>
          <t>43316324</t>
        </is>
      </c>
      <c r="AW163" t="inlineStr">
        <is>
          <t>991003190079702656</t>
        </is>
      </c>
      <c r="AX163" t="inlineStr">
        <is>
          <t>991003190079702656</t>
        </is>
      </c>
      <c r="AY163" t="inlineStr">
        <is>
          <t>2255825930002656</t>
        </is>
      </c>
      <c r="AZ163" t="inlineStr">
        <is>
          <t>BOOK</t>
        </is>
      </c>
      <c r="BB163" t="inlineStr">
        <is>
          <t>9783764802868</t>
        </is>
      </c>
      <c r="BC163" t="inlineStr">
        <is>
          <t>32285004271028</t>
        </is>
      </c>
      <c r="BD163" t="inlineStr">
        <is>
          <t>893535374</t>
        </is>
      </c>
    </row>
    <row r="164">
      <c r="A164" t="inlineStr">
        <is>
          <t>No</t>
        </is>
      </c>
      <c r="B164" t="inlineStr">
        <is>
          <t>G95 .C513</t>
        </is>
      </c>
      <c r="C164" t="inlineStr">
        <is>
          <t>0                      G  0095000C  513</t>
        </is>
      </c>
      <c r="D164" t="inlineStr">
        <is>
          <t>European expansion in the later Middle Ages / by Pierre Chaunu ; translated by Kattarine Bertram.</t>
        </is>
      </c>
      <c r="F164" t="inlineStr">
        <is>
          <t>No</t>
        </is>
      </c>
      <c r="G164" t="inlineStr">
        <is>
          <t>1</t>
        </is>
      </c>
      <c r="H164" t="inlineStr">
        <is>
          <t>No</t>
        </is>
      </c>
      <c r="I164" t="inlineStr">
        <is>
          <t>No</t>
        </is>
      </c>
      <c r="J164" t="inlineStr">
        <is>
          <t>0</t>
        </is>
      </c>
      <c r="K164" t="inlineStr">
        <is>
          <t>Chaunu, Pierre.</t>
        </is>
      </c>
      <c r="L164" t="inlineStr">
        <is>
          <t>Amsterdam : North Holland Pub. Co. ; New York : distributors for the U.S.A. and Canada, Elsevier North-Holland, c1978.</t>
        </is>
      </c>
      <c r="M164" t="inlineStr">
        <is>
          <t>1978</t>
        </is>
      </c>
      <c r="O164" t="inlineStr">
        <is>
          <t>eng</t>
        </is>
      </c>
      <c r="P164" t="inlineStr">
        <is>
          <t xml:space="preserve">ne </t>
        </is>
      </c>
      <c r="Q164" t="inlineStr">
        <is>
          <t>Europe in the Middle Ages ; v. 10</t>
        </is>
      </c>
      <c r="R164" t="inlineStr">
        <is>
          <t xml:space="preserve">G  </t>
        </is>
      </c>
      <c r="S164" t="n">
        <v>9</v>
      </c>
      <c r="T164" t="n">
        <v>9</v>
      </c>
      <c r="U164" t="inlineStr">
        <is>
          <t>2001-11-25</t>
        </is>
      </c>
      <c r="V164" t="inlineStr">
        <is>
          <t>2001-11-25</t>
        </is>
      </c>
      <c r="W164" t="inlineStr">
        <is>
          <t>1991-12-17</t>
        </is>
      </c>
      <c r="X164" t="inlineStr">
        <is>
          <t>1991-12-17</t>
        </is>
      </c>
      <c r="Y164" t="n">
        <v>321</v>
      </c>
      <c r="Z164" t="n">
        <v>210</v>
      </c>
      <c r="AA164" t="n">
        <v>214</v>
      </c>
      <c r="AB164" t="n">
        <v>3</v>
      </c>
      <c r="AC164" t="n">
        <v>3</v>
      </c>
      <c r="AD164" t="n">
        <v>9</v>
      </c>
      <c r="AE164" t="n">
        <v>10</v>
      </c>
      <c r="AF164" t="n">
        <v>1</v>
      </c>
      <c r="AG164" t="n">
        <v>1</v>
      </c>
      <c r="AH164" t="n">
        <v>1</v>
      </c>
      <c r="AI164" t="n">
        <v>2</v>
      </c>
      <c r="AJ164" t="n">
        <v>7</v>
      </c>
      <c r="AK164" t="n">
        <v>8</v>
      </c>
      <c r="AL164" t="n">
        <v>2</v>
      </c>
      <c r="AM164" t="n">
        <v>2</v>
      </c>
      <c r="AN164" t="n">
        <v>0</v>
      </c>
      <c r="AO164" t="n">
        <v>0</v>
      </c>
      <c r="AP164" t="inlineStr">
        <is>
          <t>No</t>
        </is>
      </c>
      <c r="AQ164" t="inlineStr">
        <is>
          <t>Yes</t>
        </is>
      </c>
      <c r="AR164">
        <f>HYPERLINK("http://catalog.hathitrust.org/Record/000135327","HathiTrust Record")</f>
        <v/>
      </c>
      <c r="AS164">
        <f>HYPERLINK("https://creighton-primo.hosted.exlibrisgroup.com/primo-explore/search?tab=default_tab&amp;search_scope=EVERYTHING&amp;vid=01CRU&amp;lang=en_US&amp;offset=0&amp;query=any,contains,991004526939702656","Catalog Record")</f>
        <v/>
      </c>
      <c r="AT164">
        <f>HYPERLINK("http://www.worldcat.org/oclc/3843813","WorldCat Record")</f>
        <v/>
      </c>
      <c r="AU164" t="inlineStr">
        <is>
          <t>13308224:eng</t>
        </is>
      </c>
      <c r="AV164" t="inlineStr">
        <is>
          <t>3843813</t>
        </is>
      </c>
      <c r="AW164" t="inlineStr">
        <is>
          <t>991004526939702656</t>
        </is>
      </c>
      <c r="AX164" t="inlineStr">
        <is>
          <t>991004526939702656</t>
        </is>
      </c>
      <c r="AY164" t="inlineStr">
        <is>
          <t>2264933480002656</t>
        </is>
      </c>
      <c r="AZ164" t="inlineStr">
        <is>
          <t>BOOK</t>
        </is>
      </c>
      <c r="BB164" t="inlineStr">
        <is>
          <t>9780444851321</t>
        </is>
      </c>
      <c r="BC164" t="inlineStr">
        <is>
          <t>32285000891886</t>
        </is>
      </c>
      <c r="BD164" t="inlineStr">
        <is>
          <t>893229469</t>
        </is>
      </c>
    </row>
    <row r="165">
      <c r="A165" t="inlineStr">
        <is>
          <t>No</t>
        </is>
      </c>
      <c r="B165" t="inlineStr">
        <is>
          <t>G95 .K66 2000</t>
        </is>
      </c>
      <c r="C165" t="inlineStr">
        <is>
          <t>0                      G  0095000K  66          2000</t>
        </is>
      </c>
      <c r="D165" t="inlineStr">
        <is>
          <t>Historical atlas of exploration, 1492-1600 / Angus Konstam.</t>
        </is>
      </c>
      <c r="F165" t="inlineStr">
        <is>
          <t>No</t>
        </is>
      </c>
      <c r="G165" t="inlineStr">
        <is>
          <t>1</t>
        </is>
      </c>
      <c r="H165" t="inlineStr">
        <is>
          <t>No</t>
        </is>
      </c>
      <c r="I165" t="inlineStr">
        <is>
          <t>No</t>
        </is>
      </c>
      <c r="J165" t="inlineStr">
        <is>
          <t>0</t>
        </is>
      </c>
      <c r="K165" t="inlineStr">
        <is>
          <t>Konstam, Angus.</t>
        </is>
      </c>
      <c r="L165" t="inlineStr">
        <is>
          <t>New York, NY : Checkmark Books, c2000.</t>
        </is>
      </c>
      <c r="M165" t="inlineStr">
        <is>
          <t>2000</t>
        </is>
      </c>
      <c r="O165" t="inlineStr">
        <is>
          <t>eng</t>
        </is>
      </c>
      <c r="P165" t="inlineStr">
        <is>
          <t>nyu</t>
        </is>
      </c>
      <c r="R165" t="inlineStr">
        <is>
          <t xml:space="preserve">G  </t>
        </is>
      </c>
      <c r="S165" t="n">
        <v>1</v>
      </c>
      <c r="T165" t="n">
        <v>1</v>
      </c>
      <c r="U165" t="inlineStr">
        <is>
          <t>2008-06-12</t>
        </is>
      </c>
      <c r="V165" t="inlineStr">
        <is>
          <t>2008-06-12</t>
        </is>
      </c>
      <c r="W165" t="inlineStr">
        <is>
          <t>2008-06-12</t>
        </is>
      </c>
      <c r="X165" t="inlineStr">
        <is>
          <t>2008-06-12</t>
        </is>
      </c>
      <c r="Y165" t="n">
        <v>1011</v>
      </c>
      <c r="Z165" t="n">
        <v>934</v>
      </c>
      <c r="AA165" t="n">
        <v>962</v>
      </c>
      <c r="AB165" t="n">
        <v>3</v>
      </c>
      <c r="AC165" t="n">
        <v>3</v>
      </c>
      <c r="AD165" t="n">
        <v>11</v>
      </c>
      <c r="AE165" t="n">
        <v>12</v>
      </c>
      <c r="AF165" t="n">
        <v>3</v>
      </c>
      <c r="AG165" t="n">
        <v>4</v>
      </c>
      <c r="AH165" t="n">
        <v>2</v>
      </c>
      <c r="AI165" t="n">
        <v>2</v>
      </c>
      <c r="AJ165" t="n">
        <v>7</v>
      </c>
      <c r="AK165" t="n">
        <v>8</v>
      </c>
      <c r="AL165" t="n">
        <v>1</v>
      </c>
      <c r="AM165" t="n">
        <v>1</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HYPERLINK("https://creighton-primo.hosted.exlibrisgroup.com/primo-explore/search?tab=default_tab&amp;search_scope=EVERYTHING&amp;vid=01CRU&amp;lang=en_US&amp;offset=0&amp;query=any,contains,991005235029702656","Catalog Record")</f>
        <v/>
      </c>
      <c r="AT165">
        <f>HYPERLINK("http://www.worldcat.org/oclc/43287427","WorldCat Record")</f>
        <v/>
      </c>
      <c r="AU165" t="inlineStr">
        <is>
          <t>135134573:eng</t>
        </is>
      </c>
      <c r="AV165" t="inlineStr">
        <is>
          <t>43287427</t>
        </is>
      </c>
      <c r="AW165" t="inlineStr">
        <is>
          <t>991005235029702656</t>
        </is>
      </c>
      <c r="AX165" t="inlineStr">
        <is>
          <t>991005235029702656</t>
        </is>
      </c>
      <c r="AY165" t="inlineStr">
        <is>
          <t>2268552320002656</t>
        </is>
      </c>
      <c r="AZ165" t="inlineStr">
        <is>
          <t>BOOK</t>
        </is>
      </c>
      <c r="BB165" t="inlineStr">
        <is>
          <t>9780816042487</t>
        </is>
      </c>
      <c r="BC165" t="inlineStr">
        <is>
          <t>32285005445290</t>
        </is>
      </c>
      <c r="BD165" t="inlineStr">
        <is>
          <t>893338774</t>
        </is>
      </c>
    </row>
    <row r="166">
      <c r="A166" t="inlineStr">
        <is>
          <t>No</t>
        </is>
      </c>
      <c r="B166" t="inlineStr">
        <is>
          <t>G95 .P45 1962</t>
        </is>
      </c>
      <c r="C166" t="inlineStr">
        <is>
          <t>0                      G  0095000P  45          1962</t>
        </is>
      </c>
      <c r="D166" t="inlineStr">
        <is>
          <t>Travel and discovery in the Renaissance, 1420-1620 / by Boies Penrose.</t>
        </is>
      </c>
      <c r="F166" t="inlineStr">
        <is>
          <t>No</t>
        </is>
      </c>
      <c r="G166" t="inlineStr">
        <is>
          <t>1</t>
        </is>
      </c>
      <c r="H166" t="inlineStr">
        <is>
          <t>No</t>
        </is>
      </c>
      <c r="I166" t="inlineStr">
        <is>
          <t>No</t>
        </is>
      </c>
      <c r="J166" t="inlineStr">
        <is>
          <t>0</t>
        </is>
      </c>
      <c r="K166" t="inlineStr">
        <is>
          <t>Penrose, Boies, 1902-1976.</t>
        </is>
      </c>
      <c r="L166" t="inlineStr">
        <is>
          <t>New York : Atheneum, 1962 [c1955]</t>
        </is>
      </c>
      <c r="M166" t="inlineStr">
        <is>
          <t>1962</t>
        </is>
      </c>
      <c r="O166" t="inlineStr">
        <is>
          <t>eng</t>
        </is>
      </c>
      <c r="P166" t="inlineStr">
        <is>
          <t xml:space="preserve">xx </t>
        </is>
      </c>
      <c r="Q166" t="inlineStr">
        <is>
          <t>Atheneum paperbacks ; no. 10</t>
        </is>
      </c>
      <c r="R166" t="inlineStr">
        <is>
          <t xml:space="preserve">G  </t>
        </is>
      </c>
      <c r="S166" t="n">
        <v>7</v>
      </c>
      <c r="T166" t="n">
        <v>7</v>
      </c>
      <c r="U166" t="inlineStr">
        <is>
          <t>2008-09-18</t>
        </is>
      </c>
      <c r="V166" t="inlineStr">
        <is>
          <t>2008-09-18</t>
        </is>
      </c>
      <c r="W166" t="inlineStr">
        <is>
          <t>1991-12-17</t>
        </is>
      </c>
      <c r="X166" t="inlineStr">
        <is>
          <t>1991-12-17</t>
        </is>
      </c>
      <c r="Y166" t="n">
        <v>210</v>
      </c>
      <c r="Z166" t="n">
        <v>181</v>
      </c>
      <c r="AA166" t="n">
        <v>1005</v>
      </c>
      <c r="AB166" t="n">
        <v>1</v>
      </c>
      <c r="AC166" t="n">
        <v>6</v>
      </c>
      <c r="AD166" t="n">
        <v>9</v>
      </c>
      <c r="AE166" t="n">
        <v>41</v>
      </c>
      <c r="AF166" t="n">
        <v>3</v>
      </c>
      <c r="AG166" t="n">
        <v>18</v>
      </c>
      <c r="AH166" t="n">
        <v>1</v>
      </c>
      <c r="AI166" t="n">
        <v>6</v>
      </c>
      <c r="AJ166" t="n">
        <v>6</v>
      </c>
      <c r="AK166" t="n">
        <v>19</v>
      </c>
      <c r="AL166" t="n">
        <v>0</v>
      </c>
      <c r="AM166" t="n">
        <v>5</v>
      </c>
      <c r="AN166" t="n">
        <v>1</v>
      </c>
      <c r="AO166" t="n">
        <v>1</v>
      </c>
      <c r="AP166" t="inlineStr">
        <is>
          <t>No</t>
        </is>
      </c>
      <c r="AQ166" t="inlineStr">
        <is>
          <t>Yes</t>
        </is>
      </c>
      <c r="AR166">
        <f>HYPERLINK("http://catalog.hathitrust.org/Record/009918573","HathiTrust Record")</f>
        <v/>
      </c>
      <c r="AS166">
        <f>HYPERLINK("https://creighton-primo.hosted.exlibrisgroup.com/primo-explore/search?tab=default_tab&amp;search_scope=EVERYTHING&amp;vid=01CRU&amp;lang=en_US&amp;offset=0&amp;query=any,contains,991003911579702656","Catalog Record")</f>
        <v/>
      </c>
      <c r="AT166">
        <f>HYPERLINK("http://www.worldcat.org/oclc/1853008","WorldCat Record")</f>
        <v/>
      </c>
      <c r="AU166" t="inlineStr">
        <is>
          <t>1347390:eng</t>
        </is>
      </c>
      <c r="AV166" t="inlineStr">
        <is>
          <t>1853008</t>
        </is>
      </c>
      <c r="AW166" t="inlineStr">
        <is>
          <t>991003911579702656</t>
        </is>
      </c>
      <c r="AX166" t="inlineStr">
        <is>
          <t>991003911579702656</t>
        </is>
      </c>
      <c r="AY166" t="inlineStr">
        <is>
          <t>2264909220002656</t>
        </is>
      </c>
      <c r="AZ166" t="inlineStr">
        <is>
          <t>BOOK</t>
        </is>
      </c>
      <c r="BC166" t="inlineStr">
        <is>
          <t>32285000891894</t>
        </is>
      </c>
      <c r="BD166" t="inlineStr">
        <is>
          <t>893349378</t>
        </is>
      </c>
    </row>
    <row r="167">
      <c r="A167" t="inlineStr">
        <is>
          <t>No</t>
        </is>
      </c>
      <c r="B167" t="inlineStr">
        <is>
          <t>G95 .T73 2006</t>
        </is>
      </c>
      <c r="C167" t="inlineStr">
        <is>
          <t>0                      G  0095000T  73          2006</t>
        </is>
      </c>
      <c r="D167" t="inlineStr">
        <is>
          <t>Travel narratives from the age of discovery : an anthology / edited by Peter C. Mancall.</t>
        </is>
      </c>
      <c r="F167" t="inlineStr">
        <is>
          <t>No</t>
        </is>
      </c>
      <c r="G167" t="inlineStr">
        <is>
          <t>1</t>
        </is>
      </c>
      <c r="H167" t="inlineStr">
        <is>
          <t>No</t>
        </is>
      </c>
      <c r="I167" t="inlineStr">
        <is>
          <t>No</t>
        </is>
      </c>
      <c r="J167" t="inlineStr">
        <is>
          <t>0</t>
        </is>
      </c>
      <c r="L167" t="inlineStr">
        <is>
          <t>Oxford ; New York : Oxford University Press, 2006.</t>
        </is>
      </c>
      <c r="M167" t="inlineStr">
        <is>
          <t>2006</t>
        </is>
      </c>
      <c r="O167" t="inlineStr">
        <is>
          <t>eng</t>
        </is>
      </c>
      <c r="P167" t="inlineStr">
        <is>
          <t>enk</t>
        </is>
      </c>
      <c r="R167" t="inlineStr">
        <is>
          <t xml:space="preserve">G  </t>
        </is>
      </c>
      <c r="S167" t="n">
        <v>2</v>
      </c>
      <c r="T167" t="n">
        <v>2</v>
      </c>
      <c r="U167" t="inlineStr">
        <is>
          <t>2007-09-13</t>
        </is>
      </c>
      <c r="V167" t="inlineStr">
        <is>
          <t>2007-09-13</t>
        </is>
      </c>
      <c r="W167" t="inlineStr">
        <is>
          <t>2006-04-14</t>
        </is>
      </c>
      <c r="X167" t="inlineStr">
        <is>
          <t>2006-04-14</t>
        </is>
      </c>
      <c r="Y167" t="n">
        <v>386</v>
      </c>
      <c r="Z167" t="n">
        <v>293</v>
      </c>
      <c r="AA167" t="n">
        <v>298</v>
      </c>
      <c r="AB167" t="n">
        <v>3</v>
      </c>
      <c r="AC167" t="n">
        <v>3</v>
      </c>
      <c r="AD167" t="n">
        <v>15</v>
      </c>
      <c r="AE167" t="n">
        <v>15</v>
      </c>
      <c r="AF167" t="n">
        <v>4</v>
      </c>
      <c r="AG167" t="n">
        <v>4</v>
      </c>
      <c r="AH167" t="n">
        <v>4</v>
      </c>
      <c r="AI167" t="n">
        <v>4</v>
      </c>
      <c r="AJ167" t="n">
        <v>9</v>
      </c>
      <c r="AK167" t="n">
        <v>9</v>
      </c>
      <c r="AL167" t="n">
        <v>2</v>
      </c>
      <c r="AM167" t="n">
        <v>2</v>
      </c>
      <c r="AN167" t="n">
        <v>0</v>
      </c>
      <c r="AO167" t="n">
        <v>0</v>
      </c>
      <c r="AP167" t="inlineStr">
        <is>
          <t>No</t>
        </is>
      </c>
      <c r="AQ167" t="inlineStr">
        <is>
          <t>Yes</t>
        </is>
      </c>
      <c r="AR167">
        <f>HYPERLINK("http://catalog.hathitrust.org/Record/005133910","HathiTrust Record")</f>
        <v/>
      </c>
      <c r="AS167">
        <f>HYPERLINK("https://creighton-primo.hosted.exlibrisgroup.com/primo-explore/search?tab=default_tab&amp;search_scope=EVERYTHING&amp;vid=01CRU&amp;lang=en_US&amp;offset=0&amp;query=any,contains,991004789399702656","Catalog Record")</f>
        <v/>
      </c>
      <c r="AT167">
        <f>HYPERLINK("http://www.worldcat.org/oclc/57670143","WorldCat Record")</f>
        <v/>
      </c>
      <c r="AU167" t="inlineStr">
        <is>
          <t>1051909512:eng</t>
        </is>
      </c>
      <c r="AV167" t="inlineStr">
        <is>
          <t>57670143</t>
        </is>
      </c>
      <c r="AW167" t="inlineStr">
        <is>
          <t>991004789399702656</t>
        </is>
      </c>
      <c r="AX167" t="inlineStr">
        <is>
          <t>991004789399702656</t>
        </is>
      </c>
      <c r="AY167" t="inlineStr">
        <is>
          <t>2267188720002656</t>
        </is>
      </c>
      <c r="AZ167" t="inlineStr">
        <is>
          <t>BOOK</t>
        </is>
      </c>
      <c r="BB167" t="inlineStr">
        <is>
          <t>9780195155969</t>
        </is>
      </c>
      <c r="BC167" t="inlineStr">
        <is>
          <t>32285005182018</t>
        </is>
      </c>
      <c r="BD167" t="inlineStr">
        <is>
          <t>893418023</t>
        </is>
      </c>
    </row>
    <row r="168">
      <c r="A168" t="inlineStr">
        <is>
          <t>No</t>
        </is>
      </c>
      <c r="B168" t="inlineStr">
        <is>
          <t>GA110 .P425 1990</t>
        </is>
      </c>
      <c r="C168" t="inlineStr">
        <is>
          <t>0                      GA 0110000P  425         1990</t>
        </is>
      </c>
      <c r="D168" t="inlineStr">
        <is>
          <t>Map projections : theory and applications / Frederick Pearson II.</t>
        </is>
      </c>
      <c r="F168" t="inlineStr">
        <is>
          <t>No</t>
        </is>
      </c>
      <c r="G168" t="inlineStr">
        <is>
          <t>1</t>
        </is>
      </c>
      <c r="H168" t="inlineStr">
        <is>
          <t>No</t>
        </is>
      </c>
      <c r="I168" t="inlineStr">
        <is>
          <t>No</t>
        </is>
      </c>
      <c r="J168" t="inlineStr">
        <is>
          <t>0</t>
        </is>
      </c>
      <c r="K168" t="inlineStr">
        <is>
          <t>Pearson, Frederick, 1936-</t>
        </is>
      </c>
      <c r="L168" t="inlineStr">
        <is>
          <t>Boca Raton, Fla. : CRC Press, 1990.</t>
        </is>
      </c>
      <c r="M168" t="inlineStr">
        <is>
          <t>1990</t>
        </is>
      </c>
      <c r="O168" t="inlineStr">
        <is>
          <t>eng</t>
        </is>
      </c>
      <c r="P168" t="inlineStr">
        <is>
          <t>flu</t>
        </is>
      </c>
      <c r="R168" t="inlineStr">
        <is>
          <t xml:space="preserve">GA </t>
        </is>
      </c>
      <c r="S168" t="n">
        <v>1</v>
      </c>
      <c r="T168" t="n">
        <v>1</v>
      </c>
      <c r="U168" t="inlineStr">
        <is>
          <t>1991-05-28</t>
        </is>
      </c>
      <c r="V168" t="inlineStr">
        <is>
          <t>1991-05-28</t>
        </is>
      </c>
      <c r="W168" t="inlineStr">
        <is>
          <t>1990-07-16</t>
        </is>
      </c>
      <c r="X168" t="inlineStr">
        <is>
          <t>1990-07-16</t>
        </is>
      </c>
      <c r="Y168" t="n">
        <v>354</v>
      </c>
      <c r="Z168" t="n">
        <v>250</v>
      </c>
      <c r="AA168" t="n">
        <v>282</v>
      </c>
      <c r="AB168" t="n">
        <v>3</v>
      </c>
      <c r="AC168" t="n">
        <v>3</v>
      </c>
      <c r="AD168" t="n">
        <v>8</v>
      </c>
      <c r="AE168" t="n">
        <v>8</v>
      </c>
      <c r="AF168" t="n">
        <v>2</v>
      </c>
      <c r="AG168" t="n">
        <v>2</v>
      </c>
      <c r="AH168" t="n">
        <v>2</v>
      </c>
      <c r="AI168" t="n">
        <v>2</v>
      </c>
      <c r="AJ168" t="n">
        <v>3</v>
      </c>
      <c r="AK168" t="n">
        <v>3</v>
      </c>
      <c r="AL168" t="n">
        <v>2</v>
      </c>
      <c r="AM168" t="n">
        <v>2</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HYPERLINK("https://creighton-primo.hosted.exlibrisgroup.com/primo-explore/search?tab=default_tab&amp;search_scope=EVERYTHING&amp;vid=01CRU&amp;lang=en_US&amp;offset=0&amp;query=any,contains,991001574229702656","Catalog Record")</f>
        <v/>
      </c>
      <c r="AT168">
        <f>HYPERLINK("http://www.worldcat.org/oclc/20419848","WorldCat Record")</f>
        <v/>
      </c>
      <c r="AU168" t="inlineStr">
        <is>
          <t>287801302:eng</t>
        </is>
      </c>
      <c r="AV168" t="inlineStr">
        <is>
          <t>20419848</t>
        </is>
      </c>
      <c r="AW168" t="inlineStr">
        <is>
          <t>991001574229702656</t>
        </is>
      </c>
      <c r="AX168" t="inlineStr">
        <is>
          <t>991001574229702656</t>
        </is>
      </c>
      <c r="AY168" t="inlineStr">
        <is>
          <t>2264083180002656</t>
        </is>
      </c>
      <c r="AZ168" t="inlineStr">
        <is>
          <t>BOOK</t>
        </is>
      </c>
      <c r="BC168" t="inlineStr">
        <is>
          <t>32285000208362</t>
        </is>
      </c>
      <c r="BD168" t="inlineStr">
        <is>
          <t>893426670</t>
        </is>
      </c>
    </row>
    <row r="169">
      <c r="A169" t="inlineStr">
        <is>
          <t>No</t>
        </is>
      </c>
      <c r="B169" t="inlineStr">
        <is>
          <t>GA110 .P48 1983</t>
        </is>
      </c>
      <c r="C169" t="inlineStr">
        <is>
          <t>0                      GA 0110000P  48          1983</t>
        </is>
      </c>
      <c r="D169" t="inlineStr">
        <is>
          <t>Die neue Kartographie / Arno Peters = The new cartography / Arno Peters ; [English version by Ward Kaiser, D.G. Smith, Heinz Wohlers].</t>
        </is>
      </c>
      <c r="F169" t="inlineStr">
        <is>
          <t>No</t>
        </is>
      </c>
      <c r="G169" t="inlineStr">
        <is>
          <t>1</t>
        </is>
      </c>
      <c r="H169" t="inlineStr">
        <is>
          <t>No</t>
        </is>
      </c>
      <c r="I169" t="inlineStr">
        <is>
          <t>No</t>
        </is>
      </c>
      <c r="J169" t="inlineStr">
        <is>
          <t>0</t>
        </is>
      </c>
      <c r="K169" t="inlineStr">
        <is>
          <t>Peters, Arno.</t>
        </is>
      </c>
      <c r="L169" t="inlineStr">
        <is>
          <t>Klagenfurt : Universitäts Carinthia ; New York : Friendship Press, c1983.</t>
        </is>
      </c>
      <c r="M169" t="inlineStr">
        <is>
          <t>1983</t>
        </is>
      </c>
      <c r="O169" t="inlineStr">
        <is>
          <t>eng</t>
        </is>
      </c>
      <c r="P169" t="inlineStr">
        <is>
          <t>nyu</t>
        </is>
      </c>
      <c r="R169" t="inlineStr">
        <is>
          <t xml:space="preserve">GA </t>
        </is>
      </c>
      <c r="S169" t="n">
        <v>1</v>
      </c>
      <c r="T169" t="n">
        <v>1</v>
      </c>
      <c r="U169" t="inlineStr">
        <is>
          <t>2006-05-24</t>
        </is>
      </c>
      <c r="V169" t="inlineStr">
        <is>
          <t>2006-05-24</t>
        </is>
      </c>
      <c r="W169" t="inlineStr">
        <is>
          <t>1990-06-06</t>
        </is>
      </c>
      <c r="X169" t="inlineStr">
        <is>
          <t>1990-06-06</t>
        </is>
      </c>
      <c r="Y169" t="n">
        <v>147</v>
      </c>
      <c r="Z169" t="n">
        <v>120</v>
      </c>
      <c r="AA169" t="n">
        <v>120</v>
      </c>
      <c r="AB169" t="n">
        <v>1</v>
      </c>
      <c r="AC169" t="n">
        <v>1</v>
      </c>
      <c r="AD169" t="n">
        <v>4</v>
      </c>
      <c r="AE169" t="n">
        <v>4</v>
      </c>
      <c r="AF169" t="n">
        <v>0</v>
      </c>
      <c r="AG169" t="n">
        <v>0</v>
      </c>
      <c r="AH169" t="n">
        <v>1</v>
      </c>
      <c r="AI169" t="n">
        <v>1</v>
      </c>
      <c r="AJ169" t="n">
        <v>3</v>
      </c>
      <c r="AK169" t="n">
        <v>3</v>
      </c>
      <c r="AL169" t="n">
        <v>0</v>
      </c>
      <c r="AM169" t="n">
        <v>0</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HYPERLINK("https://creighton-primo.hosted.exlibrisgroup.com/primo-explore/search?tab=default_tab&amp;search_scope=EVERYTHING&amp;vid=01CRU&amp;lang=en_US&amp;offset=0&amp;query=any,contains,991000366789702656","Catalog Record")</f>
        <v/>
      </c>
      <c r="AT169">
        <f>HYPERLINK("http://www.worldcat.org/oclc/10403782","WorldCat Record")</f>
        <v/>
      </c>
      <c r="AU169" t="inlineStr">
        <is>
          <t>5608810424:eng</t>
        </is>
      </c>
      <c r="AV169" t="inlineStr">
        <is>
          <t>10403782</t>
        </is>
      </c>
      <c r="AW169" t="inlineStr">
        <is>
          <t>991000366789702656</t>
        </is>
      </c>
      <c r="AX169" t="inlineStr">
        <is>
          <t>991000366789702656</t>
        </is>
      </c>
      <c r="AY169" t="inlineStr">
        <is>
          <t>2267434140002656</t>
        </is>
      </c>
      <c r="AZ169" t="inlineStr">
        <is>
          <t>BOOK</t>
        </is>
      </c>
      <c r="BB169" t="inlineStr">
        <is>
          <t>9780377001473</t>
        </is>
      </c>
      <c r="BC169" t="inlineStr">
        <is>
          <t>32285000182609</t>
        </is>
      </c>
      <c r="BD169" t="inlineStr">
        <is>
          <t>893496149</t>
        </is>
      </c>
    </row>
    <row r="170">
      <c r="A170" t="inlineStr">
        <is>
          <t>No</t>
        </is>
      </c>
      <c r="B170" t="inlineStr">
        <is>
          <t>GA201 .B313 1966</t>
        </is>
      </c>
      <c r="C170" t="inlineStr">
        <is>
          <t>0                      GA 0201000B  313         1966</t>
        </is>
      </c>
      <c r="D170" t="inlineStr">
        <is>
          <t>History of cartography / Leo Bagrow ; revised and enlarged by R.A. Skelton.</t>
        </is>
      </c>
      <c r="F170" t="inlineStr">
        <is>
          <t>No</t>
        </is>
      </c>
      <c r="G170" t="inlineStr">
        <is>
          <t>1</t>
        </is>
      </c>
      <c r="H170" t="inlineStr">
        <is>
          <t>No</t>
        </is>
      </c>
      <c r="I170" t="inlineStr">
        <is>
          <t>No</t>
        </is>
      </c>
      <c r="J170" t="inlineStr">
        <is>
          <t>0</t>
        </is>
      </c>
      <c r="K170" t="inlineStr">
        <is>
          <t>Bagrow, Leo.</t>
        </is>
      </c>
      <c r="L170" t="inlineStr">
        <is>
          <t>Cambridge, Mass. : Harvard University Press, 1966, c1964.</t>
        </is>
      </c>
      <c r="M170" t="inlineStr">
        <is>
          <t>1966</t>
        </is>
      </c>
      <c r="N170" t="inlineStr">
        <is>
          <t>English ed.</t>
        </is>
      </c>
      <c r="O170" t="inlineStr">
        <is>
          <t>eng</t>
        </is>
      </c>
      <c r="P170" t="inlineStr">
        <is>
          <t>mau</t>
        </is>
      </c>
      <c r="R170" t="inlineStr">
        <is>
          <t xml:space="preserve">GA </t>
        </is>
      </c>
      <c r="S170" t="n">
        <v>3</v>
      </c>
      <c r="T170" t="n">
        <v>3</v>
      </c>
      <c r="U170" t="inlineStr">
        <is>
          <t>2001-02-06</t>
        </is>
      </c>
      <c r="V170" t="inlineStr">
        <is>
          <t>2001-02-06</t>
        </is>
      </c>
      <c r="W170" t="inlineStr">
        <is>
          <t>1996-09-09</t>
        </is>
      </c>
      <c r="X170" t="inlineStr">
        <is>
          <t>1996-09-09</t>
        </is>
      </c>
      <c r="Y170" t="n">
        <v>28</v>
      </c>
      <c r="Z170" t="n">
        <v>25</v>
      </c>
      <c r="AA170" t="n">
        <v>1177</v>
      </c>
      <c r="AB170" t="n">
        <v>2</v>
      </c>
      <c r="AC170" t="n">
        <v>9</v>
      </c>
      <c r="AD170" t="n">
        <v>2</v>
      </c>
      <c r="AE170" t="n">
        <v>42</v>
      </c>
      <c r="AF170" t="n">
        <v>0</v>
      </c>
      <c r="AG170" t="n">
        <v>16</v>
      </c>
      <c r="AH170" t="n">
        <v>1</v>
      </c>
      <c r="AI170" t="n">
        <v>11</v>
      </c>
      <c r="AJ170" t="n">
        <v>0</v>
      </c>
      <c r="AK170" t="n">
        <v>18</v>
      </c>
      <c r="AL170" t="n">
        <v>1</v>
      </c>
      <c r="AM170" t="n">
        <v>7</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HYPERLINK("https://creighton-primo.hosted.exlibrisgroup.com/primo-explore/search?tab=default_tab&amp;search_scope=EVERYTHING&amp;vid=01CRU&amp;lang=en_US&amp;offset=0&amp;query=any,contains,991002310989702656","Catalog Record")</f>
        <v/>
      </c>
      <c r="AT170">
        <f>HYPERLINK("http://www.worldcat.org/oclc/30010546","WorldCat Record")</f>
        <v/>
      </c>
      <c r="AU170" t="inlineStr">
        <is>
          <t>1073774334:eng</t>
        </is>
      </c>
      <c r="AV170" t="inlineStr">
        <is>
          <t>30010546</t>
        </is>
      </c>
      <c r="AW170" t="inlineStr">
        <is>
          <t>991002310989702656</t>
        </is>
      </c>
      <c r="AX170" t="inlineStr">
        <is>
          <t>991002310989702656</t>
        </is>
      </c>
      <c r="AY170" t="inlineStr">
        <is>
          <t>2262441340002656</t>
        </is>
      </c>
      <c r="AZ170" t="inlineStr">
        <is>
          <t>BOOK</t>
        </is>
      </c>
      <c r="BC170" t="inlineStr">
        <is>
          <t>32285002306651</t>
        </is>
      </c>
      <c r="BD170" t="inlineStr">
        <is>
          <t>893773466</t>
        </is>
      </c>
    </row>
    <row r="171">
      <c r="A171" t="inlineStr">
        <is>
          <t>No</t>
        </is>
      </c>
      <c r="B171" t="inlineStr">
        <is>
          <t>GA201 .B75 1998</t>
        </is>
      </c>
      <c r="C171" t="inlineStr">
        <is>
          <t>0                      GA 0201000B  75          1998</t>
        </is>
      </c>
      <c r="D171" t="inlineStr">
        <is>
          <t>Trading territories : mapping the early modern world / Jerry Brotton.</t>
        </is>
      </c>
      <c r="F171" t="inlineStr">
        <is>
          <t>No</t>
        </is>
      </c>
      <c r="G171" t="inlineStr">
        <is>
          <t>1</t>
        </is>
      </c>
      <c r="H171" t="inlineStr">
        <is>
          <t>No</t>
        </is>
      </c>
      <c r="I171" t="inlineStr">
        <is>
          <t>No</t>
        </is>
      </c>
      <c r="J171" t="inlineStr">
        <is>
          <t>0</t>
        </is>
      </c>
      <c r="K171" t="inlineStr">
        <is>
          <t>Brotton, Jerry.</t>
        </is>
      </c>
      <c r="L171" t="inlineStr">
        <is>
          <t>Ithaca, N.Y. : Cornell University Press, 1998, c1997.</t>
        </is>
      </c>
      <c r="M171" t="inlineStr">
        <is>
          <t>1998</t>
        </is>
      </c>
      <c r="O171" t="inlineStr">
        <is>
          <t>eng</t>
        </is>
      </c>
      <c r="P171" t="inlineStr">
        <is>
          <t>nyu</t>
        </is>
      </c>
      <c r="R171" t="inlineStr">
        <is>
          <t xml:space="preserve">GA </t>
        </is>
      </c>
      <c r="S171" t="n">
        <v>4</v>
      </c>
      <c r="T171" t="n">
        <v>4</v>
      </c>
      <c r="U171" t="inlineStr">
        <is>
          <t>2001-02-06</t>
        </is>
      </c>
      <c r="V171" t="inlineStr">
        <is>
          <t>2001-02-06</t>
        </is>
      </c>
      <c r="W171" t="inlineStr">
        <is>
          <t>1999-03-10</t>
        </is>
      </c>
      <c r="X171" t="inlineStr">
        <is>
          <t>1999-03-10</t>
        </is>
      </c>
      <c r="Y171" t="n">
        <v>501</v>
      </c>
      <c r="Z171" t="n">
        <v>428</v>
      </c>
      <c r="AA171" t="n">
        <v>655</v>
      </c>
      <c r="AB171" t="n">
        <v>4</v>
      </c>
      <c r="AC171" t="n">
        <v>4</v>
      </c>
      <c r="AD171" t="n">
        <v>21</v>
      </c>
      <c r="AE171" t="n">
        <v>33</v>
      </c>
      <c r="AF171" t="n">
        <v>8</v>
      </c>
      <c r="AG171" t="n">
        <v>15</v>
      </c>
      <c r="AH171" t="n">
        <v>6</v>
      </c>
      <c r="AI171" t="n">
        <v>10</v>
      </c>
      <c r="AJ171" t="n">
        <v>8</v>
      </c>
      <c r="AK171" t="n">
        <v>15</v>
      </c>
      <c r="AL171" t="n">
        <v>3</v>
      </c>
      <c r="AM171" t="n">
        <v>3</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HYPERLINK("https://creighton-primo.hosted.exlibrisgroup.com/primo-explore/search?tab=default_tab&amp;search_scope=EVERYTHING&amp;vid=01CRU&amp;lang=en_US&amp;offset=0&amp;query=any,contains,991002851349702656","Catalog Record")</f>
        <v/>
      </c>
      <c r="AT171">
        <f>HYPERLINK("http://www.worldcat.org/oclc/37567367","WorldCat Record")</f>
        <v/>
      </c>
      <c r="AU171" t="inlineStr">
        <is>
          <t>803521626:eng</t>
        </is>
      </c>
      <c r="AV171" t="inlineStr">
        <is>
          <t>37567367</t>
        </is>
      </c>
      <c r="AW171" t="inlineStr">
        <is>
          <t>991002851349702656</t>
        </is>
      </c>
      <c r="AX171" t="inlineStr">
        <is>
          <t>991002851349702656</t>
        </is>
      </c>
      <c r="AY171" t="inlineStr">
        <is>
          <t>2267533430002656</t>
        </is>
      </c>
      <c r="AZ171" t="inlineStr">
        <is>
          <t>BOOK</t>
        </is>
      </c>
      <c r="BB171" t="inlineStr">
        <is>
          <t>9780801434990</t>
        </is>
      </c>
      <c r="BC171" t="inlineStr">
        <is>
          <t>32285003530531</t>
        </is>
      </c>
      <c r="BD171" t="inlineStr">
        <is>
          <t>893591867</t>
        </is>
      </c>
    </row>
    <row r="172">
      <c r="A172" t="inlineStr">
        <is>
          <t>No</t>
        </is>
      </c>
      <c r="B172" t="inlineStr">
        <is>
          <t>GA201 .B76 1949a</t>
        </is>
      </c>
      <c r="C172" t="inlineStr">
        <is>
          <t>0                      GA 0201000B  76          1949a</t>
        </is>
      </c>
      <c r="D172" t="inlineStr">
        <is>
          <t>The story of maps.</t>
        </is>
      </c>
      <c r="F172" t="inlineStr">
        <is>
          <t>No</t>
        </is>
      </c>
      <c r="G172" t="inlineStr">
        <is>
          <t>1</t>
        </is>
      </c>
      <c r="H172" t="inlineStr">
        <is>
          <t>No</t>
        </is>
      </c>
      <c r="I172" t="inlineStr">
        <is>
          <t>No</t>
        </is>
      </c>
      <c r="J172" t="inlineStr">
        <is>
          <t>0</t>
        </is>
      </c>
      <c r="K172" t="inlineStr">
        <is>
          <t>Brown, Lloyd A. (Lloyd Arnold), 1907-1966.</t>
        </is>
      </c>
      <c r="L172" t="inlineStr">
        <is>
          <t>New York : Bonanza books, 1949.</t>
        </is>
      </c>
      <c r="M172" t="inlineStr">
        <is>
          <t>1949</t>
        </is>
      </c>
      <c r="N172" t="inlineStr">
        <is>
          <t>[1st ed.]</t>
        </is>
      </c>
      <c r="O172" t="inlineStr">
        <is>
          <t>eng</t>
        </is>
      </c>
      <c r="P172" t="inlineStr">
        <is>
          <t>nyu</t>
        </is>
      </c>
      <c r="R172" t="inlineStr">
        <is>
          <t xml:space="preserve">GA </t>
        </is>
      </c>
      <c r="S172" t="n">
        <v>1</v>
      </c>
      <c r="T172" t="n">
        <v>1</v>
      </c>
      <c r="U172" t="inlineStr">
        <is>
          <t>1999-03-14</t>
        </is>
      </c>
      <c r="V172" t="inlineStr">
        <is>
          <t>1999-03-14</t>
        </is>
      </c>
      <c r="W172" t="inlineStr">
        <is>
          <t>1993-11-15</t>
        </is>
      </c>
      <c r="X172" t="inlineStr">
        <is>
          <t>1993-11-15</t>
        </is>
      </c>
      <c r="Y172" t="n">
        <v>250</v>
      </c>
      <c r="Z172" t="n">
        <v>228</v>
      </c>
      <c r="AA172" t="n">
        <v>1373</v>
      </c>
      <c r="AB172" t="n">
        <v>2</v>
      </c>
      <c r="AC172" t="n">
        <v>12</v>
      </c>
      <c r="AD172" t="n">
        <v>9</v>
      </c>
      <c r="AE172" t="n">
        <v>42</v>
      </c>
      <c r="AF172" t="n">
        <v>5</v>
      </c>
      <c r="AG172" t="n">
        <v>19</v>
      </c>
      <c r="AH172" t="n">
        <v>2</v>
      </c>
      <c r="AI172" t="n">
        <v>5</v>
      </c>
      <c r="AJ172" t="n">
        <v>4</v>
      </c>
      <c r="AK172" t="n">
        <v>20</v>
      </c>
      <c r="AL172" t="n">
        <v>0</v>
      </c>
      <c r="AM172" t="n">
        <v>7</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HYPERLINK("https://creighton-primo.hosted.exlibrisgroup.com/primo-explore/search?tab=default_tab&amp;search_scope=EVERYTHING&amp;vid=01CRU&amp;lang=en_US&amp;offset=0&amp;query=any,contains,991004099079702656","Catalog Record")</f>
        <v/>
      </c>
      <c r="AT172">
        <f>HYPERLINK("http://www.worldcat.org/oclc/2368591","WorldCat Record")</f>
        <v/>
      </c>
      <c r="AU172" t="inlineStr">
        <is>
          <t>135812436:eng</t>
        </is>
      </c>
      <c r="AV172" t="inlineStr">
        <is>
          <t>2368591</t>
        </is>
      </c>
      <c r="AW172" t="inlineStr">
        <is>
          <t>991004099079702656</t>
        </is>
      </c>
      <c r="AX172" t="inlineStr">
        <is>
          <t>991004099079702656</t>
        </is>
      </c>
      <c r="AY172" t="inlineStr">
        <is>
          <t>2266593790002656</t>
        </is>
      </c>
      <c r="AZ172" t="inlineStr">
        <is>
          <t>BOOK</t>
        </is>
      </c>
      <c r="BC172" t="inlineStr">
        <is>
          <t>32285001798577</t>
        </is>
      </c>
      <c r="BD172" t="inlineStr">
        <is>
          <t>893882056</t>
        </is>
      </c>
    </row>
    <row r="173">
      <c r="A173" t="inlineStr">
        <is>
          <t>No</t>
        </is>
      </c>
      <c r="B173" t="inlineStr">
        <is>
          <t>GA201 .H53 1987</t>
        </is>
      </c>
      <c r="C173" t="inlineStr">
        <is>
          <t>0                      GA 0201000H  53          1987</t>
        </is>
      </c>
      <c r="D173" t="inlineStr">
        <is>
          <t>The History of cartography / edited by J.B. Harley and David Woodward.</t>
        </is>
      </c>
      <c r="E173" t="inlineStr">
        <is>
          <t>V.1</t>
        </is>
      </c>
      <c r="F173" t="inlineStr">
        <is>
          <t>No</t>
        </is>
      </c>
      <c r="G173" t="inlineStr">
        <is>
          <t>1</t>
        </is>
      </c>
      <c r="H173" t="inlineStr">
        <is>
          <t>No</t>
        </is>
      </c>
      <c r="I173" t="inlineStr">
        <is>
          <t>No</t>
        </is>
      </c>
      <c r="J173" t="inlineStr">
        <is>
          <t>0</t>
        </is>
      </c>
      <c r="L173" t="inlineStr">
        <is>
          <t>Chicago : University of Chicago Press, 1987-</t>
        </is>
      </c>
      <c r="M173" t="inlineStr">
        <is>
          <t>1987</t>
        </is>
      </c>
      <c r="O173" t="inlineStr">
        <is>
          <t>eng</t>
        </is>
      </c>
      <c r="P173" t="inlineStr">
        <is>
          <t>ilu</t>
        </is>
      </c>
      <c r="R173" t="inlineStr">
        <is>
          <t xml:space="preserve">GA </t>
        </is>
      </c>
      <c r="S173" t="n">
        <v>7</v>
      </c>
      <c r="T173" t="n">
        <v>7</v>
      </c>
      <c r="U173" t="inlineStr">
        <is>
          <t>1999-04-12</t>
        </is>
      </c>
      <c r="V173" t="inlineStr">
        <is>
          <t>1999-04-12</t>
        </is>
      </c>
      <c r="W173" t="inlineStr">
        <is>
          <t>1992-09-15</t>
        </is>
      </c>
      <c r="X173" t="inlineStr">
        <is>
          <t>1992-09-15</t>
        </is>
      </c>
      <c r="Y173" t="n">
        <v>836</v>
      </c>
      <c r="Z173" t="n">
        <v>673</v>
      </c>
      <c r="AA173" t="n">
        <v>683</v>
      </c>
      <c r="AB173" t="n">
        <v>5</v>
      </c>
      <c r="AC173" t="n">
        <v>5</v>
      </c>
      <c r="AD173" t="n">
        <v>29</v>
      </c>
      <c r="AE173" t="n">
        <v>29</v>
      </c>
      <c r="AF173" t="n">
        <v>9</v>
      </c>
      <c r="AG173" t="n">
        <v>9</v>
      </c>
      <c r="AH173" t="n">
        <v>8</v>
      </c>
      <c r="AI173" t="n">
        <v>8</v>
      </c>
      <c r="AJ173" t="n">
        <v>15</v>
      </c>
      <c r="AK173" t="n">
        <v>15</v>
      </c>
      <c r="AL173" t="n">
        <v>4</v>
      </c>
      <c r="AM173" t="n">
        <v>4</v>
      </c>
      <c r="AN173" t="n">
        <v>0</v>
      </c>
      <c r="AO173" t="n">
        <v>0</v>
      </c>
      <c r="AP173" t="inlineStr">
        <is>
          <t>No</t>
        </is>
      </c>
      <c r="AQ173" t="inlineStr">
        <is>
          <t>Yes</t>
        </is>
      </c>
      <c r="AR173">
        <f>HYPERLINK("http://catalog.hathitrust.org/Record/000822489","HathiTrust Record")</f>
        <v/>
      </c>
      <c r="AS173">
        <f>HYPERLINK("https://creighton-primo.hosted.exlibrisgroup.com/primo-explore/search?tab=default_tab&amp;search_scope=EVERYTHING&amp;vid=01CRU&amp;lang=en_US&amp;offset=0&amp;query=any,contains,991000833019702656","Catalog Record")</f>
        <v/>
      </c>
      <c r="AT173">
        <f>HYPERLINK("http://www.worldcat.org/oclc/13456456","WorldCat Record")</f>
        <v/>
      </c>
      <c r="AU173" t="inlineStr">
        <is>
          <t>5534163169:eng</t>
        </is>
      </c>
      <c r="AV173" t="inlineStr">
        <is>
          <t>13456456</t>
        </is>
      </c>
      <c r="AW173" t="inlineStr">
        <is>
          <t>991000833019702656</t>
        </is>
      </c>
      <c r="AX173" t="inlineStr">
        <is>
          <t>991000833019702656</t>
        </is>
      </c>
      <c r="AY173" t="inlineStr">
        <is>
          <t>2263190620002656</t>
        </is>
      </c>
      <c r="AZ173" t="inlineStr">
        <is>
          <t>BOOK</t>
        </is>
      </c>
      <c r="BB173" t="inlineStr">
        <is>
          <t>9780226316352</t>
        </is>
      </c>
      <c r="BC173" t="inlineStr">
        <is>
          <t>32285001287795</t>
        </is>
      </c>
      <c r="BD173" t="inlineStr">
        <is>
          <t>893702477</t>
        </is>
      </c>
    </row>
    <row r="174">
      <c r="A174" t="inlineStr">
        <is>
          <t>No</t>
        </is>
      </c>
      <c r="B174" t="inlineStr">
        <is>
          <t>GA203 .S55 1970</t>
        </is>
      </c>
      <c r="C174" t="inlineStr">
        <is>
          <t>0                      GA 0203000S  55          1970</t>
        </is>
      </c>
      <c r="D174" t="inlineStr">
        <is>
          <t>Explorers' maps : chapters in the cartographic record of geographical discovery / by R. A. Skelton.</t>
        </is>
      </c>
      <c r="F174" t="inlineStr">
        <is>
          <t>No</t>
        </is>
      </c>
      <c r="G174" t="inlineStr">
        <is>
          <t>1</t>
        </is>
      </c>
      <c r="H174" t="inlineStr">
        <is>
          <t>No</t>
        </is>
      </c>
      <c r="I174" t="inlineStr">
        <is>
          <t>No</t>
        </is>
      </c>
      <c r="J174" t="inlineStr">
        <is>
          <t>0</t>
        </is>
      </c>
      <c r="K174" t="inlineStr">
        <is>
          <t>Skelton, R. A. (Raleigh Ashlin), 1906-1970.</t>
        </is>
      </c>
      <c r="L174" t="inlineStr">
        <is>
          <t>Feltham, New York, Spring Books, 1970.</t>
        </is>
      </c>
      <c r="M174" t="inlineStr">
        <is>
          <t>1970</t>
        </is>
      </c>
      <c r="N174" t="inlineStr">
        <is>
          <t>[New ed.]</t>
        </is>
      </c>
      <c r="O174" t="inlineStr">
        <is>
          <t>eng</t>
        </is>
      </c>
      <c r="P174" t="inlineStr">
        <is>
          <t>enk</t>
        </is>
      </c>
      <c r="R174" t="inlineStr">
        <is>
          <t xml:space="preserve">GA </t>
        </is>
      </c>
      <c r="S174" t="n">
        <v>1</v>
      </c>
      <c r="T174" t="n">
        <v>1</v>
      </c>
      <c r="U174" t="inlineStr">
        <is>
          <t>2001-02-06</t>
        </is>
      </c>
      <c r="V174" t="inlineStr">
        <is>
          <t>2001-02-06</t>
        </is>
      </c>
      <c r="W174" t="inlineStr">
        <is>
          <t>1997-04-29</t>
        </is>
      </c>
      <c r="X174" t="inlineStr">
        <is>
          <t>1997-04-29</t>
        </is>
      </c>
      <c r="Y174" t="n">
        <v>187</v>
      </c>
      <c r="Z174" t="n">
        <v>135</v>
      </c>
      <c r="AA174" t="n">
        <v>547</v>
      </c>
      <c r="AB174" t="n">
        <v>2</v>
      </c>
      <c r="AC174" t="n">
        <v>4</v>
      </c>
      <c r="AD174" t="n">
        <v>4</v>
      </c>
      <c r="AE174" t="n">
        <v>19</v>
      </c>
      <c r="AF174" t="n">
        <v>2</v>
      </c>
      <c r="AG174" t="n">
        <v>9</v>
      </c>
      <c r="AH174" t="n">
        <v>0</v>
      </c>
      <c r="AI174" t="n">
        <v>3</v>
      </c>
      <c r="AJ174" t="n">
        <v>1</v>
      </c>
      <c r="AK174" t="n">
        <v>8</v>
      </c>
      <c r="AL174" t="n">
        <v>1</v>
      </c>
      <c r="AM174" t="n">
        <v>2</v>
      </c>
      <c r="AN174" t="n">
        <v>0</v>
      </c>
      <c r="AO174" t="n">
        <v>0</v>
      </c>
      <c r="AP174" t="inlineStr">
        <is>
          <t>No</t>
        </is>
      </c>
      <c r="AQ174" t="inlineStr">
        <is>
          <t>Yes</t>
        </is>
      </c>
      <c r="AR174">
        <f>HYPERLINK("http://catalog.hathitrust.org/Record/004418598","HathiTrust Record")</f>
        <v/>
      </c>
      <c r="AS174">
        <f>HYPERLINK("https://creighton-primo.hosted.exlibrisgroup.com/primo-explore/search?tab=default_tab&amp;search_scope=EVERYTHING&amp;vid=01CRU&amp;lang=en_US&amp;offset=0&amp;query=any,contains,991000892329702656","Catalog Record")</f>
        <v/>
      </c>
      <c r="AT174">
        <f>HYPERLINK("http://www.worldcat.org/oclc/154631","WorldCat Record")</f>
        <v/>
      </c>
      <c r="AU174" t="inlineStr">
        <is>
          <t>1183570:eng</t>
        </is>
      </c>
      <c r="AV174" t="inlineStr">
        <is>
          <t>154631</t>
        </is>
      </c>
      <c r="AW174" t="inlineStr">
        <is>
          <t>991000892329702656</t>
        </is>
      </c>
      <c r="AX174" t="inlineStr">
        <is>
          <t>991000892329702656</t>
        </is>
      </c>
      <c r="AY174" t="inlineStr">
        <is>
          <t>2255266210002656</t>
        </is>
      </c>
      <c r="AZ174" t="inlineStr">
        <is>
          <t>BOOK</t>
        </is>
      </c>
      <c r="BB174" t="inlineStr">
        <is>
          <t>9780600011958</t>
        </is>
      </c>
      <c r="BC174" t="inlineStr">
        <is>
          <t>32285002565785</t>
        </is>
      </c>
      <c r="BD174" t="inlineStr">
        <is>
          <t>893690124</t>
        </is>
      </c>
    </row>
    <row r="175">
      <c r="A175" t="inlineStr">
        <is>
          <t>No</t>
        </is>
      </c>
      <c r="B175" t="inlineStr">
        <is>
          <t>GA308.Z6 S43 2004</t>
        </is>
      </c>
      <c r="C175" t="inlineStr">
        <is>
          <t>0                      GA 0308000Z  6                  S  43          2004</t>
        </is>
      </c>
      <c r="D175" t="inlineStr">
        <is>
          <t>Maps, myths, and men : the story of the Vinland map / Kirsten A. Seaver.</t>
        </is>
      </c>
      <c r="F175" t="inlineStr">
        <is>
          <t>No</t>
        </is>
      </c>
      <c r="G175" t="inlineStr">
        <is>
          <t>1</t>
        </is>
      </c>
      <c r="H175" t="inlineStr">
        <is>
          <t>No</t>
        </is>
      </c>
      <c r="I175" t="inlineStr">
        <is>
          <t>No</t>
        </is>
      </c>
      <c r="J175" t="inlineStr">
        <is>
          <t>0</t>
        </is>
      </c>
      <c r="K175" t="inlineStr">
        <is>
          <t>Seaver, Kirsten A., 1934-</t>
        </is>
      </c>
      <c r="L175" t="inlineStr">
        <is>
          <t>Stanford, Calif. : Stanford University Press, 2004.</t>
        </is>
      </c>
      <c r="M175" t="inlineStr">
        <is>
          <t>2004</t>
        </is>
      </c>
      <c r="O175" t="inlineStr">
        <is>
          <t>eng</t>
        </is>
      </c>
      <c r="P175" t="inlineStr">
        <is>
          <t>cau</t>
        </is>
      </c>
      <c r="R175" t="inlineStr">
        <is>
          <t xml:space="preserve">GA </t>
        </is>
      </c>
      <c r="S175" t="n">
        <v>1</v>
      </c>
      <c r="T175" t="n">
        <v>1</v>
      </c>
      <c r="U175" t="inlineStr">
        <is>
          <t>2005-09-06</t>
        </is>
      </c>
      <c r="V175" t="inlineStr">
        <is>
          <t>2005-09-06</t>
        </is>
      </c>
      <c r="W175" t="inlineStr">
        <is>
          <t>2005-09-06</t>
        </is>
      </c>
      <c r="X175" t="inlineStr">
        <is>
          <t>2005-09-06</t>
        </is>
      </c>
      <c r="Y175" t="n">
        <v>452</v>
      </c>
      <c r="Z175" t="n">
        <v>377</v>
      </c>
      <c r="AA175" t="n">
        <v>394</v>
      </c>
      <c r="AB175" t="n">
        <v>4</v>
      </c>
      <c r="AC175" t="n">
        <v>4</v>
      </c>
      <c r="AD175" t="n">
        <v>12</v>
      </c>
      <c r="AE175" t="n">
        <v>12</v>
      </c>
      <c r="AF175" t="n">
        <v>4</v>
      </c>
      <c r="AG175" t="n">
        <v>4</v>
      </c>
      <c r="AH175" t="n">
        <v>3</v>
      </c>
      <c r="AI175" t="n">
        <v>3</v>
      </c>
      <c r="AJ175" t="n">
        <v>5</v>
      </c>
      <c r="AK175" t="n">
        <v>5</v>
      </c>
      <c r="AL175" t="n">
        <v>3</v>
      </c>
      <c r="AM175" t="n">
        <v>3</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HYPERLINK("https://creighton-primo.hosted.exlibrisgroup.com/primo-explore/search?tab=default_tab&amp;search_scope=EVERYTHING&amp;vid=01CRU&amp;lang=en_US&amp;offset=0&amp;query=any,contains,991004629789702656","Catalog Record")</f>
        <v/>
      </c>
      <c r="AT175">
        <f>HYPERLINK("http://www.worldcat.org/oclc/54280133","WorldCat Record")</f>
        <v/>
      </c>
      <c r="AU175" t="inlineStr">
        <is>
          <t>784443655:eng</t>
        </is>
      </c>
      <c r="AV175" t="inlineStr">
        <is>
          <t>54280133</t>
        </is>
      </c>
      <c r="AW175" t="inlineStr">
        <is>
          <t>991004629789702656</t>
        </is>
      </c>
      <c r="AX175" t="inlineStr">
        <is>
          <t>991004629789702656</t>
        </is>
      </c>
      <c r="AY175" t="inlineStr">
        <is>
          <t>2271032350002656</t>
        </is>
      </c>
      <c r="AZ175" t="inlineStr">
        <is>
          <t>BOOK</t>
        </is>
      </c>
      <c r="BB175" t="inlineStr">
        <is>
          <t>9780804749626</t>
        </is>
      </c>
      <c r="BC175" t="inlineStr">
        <is>
          <t>32285005083042</t>
        </is>
      </c>
      <c r="BD175" t="inlineStr">
        <is>
          <t>893247793</t>
        </is>
      </c>
    </row>
    <row r="176">
      <c r="A176" t="inlineStr">
        <is>
          <t>No</t>
        </is>
      </c>
      <c r="B176" t="inlineStr">
        <is>
          <t>GA405 .S466 2001</t>
        </is>
      </c>
      <c r="C176" t="inlineStr">
        <is>
          <t>0                      GA 0405000S  466         2001</t>
        </is>
      </c>
      <c r="D176" t="inlineStr">
        <is>
          <t>Representing the Republic : mapping the United States, 1600-1900 / John Rennie Short.</t>
        </is>
      </c>
      <c r="F176" t="inlineStr">
        <is>
          <t>No</t>
        </is>
      </c>
      <c r="G176" t="inlineStr">
        <is>
          <t>1</t>
        </is>
      </c>
      <c r="H176" t="inlineStr">
        <is>
          <t>No</t>
        </is>
      </c>
      <c r="I176" t="inlineStr">
        <is>
          <t>No</t>
        </is>
      </c>
      <c r="J176" t="inlineStr">
        <is>
          <t>0</t>
        </is>
      </c>
      <c r="K176" t="inlineStr">
        <is>
          <t>Short, John R.</t>
        </is>
      </c>
      <c r="L176" t="inlineStr">
        <is>
          <t>London : Reaktion, 2001.</t>
        </is>
      </c>
      <c r="M176" t="inlineStr">
        <is>
          <t>2001</t>
        </is>
      </c>
      <c r="O176" t="inlineStr">
        <is>
          <t>eng</t>
        </is>
      </c>
      <c r="P176" t="inlineStr">
        <is>
          <t>enk</t>
        </is>
      </c>
      <c r="Q176" t="inlineStr">
        <is>
          <t>Picturing history</t>
        </is>
      </c>
      <c r="R176" t="inlineStr">
        <is>
          <t xml:space="preserve">GA </t>
        </is>
      </c>
      <c r="S176" t="n">
        <v>1</v>
      </c>
      <c r="T176" t="n">
        <v>1</v>
      </c>
      <c r="U176" t="inlineStr">
        <is>
          <t>2002-09-25</t>
        </is>
      </c>
      <c r="V176" t="inlineStr">
        <is>
          <t>2002-09-25</t>
        </is>
      </c>
      <c r="W176" t="inlineStr">
        <is>
          <t>2002-09-25</t>
        </is>
      </c>
      <c r="X176" t="inlineStr">
        <is>
          <t>2002-09-25</t>
        </is>
      </c>
      <c r="Y176" t="n">
        <v>435</v>
      </c>
      <c r="Z176" t="n">
        <v>380</v>
      </c>
      <c r="AA176" t="n">
        <v>389</v>
      </c>
      <c r="AB176" t="n">
        <v>3</v>
      </c>
      <c r="AC176" t="n">
        <v>3</v>
      </c>
      <c r="AD176" t="n">
        <v>20</v>
      </c>
      <c r="AE176" t="n">
        <v>20</v>
      </c>
      <c r="AF176" t="n">
        <v>8</v>
      </c>
      <c r="AG176" t="n">
        <v>8</v>
      </c>
      <c r="AH176" t="n">
        <v>7</v>
      </c>
      <c r="AI176" t="n">
        <v>7</v>
      </c>
      <c r="AJ176" t="n">
        <v>8</v>
      </c>
      <c r="AK176" t="n">
        <v>8</v>
      </c>
      <c r="AL176" t="n">
        <v>1</v>
      </c>
      <c r="AM176" t="n">
        <v>1</v>
      </c>
      <c r="AN176" t="n">
        <v>0</v>
      </c>
      <c r="AO176" t="n">
        <v>0</v>
      </c>
      <c r="AP176" t="inlineStr">
        <is>
          <t>No</t>
        </is>
      </c>
      <c r="AQ176" t="inlineStr">
        <is>
          <t>Yes</t>
        </is>
      </c>
      <c r="AR176">
        <f>HYPERLINK("http://catalog.hathitrust.org/Record/004180229","HathiTrust Record")</f>
        <v/>
      </c>
      <c r="AS176">
        <f>HYPERLINK("https://creighton-primo.hosted.exlibrisgroup.com/primo-explore/search?tab=default_tab&amp;search_scope=EVERYTHING&amp;vid=01CRU&amp;lang=en_US&amp;offset=0&amp;query=any,contains,991003869229702656","Catalog Record")</f>
        <v/>
      </c>
      <c r="AT176">
        <f>HYPERLINK("http://www.worldcat.org/oclc/46333671","WorldCat Record")</f>
        <v/>
      </c>
      <c r="AU176" t="inlineStr">
        <is>
          <t>35702638:eng</t>
        </is>
      </c>
      <c r="AV176" t="inlineStr">
        <is>
          <t>46333671</t>
        </is>
      </c>
      <c r="AW176" t="inlineStr">
        <is>
          <t>991003869229702656</t>
        </is>
      </c>
      <c r="AX176" t="inlineStr">
        <is>
          <t>991003869229702656</t>
        </is>
      </c>
      <c r="AY176" t="inlineStr">
        <is>
          <t>2270032290002656</t>
        </is>
      </c>
      <c r="AZ176" t="inlineStr">
        <is>
          <t>BOOK</t>
        </is>
      </c>
      <c r="BB176" t="inlineStr">
        <is>
          <t>9781861890863</t>
        </is>
      </c>
      <c r="BC176" t="inlineStr">
        <is>
          <t>32285004648977</t>
        </is>
      </c>
      <c r="BD176" t="inlineStr">
        <is>
          <t>893787920</t>
        </is>
      </c>
    </row>
    <row r="177">
      <c r="A177" t="inlineStr">
        <is>
          <t>No</t>
        </is>
      </c>
      <c r="B177" t="inlineStr">
        <is>
          <t>GA405.5 .H37</t>
        </is>
      </c>
      <c r="C177" t="inlineStr">
        <is>
          <t>0                      GA 0405500H  37</t>
        </is>
      </c>
      <c r="D177" t="inlineStr">
        <is>
          <t>Mapping the American Revolutionary War / J. B. Harley, Barbara Bartz Petchenik, and Lawrence W. Towner. --</t>
        </is>
      </c>
      <c r="F177" t="inlineStr">
        <is>
          <t>No</t>
        </is>
      </c>
      <c r="G177" t="inlineStr">
        <is>
          <t>1</t>
        </is>
      </c>
      <c r="H177" t="inlineStr">
        <is>
          <t>No</t>
        </is>
      </c>
      <c r="I177" t="inlineStr">
        <is>
          <t>No</t>
        </is>
      </c>
      <c r="J177" t="inlineStr">
        <is>
          <t>0</t>
        </is>
      </c>
      <c r="K177" t="inlineStr">
        <is>
          <t>Harley, J. B. (John Brian)</t>
        </is>
      </c>
      <c r="L177" t="inlineStr">
        <is>
          <t>Chicago : University of Chicago Press, 1978.</t>
        </is>
      </c>
      <c r="M177" t="inlineStr">
        <is>
          <t>1978</t>
        </is>
      </c>
      <c r="O177" t="inlineStr">
        <is>
          <t>eng</t>
        </is>
      </c>
      <c r="P177" t="inlineStr">
        <is>
          <t>ilu</t>
        </is>
      </c>
      <c r="Q177" t="inlineStr">
        <is>
          <t>The Kenneth Nebenzahl, Jr., lectures in the history of cartography at the Newberry Library</t>
        </is>
      </c>
      <c r="R177" t="inlineStr">
        <is>
          <t xml:space="preserve">GA </t>
        </is>
      </c>
      <c r="S177" t="n">
        <v>1</v>
      </c>
      <c r="T177" t="n">
        <v>1</v>
      </c>
      <c r="U177" t="inlineStr">
        <is>
          <t>2008-01-28</t>
        </is>
      </c>
      <c r="V177" t="inlineStr">
        <is>
          <t>2008-01-28</t>
        </is>
      </c>
      <c r="W177" t="inlineStr">
        <is>
          <t>1992-01-09</t>
        </is>
      </c>
      <c r="X177" t="inlineStr">
        <is>
          <t>1992-01-09</t>
        </is>
      </c>
      <c r="Y177" t="n">
        <v>484</v>
      </c>
      <c r="Z177" t="n">
        <v>423</v>
      </c>
      <c r="AA177" t="n">
        <v>432</v>
      </c>
      <c r="AB177" t="n">
        <v>4</v>
      </c>
      <c r="AC177" t="n">
        <v>4</v>
      </c>
      <c r="AD177" t="n">
        <v>14</v>
      </c>
      <c r="AE177" t="n">
        <v>15</v>
      </c>
      <c r="AF177" t="n">
        <v>3</v>
      </c>
      <c r="AG177" t="n">
        <v>4</v>
      </c>
      <c r="AH177" t="n">
        <v>3</v>
      </c>
      <c r="AI177" t="n">
        <v>3</v>
      </c>
      <c r="AJ177" t="n">
        <v>10</v>
      </c>
      <c r="AK177" t="n">
        <v>10</v>
      </c>
      <c r="AL177" t="n">
        <v>3</v>
      </c>
      <c r="AM177" t="n">
        <v>3</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HYPERLINK("https://creighton-primo.hosted.exlibrisgroup.com/primo-explore/search?tab=default_tab&amp;search_scope=EVERYTHING&amp;vid=01CRU&amp;lang=en_US&amp;offset=0&amp;query=any,contains,991004298709702656","Catalog Record")</f>
        <v/>
      </c>
      <c r="AT177">
        <f>HYPERLINK("http://www.worldcat.org/oclc/2966878","WorldCat Record")</f>
        <v/>
      </c>
      <c r="AU177" t="inlineStr">
        <is>
          <t>418517:eng</t>
        </is>
      </c>
      <c r="AV177" t="inlineStr">
        <is>
          <t>2966878</t>
        </is>
      </c>
      <c r="AW177" t="inlineStr">
        <is>
          <t>991004298709702656</t>
        </is>
      </c>
      <c r="AX177" t="inlineStr">
        <is>
          <t>991004298709702656</t>
        </is>
      </c>
      <c r="AY177" t="inlineStr">
        <is>
          <t>2267455380002656</t>
        </is>
      </c>
      <c r="AZ177" t="inlineStr">
        <is>
          <t>BOOK</t>
        </is>
      </c>
      <c r="BB177" t="inlineStr">
        <is>
          <t>9780226316314</t>
        </is>
      </c>
      <c r="BC177" t="inlineStr">
        <is>
          <t>32285000892892</t>
        </is>
      </c>
      <c r="BD177" t="inlineStr">
        <is>
          <t>893718741</t>
        </is>
      </c>
    </row>
    <row r="178">
      <c r="A178" t="inlineStr">
        <is>
          <t>No</t>
        </is>
      </c>
      <c r="B178" t="inlineStr">
        <is>
          <t>GA791 .L9 1947</t>
        </is>
      </c>
      <c r="C178" t="inlineStr">
        <is>
          <t>0                      GA 0791000L  9           1947</t>
        </is>
      </c>
      <c r="D178" t="inlineStr">
        <is>
          <t>British maps and map-makers.</t>
        </is>
      </c>
      <c r="F178" t="inlineStr">
        <is>
          <t>No</t>
        </is>
      </c>
      <c r="G178" t="inlineStr">
        <is>
          <t>1</t>
        </is>
      </c>
      <c r="H178" t="inlineStr">
        <is>
          <t>No</t>
        </is>
      </c>
      <c r="I178" t="inlineStr">
        <is>
          <t>No</t>
        </is>
      </c>
      <c r="J178" t="inlineStr">
        <is>
          <t>0</t>
        </is>
      </c>
      <c r="K178" t="inlineStr">
        <is>
          <t>Lynam, Edward.</t>
        </is>
      </c>
      <c r="L178" t="inlineStr">
        <is>
          <t>London : Collins, 1947.</t>
        </is>
      </c>
      <c r="M178" t="inlineStr">
        <is>
          <t>1947</t>
        </is>
      </c>
      <c r="N178" t="inlineStr">
        <is>
          <t>[3d impression, rev.]</t>
        </is>
      </c>
      <c r="O178" t="inlineStr">
        <is>
          <t>eng</t>
        </is>
      </c>
      <c r="P178" t="inlineStr">
        <is>
          <t>|||</t>
        </is>
      </c>
      <c r="Q178" t="inlineStr">
        <is>
          <t>Britain in pictures</t>
        </is>
      </c>
      <c r="R178" t="inlineStr">
        <is>
          <t xml:space="preserve">GA </t>
        </is>
      </c>
      <c r="S178" t="n">
        <v>4</v>
      </c>
      <c r="T178" t="n">
        <v>4</v>
      </c>
      <c r="U178" t="inlineStr">
        <is>
          <t>2000-01-31</t>
        </is>
      </c>
      <c r="V178" t="inlineStr">
        <is>
          <t>2000-01-31</t>
        </is>
      </c>
      <c r="W178" t="inlineStr">
        <is>
          <t>1992-01-09</t>
        </is>
      </c>
      <c r="X178" t="inlineStr">
        <is>
          <t>1992-01-09</t>
        </is>
      </c>
      <c r="Y178" t="n">
        <v>153</v>
      </c>
      <c r="Z178" t="n">
        <v>131</v>
      </c>
      <c r="AA178" t="n">
        <v>250</v>
      </c>
      <c r="AB178" t="n">
        <v>2</v>
      </c>
      <c r="AC178" t="n">
        <v>2</v>
      </c>
      <c r="AD178" t="n">
        <v>6</v>
      </c>
      <c r="AE178" t="n">
        <v>10</v>
      </c>
      <c r="AF178" t="n">
        <v>2</v>
      </c>
      <c r="AG178" t="n">
        <v>5</v>
      </c>
      <c r="AH178" t="n">
        <v>1</v>
      </c>
      <c r="AI178" t="n">
        <v>2</v>
      </c>
      <c r="AJ178" t="n">
        <v>4</v>
      </c>
      <c r="AK178" t="n">
        <v>6</v>
      </c>
      <c r="AL178" t="n">
        <v>1</v>
      </c>
      <c r="AM178" t="n">
        <v>1</v>
      </c>
      <c r="AN178" t="n">
        <v>0</v>
      </c>
      <c r="AO178" t="n">
        <v>0</v>
      </c>
      <c r="AP178" t="inlineStr">
        <is>
          <t>No</t>
        </is>
      </c>
      <c r="AQ178" t="inlineStr">
        <is>
          <t>Yes</t>
        </is>
      </c>
      <c r="AR178">
        <f>HYPERLINK("http://catalog.hathitrust.org/Record/003915280","HathiTrust Record")</f>
        <v/>
      </c>
      <c r="AS178">
        <f>HYPERLINK("https://creighton-primo.hosted.exlibrisgroup.com/primo-explore/search?tab=default_tab&amp;search_scope=EVERYTHING&amp;vid=01CRU&amp;lang=en_US&amp;offset=0&amp;query=any,contains,991002889759702656","Catalog Record")</f>
        <v/>
      </c>
      <c r="AT178">
        <f>HYPERLINK("http://www.worldcat.org/oclc/511004","WorldCat Record")</f>
        <v/>
      </c>
      <c r="AU178" t="inlineStr">
        <is>
          <t>1474582:eng</t>
        </is>
      </c>
      <c r="AV178" t="inlineStr">
        <is>
          <t>511004</t>
        </is>
      </c>
      <c r="AW178" t="inlineStr">
        <is>
          <t>991002889759702656</t>
        </is>
      </c>
      <c r="AX178" t="inlineStr">
        <is>
          <t>991002889759702656</t>
        </is>
      </c>
      <c r="AY178" t="inlineStr">
        <is>
          <t>2263831010002656</t>
        </is>
      </c>
      <c r="AZ178" t="inlineStr">
        <is>
          <t>BOOK</t>
        </is>
      </c>
      <c r="BC178" t="inlineStr">
        <is>
          <t>32285000892918</t>
        </is>
      </c>
      <c r="BD178" t="inlineStr">
        <is>
          <t>893610430</t>
        </is>
      </c>
    </row>
    <row r="179">
      <c r="A179" t="inlineStr">
        <is>
          <t>No</t>
        </is>
      </c>
      <c r="B179" t="inlineStr">
        <is>
          <t>GA881.1 .B47 2000</t>
        </is>
      </c>
      <c r="C179" t="inlineStr">
        <is>
          <t>0                      GA 0881100B  47          2000</t>
        </is>
      </c>
      <c r="D179" t="inlineStr">
        <is>
          <t>Ptolemy's Geography : an annotated translation of the theoretical chapters / J. Lennart Berggren and Alexander Jones.</t>
        </is>
      </c>
      <c r="F179" t="inlineStr">
        <is>
          <t>No</t>
        </is>
      </c>
      <c r="G179" t="inlineStr">
        <is>
          <t>1</t>
        </is>
      </c>
      <c r="H179" t="inlineStr">
        <is>
          <t>No</t>
        </is>
      </c>
      <c r="I179" t="inlineStr">
        <is>
          <t>No</t>
        </is>
      </c>
      <c r="J179" t="inlineStr">
        <is>
          <t>0</t>
        </is>
      </c>
      <c r="K179" t="inlineStr">
        <is>
          <t>Berggren, J. L.</t>
        </is>
      </c>
      <c r="L179" t="inlineStr">
        <is>
          <t>Princeton, N.J. : Princeton University Press, c2000.</t>
        </is>
      </c>
      <c r="M179" t="inlineStr">
        <is>
          <t>2000</t>
        </is>
      </c>
      <c r="O179" t="inlineStr">
        <is>
          <t>eng</t>
        </is>
      </c>
      <c r="P179" t="inlineStr">
        <is>
          <t>nju</t>
        </is>
      </c>
      <c r="R179" t="inlineStr">
        <is>
          <t xml:space="preserve">GA </t>
        </is>
      </c>
      <c r="S179" t="n">
        <v>1</v>
      </c>
      <c r="T179" t="n">
        <v>1</v>
      </c>
      <c r="U179" t="inlineStr">
        <is>
          <t>2001-02-21</t>
        </is>
      </c>
      <c r="V179" t="inlineStr">
        <is>
          <t>2001-02-21</t>
        </is>
      </c>
      <c r="W179" t="inlineStr">
        <is>
          <t>2001-02-21</t>
        </is>
      </c>
      <c r="X179" t="inlineStr">
        <is>
          <t>2001-02-21</t>
        </is>
      </c>
      <c r="Y179" t="n">
        <v>435</v>
      </c>
      <c r="Z179" t="n">
        <v>314</v>
      </c>
      <c r="AA179" t="n">
        <v>374</v>
      </c>
      <c r="AB179" t="n">
        <v>3</v>
      </c>
      <c r="AC179" t="n">
        <v>3</v>
      </c>
      <c r="AD179" t="n">
        <v>16</v>
      </c>
      <c r="AE179" t="n">
        <v>21</v>
      </c>
      <c r="AF179" t="n">
        <v>5</v>
      </c>
      <c r="AG179" t="n">
        <v>9</v>
      </c>
      <c r="AH179" t="n">
        <v>5</v>
      </c>
      <c r="AI179" t="n">
        <v>6</v>
      </c>
      <c r="AJ179" t="n">
        <v>10</v>
      </c>
      <c r="AK179" t="n">
        <v>11</v>
      </c>
      <c r="AL179" t="n">
        <v>2</v>
      </c>
      <c r="AM179" t="n">
        <v>2</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HYPERLINK("https://creighton-primo.hosted.exlibrisgroup.com/primo-explore/search?tab=default_tab&amp;search_scope=EVERYTHING&amp;vid=01CRU&amp;lang=en_US&amp;offset=0&amp;query=any,contains,991003478109702656","Catalog Record")</f>
        <v/>
      </c>
      <c r="AT179">
        <f>HYPERLINK("http://www.worldcat.org/oclc/44914271","WorldCat Record")</f>
        <v/>
      </c>
      <c r="AU179" t="inlineStr">
        <is>
          <t>9657348561:eng</t>
        </is>
      </c>
      <c r="AV179" t="inlineStr">
        <is>
          <t>44914271</t>
        </is>
      </c>
      <c r="AW179" t="inlineStr">
        <is>
          <t>991003478109702656</t>
        </is>
      </c>
      <c r="AX179" t="inlineStr">
        <is>
          <t>991003478109702656</t>
        </is>
      </c>
      <c r="AY179" t="inlineStr">
        <is>
          <t>2268629330002656</t>
        </is>
      </c>
      <c r="AZ179" t="inlineStr">
        <is>
          <t>BOOK</t>
        </is>
      </c>
      <c r="BB179" t="inlineStr">
        <is>
          <t>9780691010427</t>
        </is>
      </c>
      <c r="BC179" t="inlineStr">
        <is>
          <t>32285004296124</t>
        </is>
      </c>
      <c r="BD179" t="inlineStr">
        <is>
          <t>893900008</t>
        </is>
      </c>
    </row>
    <row r="180">
      <c r="A180" t="inlineStr">
        <is>
          <t>No</t>
        </is>
      </c>
      <c r="B180" t="inlineStr">
        <is>
          <t>GA895.R7 M37 2002</t>
        </is>
      </c>
      <c r="C180" t="inlineStr">
        <is>
          <t>0                      GA 0895000R  7                  M  37          2002</t>
        </is>
      </c>
      <c r="D180" t="inlineStr">
        <is>
          <t>Mapping Augustan Rome / directed by Lothar Haselberger ; in collaboration with David Gilman Romano ; edited by Elisha Ann Dumser ; with contributions by D. Borbonus ... [et al.] ; computer map creation, A.B. Gallia, D.G. Romano, and N.L. Stapp ; artistic map design, M. Davison.</t>
        </is>
      </c>
      <c r="F180" t="inlineStr">
        <is>
          <t>No</t>
        </is>
      </c>
      <c r="G180" t="inlineStr">
        <is>
          <t>1</t>
        </is>
      </c>
      <c r="H180" t="inlineStr">
        <is>
          <t>No</t>
        </is>
      </c>
      <c r="I180" t="inlineStr">
        <is>
          <t>No</t>
        </is>
      </c>
      <c r="J180" t="inlineStr">
        <is>
          <t>0</t>
        </is>
      </c>
      <c r="L180" t="inlineStr">
        <is>
          <t>Portsmouth, R.I. : Journal of Roman Archaeology, 2002.</t>
        </is>
      </c>
      <c r="M180" t="inlineStr">
        <is>
          <t>2002</t>
        </is>
      </c>
      <c r="O180" t="inlineStr">
        <is>
          <t>eng</t>
        </is>
      </c>
      <c r="P180" t="inlineStr">
        <is>
          <t>riu</t>
        </is>
      </c>
      <c r="Q180" t="inlineStr">
        <is>
          <t>Journal of Roman archaeology. Supplementary series, 1063-4304 ; no. 50</t>
        </is>
      </c>
      <c r="R180" t="inlineStr">
        <is>
          <t xml:space="preserve">GA </t>
        </is>
      </c>
      <c r="S180" t="n">
        <v>1</v>
      </c>
      <c r="T180" t="n">
        <v>1</v>
      </c>
      <c r="U180" t="inlineStr">
        <is>
          <t>2005-10-06</t>
        </is>
      </c>
      <c r="V180" t="inlineStr">
        <is>
          <t>2005-10-06</t>
        </is>
      </c>
      <c r="W180" t="inlineStr">
        <is>
          <t>2005-10-06</t>
        </is>
      </c>
      <c r="X180" t="inlineStr">
        <is>
          <t>2005-10-06</t>
        </is>
      </c>
      <c r="Y180" t="n">
        <v>198</v>
      </c>
      <c r="Z180" t="n">
        <v>130</v>
      </c>
      <c r="AA180" t="n">
        <v>146</v>
      </c>
      <c r="AB180" t="n">
        <v>1</v>
      </c>
      <c r="AC180" t="n">
        <v>1</v>
      </c>
      <c r="AD180" t="n">
        <v>10</v>
      </c>
      <c r="AE180" t="n">
        <v>10</v>
      </c>
      <c r="AF180" t="n">
        <v>4</v>
      </c>
      <c r="AG180" t="n">
        <v>4</v>
      </c>
      <c r="AH180" t="n">
        <v>3</v>
      </c>
      <c r="AI180" t="n">
        <v>3</v>
      </c>
      <c r="AJ180" t="n">
        <v>7</v>
      </c>
      <c r="AK180" t="n">
        <v>7</v>
      </c>
      <c r="AL180" t="n">
        <v>0</v>
      </c>
      <c r="AM180" t="n">
        <v>0</v>
      </c>
      <c r="AN180" t="n">
        <v>0</v>
      </c>
      <c r="AO180" t="n">
        <v>0</v>
      </c>
      <c r="AP180" t="inlineStr">
        <is>
          <t>No</t>
        </is>
      </c>
      <c r="AQ180" t="inlineStr">
        <is>
          <t>Yes</t>
        </is>
      </c>
      <c r="AR180">
        <f>HYPERLINK("http://catalog.hathitrust.org/Record/003840618","HathiTrust Record")</f>
        <v/>
      </c>
      <c r="AS180">
        <f>HYPERLINK("https://creighton-primo.hosted.exlibrisgroup.com/primo-explore/search?tab=default_tab&amp;search_scope=EVERYTHING&amp;vid=01CRU&amp;lang=en_US&amp;offset=0&amp;query=any,contains,991004499359702656","Catalog Record")</f>
        <v/>
      </c>
      <c r="AT180">
        <f>HYPERLINK("http://www.worldcat.org/oclc/51521113","WorldCat Record")</f>
        <v/>
      </c>
      <c r="AU180" t="inlineStr">
        <is>
          <t>762537462:eng</t>
        </is>
      </c>
      <c r="AV180" t="inlineStr">
        <is>
          <t>51521113</t>
        </is>
      </c>
      <c r="AW180" t="inlineStr">
        <is>
          <t>991004499359702656</t>
        </is>
      </c>
      <c r="AX180" t="inlineStr">
        <is>
          <t>991004499359702656</t>
        </is>
      </c>
      <c r="AY180" t="inlineStr">
        <is>
          <t>2266918460002656</t>
        </is>
      </c>
      <c r="AZ180" t="inlineStr">
        <is>
          <t>BOOK</t>
        </is>
      </c>
      <c r="BB180" t="inlineStr">
        <is>
          <t>9781887829502</t>
        </is>
      </c>
      <c r="BC180" t="inlineStr">
        <is>
          <t>32285005087910</t>
        </is>
      </c>
      <c r="BD180" t="inlineStr">
        <is>
          <t>893513306</t>
        </is>
      </c>
    </row>
    <row r="181">
      <c r="A181" t="inlineStr">
        <is>
          <t>No</t>
        </is>
      </c>
      <c r="B181" t="inlineStr">
        <is>
          <t>GB1003.2 .C425 1997</t>
        </is>
      </c>
      <c r="C181" t="inlineStr">
        <is>
          <t>0                      GB 1003200C  425         1997</t>
        </is>
      </c>
      <c r="D181" t="inlineStr">
        <is>
          <t>The hidden sea : ground water, springs, and wells / Francis H. Chapelle ; illustrated by James E. Landmeyer.</t>
        </is>
      </c>
      <c r="F181" t="inlineStr">
        <is>
          <t>No</t>
        </is>
      </c>
      <c r="G181" t="inlineStr">
        <is>
          <t>1</t>
        </is>
      </c>
      <c r="H181" t="inlineStr">
        <is>
          <t>No</t>
        </is>
      </c>
      <c r="I181" t="inlineStr">
        <is>
          <t>No</t>
        </is>
      </c>
      <c r="J181" t="inlineStr">
        <is>
          <t>0</t>
        </is>
      </c>
      <c r="K181" t="inlineStr">
        <is>
          <t>Chapelle, Frank.</t>
        </is>
      </c>
      <c r="L181" t="inlineStr">
        <is>
          <t>Tuscon, Ariz. : Geoscience Press, c1997.</t>
        </is>
      </c>
      <c r="M181" t="inlineStr">
        <is>
          <t>1997</t>
        </is>
      </c>
      <c r="O181" t="inlineStr">
        <is>
          <t>eng</t>
        </is>
      </c>
      <c r="P181" t="inlineStr">
        <is>
          <t>azu</t>
        </is>
      </c>
      <c r="R181" t="inlineStr">
        <is>
          <t xml:space="preserve">GB </t>
        </is>
      </c>
      <c r="S181" t="n">
        <v>1</v>
      </c>
      <c r="T181" t="n">
        <v>1</v>
      </c>
      <c r="U181" t="inlineStr">
        <is>
          <t>1998-10-08</t>
        </is>
      </c>
      <c r="V181" t="inlineStr">
        <is>
          <t>1998-10-08</t>
        </is>
      </c>
      <c r="W181" t="inlineStr">
        <is>
          <t>1998-08-31</t>
        </is>
      </c>
      <c r="X181" t="inlineStr">
        <is>
          <t>1998-08-31</t>
        </is>
      </c>
      <c r="Y181" t="n">
        <v>371</v>
      </c>
      <c r="Z181" t="n">
        <v>354</v>
      </c>
      <c r="AA181" t="n">
        <v>370</v>
      </c>
      <c r="AB181" t="n">
        <v>6</v>
      </c>
      <c r="AC181" t="n">
        <v>6</v>
      </c>
      <c r="AD181" t="n">
        <v>12</v>
      </c>
      <c r="AE181" t="n">
        <v>12</v>
      </c>
      <c r="AF181" t="n">
        <v>4</v>
      </c>
      <c r="AG181" t="n">
        <v>4</v>
      </c>
      <c r="AH181" t="n">
        <v>3</v>
      </c>
      <c r="AI181" t="n">
        <v>3</v>
      </c>
      <c r="AJ181" t="n">
        <v>4</v>
      </c>
      <c r="AK181" t="n">
        <v>4</v>
      </c>
      <c r="AL181" t="n">
        <v>4</v>
      </c>
      <c r="AM181" t="n">
        <v>4</v>
      </c>
      <c r="AN181" t="n">
        <v>0</v>
      </c>
      <c r="AO181" t="n">
        <v>0</v>
      </c>
      <c r="AP181" t="inlineStr">
        <is>
          <t>No</t>
        </is>
      </c>
      <c r="AQ181" t="inlineStr">
        <is>
          <t>Yes</t>
        </is>
      </c>
      <c r="AR181">
        <f>HYPERLINK("http://catalog.hathitrust.org/Record/004026297","HathiTrust Record")</f>
        <v/>
      </c>
      <c r="AS181">
        <f>HYPERLINK("https://creighton-primo.hosted.exlibrisgroup.com/primo-explore/search?tab=default_tab&amp;search_scope=EVERYTHING&amp;vid=01CRU&amp;lang=en_US&amp;offset=0&amp;query=any,contains,991002773069702656","Catalog Record")</f>
        <v/>
      </c>
      <c r="AT181">
        <f>HYPERLINK("http://www.worldcat.org/oclc/36417793","WorldCat Record")</f>
        <v/>
      </c>
      <c r="AU181" t="inlineStr">
        <is>
          <t>135133:eng</t>
        </is>
      </c>
      <c r="AV181" t="inlineStr">
        <is>
          <t>36417793</t>
        </is>
      </c>
      <c r="AW181" t="inlineStr">
        <is>
          <t>991002773069702656</t>
        </is>
      </c>
      <c r="AX181" t="inlineStr">
        <is>
          <t>991002773069702656</t>
        </is>
      </c>
      <c r="AY181" t="inlineStr">
        <is>
          <t>2258499220002656</t>
        </is>
      </c>
      <c r="AZ181" t="inlineStr">
        <is>
          <t>BOOK</t>
        </is>
      </c>
      <c r="BB181" t="inlineStr">
        <is>
          <t>9780945005261</t>
        </is>
      </c>
      <c r="BC181" t="inlineStr">
        <is>
          <t>32285003463907</t>
        </is>
      </c>
      <c r="BD181" t="inlineStr">
        <is>
          <t>893892984</t>
        </is>
      </c>
    </row>
    <row r="182">
      <c r="A182" t="inlineStr">
        <is>
          <t>No</t>
        </is>
      </c>
      <c r="B182" t="inlineStr">
        <is>
          <t>GB1003.2 .F73</t>
        </is>
      </c>
      <c r="C182" t="inlineStr">
        <is>
          <t>0                      GB 1003200F  73</t>
        </is>
      </c>
      <c r="D182" t="inlineStr">
        <is>
          <t>Groundwater / R. Allan Freeze, John A. Cherry.</t>
        </is>
      </c>
      <c r="F182" t="inlineStr">
        <is>
          <t>No</t>
        </is>
      </c>
      <c r="G182" t="inlineStr">
        <is>
          <t>1</t>
        </is>
      </c>
      <c r="H182" t="inlineStr">
        <is>
          <t>No</t>
        </is>
      </c>
      <c r="I182" t="inlineStr">
        <is>
          <t>No</t>
        </is>
      </c>
      <c r="J182" t="inlineStr">
        <is>
          <t>0</t>
        </is>
      </c>
      <c r="K182" t="inlineStr">
        <is>
          <t>Freeze, R. Allan.</t>
        </is>
      </c>
      <c r="L182" t="inlineStr">
        <is>
          <t>Englewood Cliffs, N.J. : Prentice-Hall, c1979.</t>
        </is>
      </c>
      <c r="M182" t="inlineStr">
        <is>
          <t>1979</t>
        </is>
      </c>
      <c r="O182" t="inlineStr">
        <is>
          <t>eng</t>
        </is>
      </c>
      <c r="P182" t="inlineStr">
        <is>
          <t>nju</t>
        </is>
      </c>
      <c r="R182" t="inlineStr">
        <is>
          <t xml:space="preserve">GB </t>
        </is>
      </c>
      <c r="S182" t="n">
        <v>4</v>
      </c>
      <c r="T182" t="n">
        <v>4</v>
      </c>
      <c r="U182" t="inlineStr">
        <is>
          <t>1998-08-13</t>
        </is>
      </c>
      <c r="V182" t="inlineStr">
        <is>
          <t>1998-08-13</t>
        </is>
      </c>
      <c r="W182" t="inlineStr">
        <is>
          <t>1990-06-22</t>
        </is>
      </c>
      <c r="X182" t="inlineStr">
        <is>
          <t>1990-06-22</t>
        </is>
      </c>
      <c r="Y182" t="n">
        <v>993</v>
      </c>
      <c r="Z182" t="n">
        <v>677</v>
      </c>
      <c r="AA182" t="n">
        <v>685</v>
      </c>
      <c r="AB182" t="n">
        <v>5</v>
      </c>
      <c r="AC182" t="n">
        <v>5</v>
      </c>
      <c r="AD182" t="n">
        <v>14</v>
      </c>
      <c r="AE182" t="n">
        <v>14</v>
      </c>
      <c r="AF182" t="n">
        <v>4</v>
      </c>
      <c r="AG182" t="n">
        <v>4</v>
      </c>
      <c r="AH182" t="n">
        <v>2</v>
      </c>
      <c r="AI182" t="n">
        <v>2</v>
      </c>
      <c r="AJ182" t="n">
        <v>8</v>
      </c>
      <c r="AK182" t="n">
        <v>8</v>
      </c>
      <c r="AL182" t="n">
        <v>3</v>
      </c>
      <c r="AM182" t="n">
        <v>3</v>
      </c>
      <c r="AN182" t="n">
        <v>0</v>
      </c>
      <c r="AO182" t="n">
        <v>0</v>
      </c>
      <c r="AP182" t="inlineStr">
        <is>
          <t>No</t>
        </is>
      </c>
      <c r="AQ182" t="inlineStr">
        <is>
          <t>Yes</t>
        </is>
      </c>
      <c r="AR182">
        <f>HYPERLINK("http://catalog.hathitrust.org/Record/000037491","HathiTrust Record")</f>
        <v/>
      </c>
      <c r="AS182">
        <f>HYPERLINK("https://creighton-primo.hosted.exlibrisgroup.com/primo-explore/search?tab=default_tab&amp;search_scope=EVERYTHING&amp;vid=01CRU&amp;lang=en_US&amp;offset=0&amp;query=any,contains,991004649079702656","Catalog Record")</f>
        <v/>
      </c>
      <c r="AT182">
        <f>HYPERLINK("http://www.worldcat.org/oclc/4493153","WorldCat Record")</f>
        <v/>
      </c>
      <c r="AU182" t="inlineStr">
        <is>
          <t>411006:eng</t>
        </is>
      </c>
      <c r="AV182" t="inlineStr">
        <is>
          <t>4493153</t>
        </is>
      </c>
      <c r="AW182" t="inlineStr">
        <is>
          <t>991004649079702656</t>
        </is>
      </c>
      <c r="AX182" t="inlineStr">
        <is>
          <t>991004649079702656</t>
        </is>
      </c>
      <c r="AY182" t="inlineStr">
        <is>
          <t>2263218020002656</t>
        </is>
      </c>
      <c r="AZ182" t="inlineStr">
        <is>
          <t>BOOK</t>
        </is>
      </c>
      <c r="BB182" t="inlineStr">
        <is>
          <t>9780133653120</t>
        </is>
      </c>
      <c r="BC182" t="inlineStr">
        <is>
          <t>32285000212505</t>
        </is>
      </c>
      <c r="BD182" t="inlineStr">
        <is>
          <t>893869945</t>
        </is>
      </c>
    </row>
    <row r="183">
      <c r="A183" t="inlineStr">
        <is>
          <t>No</t>
        </is>
      </c>
      <c r="B183" t="inlineStr">
        <is>
          <t>GB1197.7 .G766 2004</t>
        </is>
      </c>
      <c r="C183" t="inlineStr">
        <is>
          <t>0                      GB 1197700G  766         2004</t>
        </is>
      </c>
      <c r="D183" t="inlineStr">
        <is>
          <t>Groundwater recharge in a desert environment : the southwestern United States / James F. Hogan, Fred M. Phillips, Bridget R. Scanlon, editors.</t>
        </is>
      </c>
      <c r="F183" t="inlineStr">
        <is>
          <t>No</t>
        </is>
      </c>
      <c r="G183" t="inlineStr">
        <is>
          <t>1</t>
        </is>
      </c>
      <c r="H183" t="inlineStr">
        <is>
          <t>No</t>
        </is>
      </c>
      <c r="I183" t="inlineStr">
        <is>
          <t>No</t>
        </is>
      </c>
      <c r="J183" t="inlineStr">
        <is>
          <t>0</t>
        </is>
      </c>
      <c r="L183" t="inlineStr">
        <is>
          <t>Washington, DC : American Geophysical Union, c2004.</t>
        </is>
      </c>
      <c r="M183" t="inlineStr">
        <is>
          <t>2004</t>
        </is>
      </c>
      <c r="O183" t="inlineStr">
        <is>
          <t>eng</t>
        </is>
      </c>
      <c r="P183" t="inlineStr">
        <is>
          <t>dcu</t>
        </is>
      </c>
      <c r="Q183" t="inlineStr">
        <is>
          <t>Water science and application, 1526-758X ; 9</t>
        </is>
      </c>
      <c r="R183" t="inlineStr">
        <is>
          <t xml:space="preserve">GB </t>
        </is>
      </c>
      <c r="S183" t="n">
        <v>2</v>
      </c>
      <c r="T183" t="n">
        <v>2</v>
      </c>
      <c r="U183" t="inlineStr">
        <is>
          <t>2010-02-01</t>
        </is>
      </c>
      <c r="V183" t="inlineStr">
        <is>
          <t>2010-02-01</t>
        </is>
      </c>
      <c r="W183" t="inlineStr">
        <is>
          <t>2006-03-07</t>
        </is>
      </c>
      <c r="X183" t="inlineStr">
        <is>
          <t>2006-03-07</t>
        </is>
      </c>
      <c r="Y183" t="n">
        <v>130</v>
      </c>
      <c r="Z183" t="n">
        <v>99</v>
      </c>
      <c r="AA183" t="n">
        <v>161</v>
      </c>
      <c r="AB183" t="n">
        <v>3</v>
      </c>
      <c r="AC183" t="n">
        <v>3</v>
      </c>
      <c r="AD183" t="n">
        <v>3</v>
      </c>
      <c r="AE183" t="n">
        <v>3</v>
      </c>
      <c r="AF183" t="n">
        <v>1</v>
      </c>
      <c r="AG183" t="n">
        <v>1</v>
      </c>
      <c r="AH183" t="n">
        <v>0</v>
      </c>
      <c r="AI183" t="n">
        <v>0</v>
      </c>
      <c r="AJ183" t="n">
        <v>1</v>
      </c>
      <c r="AK183" t="n">
        <v>1</v>
      </c>
      <c r="AL183" t="n">
        <v>2</v>
      </c>
      <c r="AM183" t="n">
        <v>2</v>
      </c>
      <c r="AN183" t="n">
        <v>0</v>
      </c>
      <c r="AO183" t="n">
        <v>0</v>
      </c>
      <c r="AP183" t="inlineStr">
        <is>
          <t>No</t>
        </is>
      </c>
      <c r="AQ183" t="inlineStr">
        <is>
          <t>Yes</t>
        </is>
      </c>
      <c r="AR183">
        <f>HYPERLINK("http://catalog.hathitrust.org/Record/004929603","HathiTrust Record")</f>
        <v/>
      </c>
      <c r="AS183">
        <f>HYPERLINK("https://creighton-primo.hosted.exlibrisgroup.com/primo-explore/search?tab=default_tab&amp;search_scope=EVERYTHING&amp;vid=01CRU&amp;lang=en_US&amp;offset=0&amp;query=any,contains,991004761979702656","Catalog Record")</f>
        <v/>
      </c>
      <c r="AT183">
        <f>HYPERLINK("http://www.worldcat.org/oclc/55502489","WorldCat Record")</f>
        <v/>
      </c>
      <c r="AU183" t="inlineStr">
        <is>
          <t>351055092:eng</t>
        </is>
      </c>
      <c r="AV183" t="inlineStr">
        <is>
          <t>55502489</t>
        </is>
      </c>
      <c r="AW183" t="inlineStr">
        <is>
          <t>991004761979702656</t>
        </is>
      </c>
      <c r="AX183" t="inlineStr">
        <is>
          <t>991004761979702656</t>
        </is>
      </c>
      <c r="AY183" t="inlineStr">
        <is>
          <t>2268304860002656</t>
        </is>
      </c>
      <c r="AZ183" t="inlineStr">
        <is>
          <t>BOOK</t>
        </is>
      </c>
      <c r="BB183" t="inlineStr">
        <is>
          <t>9780875903583</t>
        </is>
      </c>
      <c r="BC183" t="inlineStr">
        <is>
          <t>32285005165591</t>
        </is>
      </c>
      <c r="BD183" t="inlineStr">
        <is>
          <t>893694320</t>
        </is>
      </c>
    </row>
    <row r="184">
      <c r="A184" t="inlineStr">
        <is>
          <t>No</t>
        </is>
      </c>
      <c r="B184" t="inlineStr">
        <is>
          <t>GB1198 .C66 1991</t>
        </is>
      </c>
      <c r="C184" t="inlineStr">
        <is>
          <t>0                      GB 1198000C  66          1991</t>
        </is>
      </c>
      <c r="D184" t="inlineStr">
        <is>
          <t>Fire under the sea : the discovery of the most extraordinary environment on earth--volcanic hot springs on the ocean floor / Joseph Cone.</t>
        </is>
      </c>
      <c r="F184" t="inlineStr">
        <is>
          <t>No</t>
        </is>
      </c>
      <c r="G184" t="inlineStr">
        <is>
          <t>1</t>
        </is>
      </c>
      <c r="H184" t="inlineStr">
        <is>
          <t>No</t>
        </is>
      </c>
      <c r="I184" t="inlineStr">
        <is>
          <t>No</t>
        </is>
      </c>
      <c r="J184" t="inlineStr">
        <is>
          <t>0</t>
        </is>
      </c>
      <c r="K184" t="inlineStr">
        <is>
          <t>Cone, Joseph.</t>
        </is>
      </c>
      <c r="L184" t="inlineStr">
        <is>
          <t>New York : Morrow, c1991.</t>
        </is>
      </c>
      <c r="M184" t="inlineStr">
        <is>
          <t>1991</t>
        </is>
      </c>
      <c r="N184" t="inlineStr">
        <is>
          <t>1st ed.</t>
        </is>
      </c>
      <c r="O184" t="inlineStr">
        <is>
          <t>eng</t>
        </is>
      </c>
      <c r="P184" t="inlineStr">
        <is>
          <t>nyu</t>
        </is>
      </c>
      <c r="R184" t="inlineStr">
        <is>
          <t xml:space="preserve">GB </t>
        </is>
      </c>
      <c r="S184" t="n">
        <v>9</v>
      </c>
      <c r="T184" t="n">
        <v>9</v>
      </c>
      <c r="U184" t="inlineStr">
        <is>
          <t>2008-01-30</t>
        </is>
      </c>
      <c r="V184" t="inlineStr">
        <is>
          <t>2008-01-30</t>
        </is>
      </c>
      <c r="W184" t="inlineStr">
        <is>
          <t>1992-06-23</t>
        </is>
      </c>
      <c r="X184" t="inlineStr">
        <is>
          <t>1992-06-23</t>
        </is>
      </c>
      <c r="Y184" t="n">
        <v>1001</v>
      </c>
      <c r="Z184" t="n">
        <v>939</v>
      </c>
      <c r="AA184" t="n">
        <v>1019</v>
      </c>
      <c r="AB184" t="n">
        <v>7</v>
      </c>
      <c r="AC184" t="n">
        <v>8</v>
      </c>
      <c r="AD184" t="n">
        <v>18</v>
      </c>
      <c r="AE184" t="n">
        <v>20</v>
      </c>
      <c r="AF184" t="n">
        <v>6</v>
      </c>
      <c r="AG184" t="n">
        <v>7</v>
      </c>
      <c r="AH184" t="n">
        <v>3</v>
      </c>
      <c r="AI184" t="n">
        <v>4</v>
      </c>
      <c r="AJ184" t="n">
        <v>7</v>
      </c>
      <c r="AK184" t="n">
        <v>7</v>
      </c>
      <c r="AL184" t="n">
        <v>4</v>
      </c>
      <c r="AM184" t="n">
        <v>5</v>
      </c>
      <c r="AN184" t="n">
        <v>0</v>
      </c>
      <c r="AO184" t="n">
        <v>0</v>
      </c>
      <c r="AP184" t="inlineStr">
        <is>
          <t>No</t>
        </is>
      </c>
      <c r="AQ184" t="inlineStr">
        <is>
          <t>Yes</t>
        </is>
      </c>
      <c r="AR184">
        <f>HYPERLINK("http://catalog.hathitrust.org/Record/002465066","HathiTrust Record")</f>
        <v/>
      </c>
      <c r="AS184">
        <f>HYPERLINK("https://creighton-primo.hosted.exlibrisgroup.com/primo-explore/search?tab=default_tab&amp;search_scope=EVERYTHING&amp;vid=01CRU&amp;lang=en_US&amp;offset=0&amp;query=any,contains,991001794779702656","Catalog Record")</f>
        <v/>
      </c>
      <c r="AT184">
        <f>HYPERLINK("http://www.worldcat.org/oclc/22596377","WorldCat Record")</f>
        <v/>
      </c>
      <c r="AU184" t="inlineStr">
        <is>
          <t>24587628:eng</t>
        </is>
      </c>
      <c r="AV184" t="inlineStr">
        <is>
          <t>22596377</t>
        </is>
      </c>
      <c r="AW184" t="inlineStr">
        <is>
          <t>991001794779702656</t>
        </is>
      </c>
      <c r="AX184" t="inlineStr">
        <is>
          <t>991001794779702656</t>
        </is>
      </c>
      <c r="AY184" t="inlineStr">
        <is>
          <t>2262403620002656</t>
        </is>
      </c>
      <c r="AZ184" t="inlineStr">
        <is>
          <t>BOOK</t>
        </is>
      </c>
      <c r="BB184" t="inlineStr">
        <is>
          <t>9780688098346</t>
        </is>
      </c>
      <c r="BC184" t="inlineStr">
        <is>
          <t>32285001155562</t>
        </is>
      </c>
      <c r="BD184" t="inlineStr">
        <is>
          <t>893797837</t>
        </is>
      </c>
    </row>
    <row r="185">
      <c r="A185" t="inlineStr">
        <is>
          <t>No</t>
        </is>
      </c>
      <c r="B185" t="inlineStr">
        <is>
          <t>GB121 .H79</t>
        </is>
      </c>
      <c r="C185" t="inlineStr">
        <is>
          <t>0                      GB 0121000H  79</t>
        </is>
      </c>
      <c r="D185" t="inlineStr">
        <is>
          <t>Natural regions of the United States and Canada [by] Charles B. Hunt.</t>
        </is>
      </c>
      <c r="F185" t="inlineStr">
        <is>
          <t>No</t>
        </is>
      </c>
      <c r="G185" t="inlineStr">
        <is>
          <t>1</t>
        </is>
      </c>
      <c r="H185" t="inlineStr">
        <is>
          <t>No</t>
        </is>
      </c>
      <c r="I185" t="inlineStr">
        <is>
          <t>No</t>
        </is>
      </c>
      <c r="J185" t="inlineStr">
        <is>
          <t>0</t>
        </is>
      </c>
      <c r="K185" t="inlineStr">
        <is>
          <t>Hunt, Charles B. (Charles Butler), 1906-1997.</t>
        </is>
      </c>
      <c r="L185" t="inlineStr">
        <is>
          <t>San Francisco, W. H. Freeman [1973, c1974]</t>
        </is>
      </c>
      <c r="M185" t="inlineStr">
        <is>
          <t>1973</t>
        </is>
      </c>
      <c r="O185" t="inlineStr">
        <is>
          <t>eng</t>
        </is>
      </c>
      <c r="P185" t="inlineStr">
        <is>
          <t>cau</t>
        </is>
      </c>
      <c r="Q185" t="inlineStr">
        <is>
          <t>A series of books in geology</t>
        </is>
      </c>
      <c r="R185" t="inlineStr">
        <is>
          <t xml:space="preserve">GB </t>
        </is>
      </c>
      <c r="S185" t="n">
        <v>1</v>
      </c>
      <c r="T185" t="n">
        <v>1</v>
      </c>
      <c r="U185" t="inlineStr">
        <is>
          <t>2008-10-16</t>
        </is>
      </c>
      <c r="V185" t="inlineStr">
        <is>
          <t>2008-10-16</t>
        </is>
      </c>
      <c r="W185" t="inlineStr">
        <is>
          <t>1997-05-22</t>
        </is>
      </c>
      <c r="X185" t="inlineStr">
        <is>
          <t>1997-05-22</t>
        </is>
      </c>
      <c r="Y185" t="n">
        <v>819</v>
      </c>
      <c r="Z185" t="n">
        <v>671</v>
      </c>
      <c r="AA185" t="n">
        <v>756</v>
      </c>
      <c r="AB185" t="n">
        <v>4</v>
      </c>
      <c r="AC185" t="n">
        <v>5</v>
      </c>
      <c r="AD185" t="n">
        <v>17</v>
      </c>
      <c r="AE185" t="n">
        <v>18</v>
      </c>
      <c r="AF185" t="n">
        <v>6</v>
      </c>
      <c r="AG185" t="n">
        <v>6</v>
      </c>
      <c r="AH185" t="n">
        <v>2</v>
      </c>
      <c r="AI185" t="n">
        <v>2</v>
      </c>
      <c r="AJ185" t="n">
        <v>7</v>
      </c>
      <c r="AK185" t="n">
        <v>7</v>
      </c>
      <c r="AL185" t="n">
        <v>3</v>
      </c>
      <c r="AM185" t="n">
        <v>4</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HYPERLINK("https://creighton-primo.hosted.exlibrisgroup.com/primo-explore/search?tab=default_tab&amp;search_scope=EVERYTHING&amp;vid=01CRU&amp;lang=en_US&amp;offset=0&amp;query=any,contains,991003130549702656","Catalog Record")</f>
        <v/>
      </c>
      <c r="AT185">
        <f>HYPERLINK("http://www.worldcat.org/oclc/673490","WorldCat Record")</f>
        <v/>
      </c>
      <c r="AU185" t="inlineStr">
        <is>
          <t>155299046:eng</t>
        </is>
      </c>
      <c r="AV185" t="inlineStr">
        <is>
          <t>673490</t>
        </is>
      </c>
      <c r="AW185" t="inlineStr">
        <is>
          <t>991003130549702656</t>
        </is>
      </c>
      <c r="AX185" t="inlineStr">
        <is>
          <t>991003130549702656</t>
        </is>
      </c>
      <c r="AY185" t="inlineStr">
        <is>
          <t>2268850350002656</t>
        </is>
      </c>
      <c r="AZ185" t="inlineStr">
        <is>
          <t>BOOK</t>
        </is>
      </c>
      <c r="BB185" t="inlineStr">
        <is>
          <t>9780716702559</t>
        </is>
      </c>
      <c r="BC185" t="inlineStr">
        <is>
          <t>32285002693348</t>
        </is>
      </c>
      <c r="BD185" t="inlineStr">
        <is>
          <t>893511584</t>
        </is>
      </c>
    </row>
    <row r="186">
      <c r="A186" t="inlineStr">
        <is>
          <t>No</t>
        </is>
      </c>
      <c r="B186" t="inlineStr">
        <is>
          <t>GB1399 .F55 1988</t>
        </is>
      </c>
      <c r="C186" t="inlineStr">
        <is>
          <t>0                      GB 1399000F  55          1988</t>
        </is>
      </c>
      <c r="D186" t="inlineStr">
        <is>
          <t>Flood geomorphology / edited by Victor R. Baker, R. Craig Kochel, Peter C. Patton.</t>
        </is>
      </c>
      <c r="F186" t="inlineStr">
        <is>
          <t>No</t>
        </is>
      </c>
      <c r="G186" t="inlineStr">
        <is>
          <t>1</t>
        </is>
      </c>
      <c r="H186" t="inlineStr">
        <is>
          <t>No</t>
        </is>
      </c>
      <c r="I186" t="inlineStr">
        <is>
          <t>No</t>
        </is>
      </c>
      <c r="J186" t="inlineStr">
        <is>
          <t>0</t>
        </is>
      </c>
      <c r="L186" t="inlineStr">
        <is>
          <t>New York : Wiley, c1988.</t>
        </is>
      </c>
      <c r="M186" t="inlineStr">
        <is>
          <t>1988</t>
        </is>
      </c>
      <c r="O186" t="inlineStr">
        <is>
          <t>eng</t>
        </is>
      </c>
      <c r="P186" t="inlineStr">
        <is>
          <t>nyu</t>
        </is>
      </c>
      <c r="R186" t="inlineStr">
        <is>
          <t xml:space="preserve">GB </t>
        </is>
      </c>
      <c r="S186" t="n">
        <v>4</v>
      </c>
      <c r="T186" t="n">
        <v>4</v>
      </c>
      <c r="U186" t="inlineStr">
        <is>
          <t>2003-04-03</t>
        </is>
      </c>
      <c r="V186" t="inlineStr">
        <is>
          <t>2003-04-03</t>
        </is>
      </c>
      <c r="W186" t="inlineStr">
        <is>
          <t>1990-09-13</t>
        </is>
      </c>
      <c r="X186" t="inlineStr">
        <is>
          <t>1990-09-13</t>
        </is>
      </c>
      <c r="Y186" t="n">
        <v>574</v>
      </c>
      <c r="Z186" t="n">
        <v>404</v>
      </c>
      <c r="AA186" t="n">
        <v>408</v>
      </c>
      <c r="AB186" t="n">
        <v>3</v>
      </c>
      <c r="AC186" t="n">
        <v>3</v>
      </c>
      <c r="AD186" t="n">
        <v>8</v>
      </c>
      <c r="AE186" t="n">
        <v>8</v>
      </c>
      <c r="AF186" t="n">
        <v>2</v>
      </c>
      <c r="AG186" t="n">
        <v>2</v>
      </c>
      <c r="AH186" t="n">
        <v>2</v>
      </c>
      <c r="AI186" t="n">
        <v>2</v>
      </c>
      <c r="AJ186" t="n">
        <v>5</v>
      </c>
      <c r="AK186" t="n">
        <v>5</v>
      </c>
      <c r="AL186" t="n">
        <v>2</v>
      </c>
      <c r="AM186" t="n">
        <v>2</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HYPERLINK("https://creighton-primo.hosted.exlibrisgroup.com/primo-explore/search?tab=default_tab&amp;search_scope=EVERYTHING&amp;vid=01CRU&amp;lang=en_US&amp;offset=0&amp;query=any,contains,991001151209702656","Catalog Record")</f>
        <v/>
      </c>
      <c r="AT186">
        <f>HYPERLINK("http://www.worldcat.org/oclc/16806147","WorldCat Record")</f>
        <v/>
      </c>
      <c r="AU186" t="inlineStr">
        <is>
          <t>364289128:eng</t>
        </is>
      </c>
      <c r="AV186" t="inlineStr">
        <is>
          <t>16806147</t>
        </is>
      </c>
      <c r="AW186" t="inlineStr">
        <is>
          <t>991001151209702656</t>
        </is>
      </c>
      <c r="AX186" t="inlineStr">
        <is>
          <t>991001151209702656</t>
        </is>
      </c>
      <c r="AY186" t="inlineStr">
        <is>
          <t>2271613620002656</t>
        </is>
      </c>
      <c r="AZ186" t="inlineStr">
        <is>
          <t>BOOK</t>
        </is>
      </c>
      <c r="BB186" t="inlineStr">
        <is>
          <t>9780471625582</t>
        </is>
      </c>
      <c r="BC186" t="inlineStr">
        <is>
          <t>32285000286376</t>
        </is>
      </c>
      <c r="BD186" t="inlineStr">
        <is>
          <t>893426359</t>
        </is>
      </c>
    </row>
    <row r="187">
      <c r="A187" t="inlineStr">
        <is>
          <t>No</t>
        </is>
      </c>
      <c r="B187" t="inlineStr">
        <is>
          <t>GB1399.2 .N37 1988</t>
        </is>
      </c>
      <c r="C187" t="inlineStr">
        <is>
          <t>0                      GB 1399200N  37          1988</t>
        </is>
      </c>
      <c r="D187" t="inlineStr">
        <is>
          <t>Estimating probabilities of extreme floods : methods and recommended research / Committee on Techniques for Estimating Probabilities of Extreme Floods, Water Science and Technology Board, Commission on Physical Sciences, Mathematics, and Resources, National Research Council.</t>
        </is>
      </c>
      <c r="F187" t="inlineStr">
        <is>
          <t>No</t>
        </is>
      </c>
      <c r="G187" t="inlineStr">
        <is>
          <t>1</t>
        </is>
      </c>
      <c r="H187" t="inlineStr">
        <is>
          <t>No</t>
        </is>
      </c>
      <c r="I187" t="inlineStr">
        <is>
          <t>No</t>
        </is>
      </c>
      <c r="J187" t="inlineStr">
        <is>
          <t>0</t>
        </is>
      </c>
      <c r="K187" t="inlineStr">
        <is>
          <t>National Research Council (U.S.). Committee on Techniques for Estimating Probabilities of Extreme Floods.</t>
        </is>
      </c>
      <c r="L187" t="inlineStr">
        <is>
          <t>Washington, D.C. : National Academy Press, 1988.</t>
        </is>
      </c>
      <c r="M187" t="inlineStr">
        <is>
          <t>1988</t>
        </is>
      </c>
      <c r="O187" t="inlineStr">
        <is>
          <t>eng</t>
        </is>
      </c>
      <c r="P187" t="inlineStr">
        <is>
          <t>dcu</t>
        </is>
      </c>
      <c r="R187" t="inlineStr">
        <is>
          <t xml:space="preserve">GB </t>
        </is>
      </c>
      <c r="S187" t="n">
        <v>6</v>
      </c>
      <c r="T187" t="n">
        <v>6</v>
      </c>
      <c r="U187" t="inlineStr">
        <is>
          <t>2003-04-03</t>
        </is>
      </c>
      <c r="V187" t="inlineStr">
        <is>
          <t>2003-04-03</t>
        </is>
      </c>
      <c r="W187" t="inlineStr">
        <is>
          <t>1990-09-13</t>
        </is>
      </c>
      <c r="X187" t="inlineStr">
        <is>
          <t>1990-09-13</t>
        </is>
      </c>
      <c r="Y187" t="n">
        <v>278</v>
      </c>
      <c r="Z187" t="n">
        <v>223</v>
      </c>
      <c r="AA187" t="n">
        <v>230</v>
      </c>
      <c r="AB187" t="n">
        <v>4</v>
      </c>
      <c r="AC187" t="n">
        <v>4</v>
      </c>
      <c r="AD187" t="n">
        <v>4</v>
      </c>
      <c r="AE187" t="n">
        <v>4</v>
      </c>
      <c r="AF187" t="n">
        <v>0</v>
      </c>
      <c r="AG187" t="n">
        <v>0</v>
      </c>
      <c r="AH187" t="n">
        <v>1</v>
      </c>
      <c r="AI187" t="n">
        <v>1</v>
      </c>
      <c r="AJ187" t="n">
        <v>1</v>
      </c>
      <c r="AK187" t="n">
        <v>1</v>
      </c>
      <c r="AL187" t="n">
        <v>2</v>
      </c>
      <c r="AM187" t="n">
        <v>2</v>
      </c>
      <c r="AN187" t="n">
        <v>0</v>
      </c>
      <c r="AO187" t="n">
        <v>0</v>
      </c>
      <c r="AP187" t="inlineStr">
        <is>
          <t>No</t>
        </is>
      </c>
      <c r="AQ187" t="inlineStr">
        <is>
          <t>Yes</t>
        </is>
      </c>
      <c r="AR187">
        <f>HYPERLINK("http://catalog.hathitrust.org/Record/000905573","HathiTrust Record")</f>
        <v/>
      </c>
      <c r="AS187">
        <f>HYPERLINK("https://creighton-primo.hosted.exlibrisgroup.com/primo-explore/search?tab=default_tab&amp;search_scope=EVERYTHING&amp;vid=01CRU&amp;lang=en_US&amp;offset=0&amp;query=any,contains,991001200519702656","Catalog Record")</f>
        <v/>
      </c>
      <c r="AT187">
        <f>HYPERLINK("http://www.worldcat.org/oclc/17300906","WorldCat Record")</f>
        <v/>
      </c>
      <c r="AU187" t="inlineStr">
        <is>
          <t>4575203110:eng</t>
        </is>
      </c>
      <c r="AV187" t="inlineStr">
        <is>
          <t>17300906</t>
        </is>
      </c>
      <c r="AW187" t="inlineStr">
        <is>
          <t>991001200519702656</t>
        </is>
      </c>
      <c r="AX187" t="inlineStr">
        <is>
          <t>991001200519702656</t>
        </is>
      </c>
      <c r="AY187" t="inlineStr">
        <is>
          <t>2267790990002656</t>
        </is>
      </c>
      <c r="AZ187" t="inlineStr">
        <is>
          <t>BOOK</t>
        </is>
      </c>
      <c r="BB187" t="inlineStr">
        <is>
          <t>9780309037914</t>
        </is>
      </c>
      <c r="BC187" t="inlineStr">
        <is>
          <t>32285000286384</t>
        </is>
      </c>
      <c r="BD187" t="inlineStr">
        <is>
          <t>893334144</t>
        </is>
      </c>
    </row>
    <row r="188">
      <c r="A188" t="inlineStr">
        <is>
          <t>No</t>
        </is>
      </c>
      <c r="B188" t="inlineStr">
        <is>
          <t>GB1399.4.M72 G74 1996</t>
        </is>
      </c>
      <c r="C188" t="inlineStr">
        <is>
          <t>0                      GB 1399400M  72                 G  74          1996</t>
        </is>
      </c>
      <c r="D188" t="inlineStr">
        <is>
          <t>The Great flood of 1993 : causes, impacts, and responses / edited by Stanley A. Changnon.</t>
        </is>
      </c>
      <c r="F188" t="inlineStr">
        <is>
          <t>No</t>
        </is>
      </c>
      <c r="G188" t="inlineStr">
        <is>
          <t>1</t>
        </is>
      </c>
      <c r="H188" t="inlineStr">
        <is>
          <t>No</t>
        </is>
      </c>
      <c r="I188" t="inlineStr">
        <is>
          <t>No</t>
        </is>
      </c>
      <c r="J188" t="inlineStr">
        <is>
          <t>0</t>
        </is>
      </c>
      <c r="L188" t="inlineStr">
        <is>
          <t>Boulder, CO : Westview Press, c1996.</t>
        </is>
      </c>
      <c r="M188" t="inlineStr">
        <is>
          <t>1996</t>
        </is>
      </c>
      <c r="O188" t="inlineStr">
        <is>
          <t>eng</t>
        </is>
      </c>
      <c r="P188" t="inlineStr">
        <is>
          <t>cou</t>
        </is>
      </c>
      <c r="R188" t="inlineStr">
        <is>
          <t xml:space="preserve">GB </t>
        </is>
      </c>
      <c r="S188" t="n">
        <v>3</v>
      </c>
      <c r="T188" t="n">
        <v>3</v>
      </c>
      <c r="U188" t="inlineStr">
        <is>
          <t>1997-05-15</t>
        </is>
      </c>
      <c r="V188" t="inlineStr">
        <is>
          <t>1997-05-15</t>
        </is>
      </c>
      <c r="W188" t="inlineStr">
        <is>
          <t>1997-04-23</t>
        </is>
      </c>
      <c r="X188" t="inlineStr">
        <is>
          <t>1997-04-23</t>
        </is>
      </c>
      <c r="Y188" t="n">
        <v>550</v>
      </c>
      <c r="Z188" t="n">
        <v>501</v>
      </c>
      <c r="AA188" t="n">
        <v>522</v>
      </c>
      <c r="AB188" t="n">
        <v>9</v>
      </c>
      <c r="AC188" t="n">
        <v>9</v>
      </c>
      <c r="AD188" t="n">
        <v>18</v>
      </c>
      <c r="AE188" t="n">
        <v>18</v>
      </c>
      <c r="AF188" t="n">
        <v>3</v>
      </c>
      <c r="AG188" t="n">
        <v>3</v>
      </c>
      <c r="AH188" t="n">
        <v>3</v>
      </c>
      <c r="AI188" t="n">
        <v>3</v>
      </c>
      <c r="AJ188" t="n">
        <v>7</v>
      </c>
      <c r="AK188" t="n">
        <v>7</v>
      </c>
      <c r="AL188" t="n">
        <v>7</v>
      </c>
      <c r="AM188" t="n">
        <v>7</v>
      </c>
      <c r="AN188" t="n">
        <v>0</v>
      </c>
      <c r="AO188" t="n">
        <v>0</v>
      </c>
      <c r="AP188" t="inlineStr">
        <is>
          <t>No</t>
        </is>
      </c>
      <c r="AQ188" t="inlineStr">
        <is>
          <t>Yes</t>
        </is>
      </c>
      <c r="AR188">
        <f>HYPERLINK("http://catalog.hathitrust.org/Record/003057274","HathiTrust Record")</f>
        <v/>
      </c>
      <c r="AS188">
        <f>HYPERLINK("https://creighton-primo.hosted.exlibrisgroup.com/primo-explore/search?tab=default_tab&amp;search_scope=EVERYTHING&amp;vid=01CRU&amp;lang=en_US&amp;offset=0&amp;query=any,contains,991002593689702656","Catalog Record")</f>
        <v/>
      </c>
      <c r="AT188">
        <f>HYPERLINK("http://www.worldcat.org/oclc/33971701","WorldCat Record")</f>
        <v/>
      </c>
      <c r="AU188" t="inlineStr">
        <is>
          <t>837038446:eng</t>
        </is>
      </c>
      <c r="AV188" t="inlineStr">
        <is>
          <t>33971701</t>
        </is>
      </c>
      <c r="AW188" t="inlineStr">
        <is>
          <t>991002593689702656</t>
        </is>
      </c>
      <c r="AX188" t="inlineStr">
        <is>
          <t>991002593689702656</t>
        </is>
      </c>
      <c r="AY188" t="inlineStr">
        <is>
          <t>2266366610002656</t>
        </is>
      </c>
      <c r="AZ188" t="inlineStr">
        <is>
          <t>BOOK</t>
        </is>
      </c>
      <c r="BB188" t="inlineStr">
        <is>
          <t>9780813326191</t>
        </is>
      </c>
      <c r="BC188" t="inlineStr">
        <is>
          <t>32285002540291</t>
        </is>
      </c>
      <c r="BD188" t="inlineStr">
        <is>
          <t>893898954</t>
        </is>
      </c>
    </row>
    <row r="189">
      <c r="A189" t="inlineStr">
        <is>
          <t>No</t>
        </is>
      </c>
      <c r="B189" t="inlineStr">
        <is>
          <t>GB1399.4.M86 F56 1952</t>
        </is>
      </c>
      <c r="C189" t="inlineStr">
        <is>
          <t>0                      GB 1399400M  86                 F  56          1952</t>
        </is>
      </c>
      <c r="D189" t="inlineStr">
        <is>
          <t>Flood pictorial : Missouri River, 1952 ; Sioux City, Omaha, Kansas City ... / photo credits [by] Corps of Eng., Omaha District and Kansas City District, Vic Warrington ... [et al.]</t>
        </is>
      </c>
      <c r="F189" t="inlineStr">
        <is>
          <t>No</t>
        </is>
      </c>
      <c r="G189" t="inlineStr">
        <is>
          <t>1</t>
        </is>
      </c>
      <c r="H189" t="inlineStr">
        <is>
          <t>No</t>
        </is>
      </c>
      <c r="I189" t="inlineStr">
        <is>
          <t>No</t>
        </is>
      </c>
      <c r="J189" t="inlineStr">
        <is>
          <t>0</t>
        </is>
      </c>
      <c r="L189" t="inlineStr">
        <is>
          <t>Kansas City, Mo. : Warner Enterprises, [1952?]</t>
        </is>
      </c>
      <c r="M189" t="inlineStr">
        <is>
          <t>1952</t>
        </is>
      </c>
      <c r="O189" t="inlineStr">
        <is>
          <t>eng</t>
        </is>
      </c>
      <c r="P189" t="inlineStr">
        <is>
          <t>mou</t>
        </is>
      </c>
      <c r="R189" t="inlineStr">
        <is>
          <t xml:space="preserve">GB </t>
        </is>
      </c>
      <c r="S189" t="n">
        <v>6</v>
      </c>
      <c r="T189" t="n">
        <v>6</v>
      </c>
      <c r="U189" t="inlineStr">
        <is>
          <t>2006-04-09</t>
        </is>
      </c>
      <c r="V189" t="inlineStr">
        <is>
          <t>2006-04-09</t>
        </is>
      </c>
      <c r="W189" t="inlineStr">
        <is>
          <t>1998-12-21</t>
        </is>
      </c>
      <c r="X189" t="inlineStr">
        <is>
          <t>1998-12-21</t>
        </is>
      </c>
      <c r="Y189" t="n">
        <v>5</v>
      </c>
      <c r="Z189" t="n">
        <v>5</v>
      </c>
      <c r="AA189" t="n">
        <v>6</v>
      </c>
      <c r="AB189" t="n">
        <v>3</v>
      </c>
      <c r="AC189" t="n">
        <v>3</v>
      </c>
      <c r="AD189" t="n">
        <v>0</v>
      </c>
      <c r="AE189" t="n">
        <v>0</v>
      </c>
      <c r="AF189" t="n">
        <v>0</v>
      </c>
      <c r="AG189" t="n">
        <v>0</v>
      </c>
      <c r="AH189" t="n">
        <v>0</v>
      </c>
      <c r="AI189" t="n">
        <v>0</v>
      </c>
      <c r="AJ189" t="n">
        <v>0</v>
      </c>
      <c r="AK189" t="n">
        <v>0</v>
      </c>
      <c r="AL189" t="n">
        <v>0</v>
      </c>
      <c r="AM189" t="n">
        <v>0</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HYPERLINK("https://creighton-primo.hosted.exlibrisgroup.com/primo-explore/search?tab=default_tab&amp;search_scope=EVERYTHING&amp;vid=01CRU&amp;lang=en_US&amp;offset=0&amp;query=any,contains,991002996289702656","Catalog Record")</f>
        <v/>
      </c>
      <c r="AT189">
        <f>HYPERLINK("http://www.worldcat.org/oclc/40518749","WorldCat Record")</f>
        <v/>
      </c>
      <c r="AU189" t="inlineStr">
        <is>
          <t>25453896:eng</t>
        </is>
      </c>
      <c r="AV189" t="inlineStr">
        <is>
          <t>40518749</t>
        </is>
      </c>
      <c r="AW189" t="inlineStr">
        <is>
          <t>991002996289702656</t>
        </is>
      </c>
      <c r="AX189" t="inlineStr">
        <is>
          <t>991002996289702656</t>
        </is>
      </c>
      <c r="AY189" t="inlineStr">
        <is>
          <t>2257124500002656</t>
        </is>
      </c>
      <c r="AZ189" t="inlineStr">
        <is>
          <t>BOOK</t>
        </is>
      </c>
      <c r="BC189" t="inlineStr">
        <is>
          <t>32285003219549</t>
        </is>
      </c>
      <c r="BD189" t="inlineStr">
        <is>
          <t>893227562</t>
        </is>
      </c>
    </row>
    <row r="190">
      <c r="A190" t="inlineStr">
        <is>
          <t>No</t>
        </is>
      </c>
      <c r="B190" t="inlineStr">
        <is>
          <t>GB165 .B7</t>
        </is>
      </c>
      <c r="C190" t="inlineStr">
        <is>
          <t>0                      GB 0165000B  7</t>
        </is>
      </c>
      <c r="D190" t="inlineStr">
        <is>
          <t>The Andes of southern Peru : geographical reconnaissance along the seventy-third meridian / by Isaiah Bowman.</t>
        </is>
      </c>
      <c r="F190" t="inlineStr">
        <is>
          <t>No</t>
        </is>
      </c>
      <c r="G190" t="inlineStr">
        <is>
          <t>1</t>
        </is>
      </c>
      <c r="H190" t="inlineStr">
        <is>
          <t>No</t>
        </is>
      </c>
      <c r="I190" t="inlineStr">
        <is>
          <t>No</t>
        </is>
      </c>
      <c r="J190" t="inlineStr">
        <is>
          <t>0</t>
        </is>
      </c>
      <c r="K190" t="inlineStr">
        <is>
          <t>Bowman, Isaiah, 1878-1950.</t>
        </is>
      </c>
      <c r="L190" t="inlineStr">
        <is>
          <t>[New York] : Pub. for the American Geographical Society of New York by H. Holt and Company, 1916.</t>
        </is>
      </c>
      <c r="M190" t="inlineStr">
        <is>
          <t>1916</t>
        </is>
      </c>
      <c r="O190" t="inlineStr">
        <is>
          <t>eng</t>
        </is>
      </c>
      <c r="P190" t="inlineStr">
        <is>
          <t>nyu</t>
        </is>
      </c>
      <c r="R190" t="inlineStr">
        <is>
          <t xml:space="preserve">GB </t>
        </is>
      </c>
      <c r="S190" t="n">
        <v>1</v>
      </c>
      <c r="T190" t="n">
        <v>1</v>
      </c>
      <c r="U190" t="inlineStr">
        <is>
          <t>2007-09-06</t>
        </is>
      </c>
      <c r="V190" t="inlineStr">
        <is>
          <t>2007-09-06</t>
        </is>
      </c>
      <c r="W190" t="inlineStr">
        <is>
          <t>1993-04-13</t>
        </is>
      </c>
      <c r="X190" t="inlineStr">
        <is>
          <t>1993-04-13</t>
        </is>
      </c>
      <c r="Y190" t="n">
        <v>408</v>
      </c>
      <c r="Z190" t="n">
        <v>357</v>
      </c>
      <c r="AA190" t="n">
        <v>582</v>
      </c>
      <c r="AB190" t="n">
        <v>2</v>
      </c>
      <c r="AC190" t="n">
        <v>5</v>
      </c>
      <c r="AD190" t="n">
        <v>8</v>
      </c>
      <c r="AE190" t="n">
        <v>22</v>
      </c>
      <c r="AF190" t="n">
        <v>2</v>
      </c>
      <c r="AG190" t="n">
        <v>7</v>
      </c>
      <c r="AH190" t="n">
        <v>2</v>
      </c>
      <c r="AI190" t="n">
        <v>7</v>
      </c>
      <c r="AJ190" t="n">
        <v>6</v>
      </c>
      <c r="AK190" t="n">
        <v>12</v>
      </c>
      <c r="AL190" t="n">
        <v>1</v>
      </c>
      <c r="AM190" t="n">
        <v>4</v>
      </c>
      <c r="AN190" t="n">
        <v>0</v>
      </c>
      <c r="AO190" t="n">
        <v>0</v>
      </c>
      <c r="AP190" t="inlineStr">
        <is>
          <t>Yes</t>
        </is>
      </c>
      <c r="AQ190" t="inlineStr">
        <is>
          <t>No</t>
        </is>
      </c>
      <c r="AR190">
        <f>HYPERLINK("http://catalog.hathitrust.org/Record/001631426","HathiTrust Record")</f>
        <v/>
      </c>
      <c r="AS190">
        <f>HYPERLINK("https://creighton-primo.hosted.exlibrisgroup.com/primo-explore/search?tab=default_tab&amp;search_scope=EVERYTHING&amp;vid=01CRU&amp;lang=en_US&amp;offset=0&amp;query=any,contains,991003816199702656","Catalog Record")</f>
        <v/>
      </c>
      <c r="AT190">
        <f>HYPERLINK("http://www.worldcat.org/oclc/1549314","WorldCat Record")</f>
        <v/>
      </c>
      <c r="AU190" t="inlineStr">
        <is>
          <t>14065914:eng</t>
        </is>
      </c>
      <c r="AV190" t="inlineStr">
        <is>
          <t>1549314</t>
        </is>
      </c>
      <c r="AW190" t="inlineStr">
        <is>
          <t>991003816199702656</t>
        </is>
      </c>
      <c r="AX190" t="inlineStr">
        <is>
          <t>991003816199702656</t>
        </is>
      </c>
      <c r="AY190" t="inlineStr">
        <is>
          <t>2270815520002656</t>
        </is>
      </c>
      <c r="AZ190" t="inlineStr">
        <is>
          <t>BOOK</t>
        </is>
      </c>
      <c r="BC190" t="inlineStr">
        <is>
          <t>32285001617165</t>
        </is>
      </c>
      <c r="BD190" t="inlineStr">
        <is>
          <t>893531620</t>
        </is>
      </c>
    </row>
    <row r="191">
      <c r="A191" t="inlineStr">
        <is>
          <t>No</t>
        </is>
      </c>
      <c r="B191" t="inlineStr">
        <is>
          <t>GB2401.72.R42 H35 1985</t>
        </is>
      </c>
      <c r="C191" t="inlineStr">
        <is>
          <t>0                      GB 2401720R  42                 H  35          1985</t>
        </is>
      </c>
      <c r="D191" t="inlineStr">
        <is>
          <t>Remote sensing of ice and snow / Dorothy K. Hall, Jaroslav Martinec.</t>
        </is>
      </c>
      <c r="F191" t="inlineStr">
        <is>
          <t>No</t>
        </is>
      </c>
      <c r="G191" t="inlineStr">
        <is>
          <t>1</t>
        </is>
      </c>
      <c r="H191" t="inlineStr">
        <is>
          <t>No</t>
        </is>
      </c>
      <c r="I191" t="inlineStr">
        <is>
          <t>No</t>
        </is>
      </c>
      <c r="J191" t="inlineStr">
        <is>
          <t>0</t>
        </is>
      </c>
      <c r="K191" t="inlineStr">
        <is>
          <t>Hall, Dorothy K., 1952-</t>
        </is>
      </c>
      <c r="L191" t="inlineStr">
        <is>
          <t>London ; New York : Chapman and Hall, 1985.</t>
        </is>
      </c>
      <c r="M191" t="inlineStr">
        <is>
          <t>1985</t>
        </is>
      </c>
      <c r="O191" t="inlineStr">
        <is>
          <t>eng</t>
        </is>
      </c>
      <c r="P191" t="inlineStr">
        <is>
          <t>enk</t>
        </is>
      </c>
      <c r="R191" t="inlineStr">
        <is>
          <t xml:space="preserve">GB </t>
        </is>
      </c>
      <c r="S191" t="n">
        <v>1</v>
      </c>
      <c r="T191" t="n">
        <v>1</v>
      </c>
      <c r="U191" t="inlineStr">
        <is>
          <t>2004-09-03</t>
        </is>
      </c>
      <c r="V191" t="inlineStr">
        <is>
          <t>2004-09-03</t>
        </is>
      </c>
      <c r="W191" t="inlineStr">
        <is>
          <t>1990-09-13</t>
        </is>
      </c>
      <c r="X191" t="inlineStr">
        <is>
          <t>1990-09-13</t>
        </is>
      </c>
      <c r="Y191" t="n">
        <v>341</v>
      </c>
      <c r="Z191" t="n">
        <v>227</v>
      </c>
      <c r="AA191" t="n">
        <v>241</v>
      </c>
      <c r="AB191" t="n">
        <v>3</v>
      </c>
      <c r="AC191" t="n">
        <v>3</v>
      </c>
      <c r="AD191" t="n">
        <v>3</v>
      </c>
      <c r="AE191" t="n">
        <v>4</v>
      </c>
      <c r="AF191" t="n">
        <v>0</v>
      </c>
      <c r="AG191" t="n">
        <v>1</v>
      </c>
      <c r="AH191" t="n">
        <v>1</v>
      </c>
      <c r="AI191" t="n">
        <v>1</v>
      </c>
      <c r="AJ191" t="n">
        <v>0</v>
      </c>
      <c r="AK191" t="n">
        <v>1</v>
      </c>
      <c r="AL191" t="n">
        <v>2</v>
      </c>
      <c r="AM191" t="n">
        <v>2</v>
      </c>
      <c r="AN191" t="n">
        <v>0</v>
      </c>
      <c r="AO191" t="n">
        <v>0</v>
      </c>
      <c r="AP191" t="inlineStr">
        <is>
          <t>No</t>
        </is>
      </c>
      <c r="AQ191" t="inlineStr">
        <is>
          <t>Yes</t>
        </is>
      </c>
      <c r="AR191">
        <f>HYPERLINK("http://catalog.hathitrust.org/Record/000575769","HathiTrust Record")</f>
        <v/>
      </c>
      <c r="AS191">
        <f>HYPERLINK("https://creighton-primo.hosted.exlibrisgroup.com/primo-explore/search?tab=default_tab&amp;search_scope=EVERYTHING&amp;vid=01CRU&amp;lang=en_US&amp;offset=0&amp;query=any,contains,991000636269702656","Catalog Record")</f>
        <v/>
      </c>
      <c r="AT191">
        <f>HYPERLINK("http://www.worldcat.org/oclc/12081476","WorldCat Record")</f>
        <v/>
      </c>
      <c r="AU191" t="inlineStr">
        <is>
          <t>141325973:eng</t>
        </is>
      </c>
      <c r="AV191" t="inlineStr">
        <is>
          <t>12081476</t>
        </is>
      </c>
      <c r="AW191" t="inlineStr">
        <is>
          <t>991000636269702656</t>
        </is>
      </c>
      <c r="AX191" t="inlineStr">
        <is>
          <t>991000636269702656</t>
        </is>
      </c>
      <c r="AY191" t="inlineStr">
        <is>
          <t>2266222510002656</t>
        </is>
      </c>
      <c r="AZ191" t="inlineStr">
        <is>
          <t>BOOK</t>
        </is>
      </c>
      <c r="BB191" t="inlineStr">
        <is>
          <t>9780412259104</t>
        </is>
      </c>
      <c r="BC191" t="inlineStr">
        <is>
          <t>32285000286434</t>
        </is>
      </c>
      <c r="BD191" t="inlineStr">
        <is>
          <t>893333641</t>
        </is>
      </c>
    </row>
    <row r="192">
      <c r="A192" t="inlineStr">
        <is>
          <t>No</t>
        </is>
      </c>
      <c r="B192" t="inlineStr">
        <is>
          <t>GB2401.72.R42 R44 2005</t>
        </is>
      </c>
      <c r="C192" t="inlineStr">
        <is>
          <t>0                      GB 2401720R  42                 R  44          2005</t>
        </is>
      </c>
      <c r="D192" t="inlineStr">
        <is>
          <t>Remote sensing in northern hydrology : measuring environmental change / Claude R. Duguay, Alain Pietroniro, editors.</t>
        </is>
      </c>
      <c r="F192" t="inlineStr">
        <is>
          <t>No</t>
        </is>
      </c>
      <c r="G192" t="inlineStr">
        <is>
          <t>1</t>
        </is>
      </c>
      <c r="H192" t="inlineStr">
        <is>
          <t>No</t>
        </is>
      </c>
      <c r="I192" t="inlineStr">
        <is>
          <t>No</t>
        </is>
      </c>
      <c r="J192" t="inlineStr">
        <is>
          <t>0</t>
        </is>
      </c>
      <c r="L192" t="inlineStr">
        <is>
          <t>Washington, DC : American Geophysical Union, c2005.</t>
        </is>
      </c>
      <c r="M192" t="inlineStr">
        <is>
          <t>2005</t>
        </is>
      </c>
      <c r="O192" t="inlineStr">
        <is>
          <t>eng</t>
        </is>
      </c>
      <c r="P192" t="inlineStr">
        <is>
          <t>dcu</t>
        </is>
      </c>
      <c r="Q192" t="inlineStr">
        <is>
          <t>Geophysical monograph ; 163</t>
        </is>
      </c>
      <c r="R192" t="inlineStr">
        <is>
          <t xml:space="preserve">GB </t>
        </is>
      </c>
      <c r="S192" t="n">
        <v>1</v>
      </c>
      <c r="T192" t="n">
        <v>1</v>
      </c>
      <c r="U192" t="inlineStr">
        <is>
          <t>2006-05-15</t>
        </is>
      </c>
      <c r="V192" t="inlineStr">
        <is>
          <t>2006-05-15</t>
        </is>
      </c>
      <c r="W192" t="inlineStr">
        <is>
          <t>2006-03-07</t>
        </is>
      </c>
      <c r="X192" t="inlineStr">
        <is>
          <t>2006-03-07</t>
        </is>
      </c>
      <c r="Y192" t="n">
        <v>231</v>
      </c>
      <c r="Z192" t="n">
        <v>179</v>
      </c>
      <c r="AA192" t="n">
        <v>235</v>
      </c>
      <c r="AB192" t="n">
        <v>2</v>
      </c>
      <c r="AC192" t="n">
        <v>2</v>
      </c>
      <c r="AD192" t="n">
        <v>5</v>
      </c>
      <c r="AE192" t="n">
        <v>5</v>
      </c>
      <c r="AF192" t="n">
        <v>2</v>
      </c>
      <c r="AG192" t="n">
        <v>2</v>
      </c>
      <c r="AH192" t="n">
        <v>0</v>
      </c>
      <c r="AI192" t="n">
        <v>0</v>
      </c>
      <c r="AJ192" t="n">
        <v>2</v>
      </c>
      <c r="AK192" t="n">
        <v>2</v>
      </c>
      <c r="AL192" t="n">
        <v>1</v>
      </c>
      <c r="AM192" t="n">
        <v>1</v>
      </c>
      <c r="AN192" t="n">
        <v>0</v>
      </c>
      <c r="AO192" t="n">
        <v>0</v>
      </c>
      <c r="AP192" t="inlineStr">
        <is>
          <t>No</t>
        </is>
      </c>
      <c r="AQ192" t="inlineStr">
        <is>
          <t>Yes</t>
        </is>
      </c>
      <c r="AR192">
        <f>HYPERLINK("http://catalog.hathitrust.org/Record/005126315","HathiTrust Record")</f>
        <v/>
      </c>
      <c r="AS192">
        <f>HYPERLINK("https://creighton-primo.hosted.exlibrisgroup.com/primo-explore/search?tab=default_tab&amp;search_scope=EVERYTHING&amp;vid=01CRU&amp;lang=en_US&amp;offset=0&amp;query=any,contains,991004762159702656","Catalog Record")</f>
        <v/>
      </c>
      <c r="AT192">
        <f>HYPERLINK("http://www.worldcat.org/oclc/62281761","WorldCat Record")</f>
        <v/>
      </c>
      <c r="AU192" t="inlineStr">
        <is>
          <t>792375768:eng</t>
        </is>
      </c>
      <c r="AV192" t="inlineStr">
        <is>
          <t>62281761</t>
        </is>
      </c>
      <c r="AW192" t="inlineStr">
        <is>
          <t>991004762159702656</t>
        </is>
      </c>
      <c r="AX192" t="inlineStr">
        <is>
          <t>991004762159702656</t>
        </is>
      </c>
      <c r="AY192" t="inlineStr">
        <is>
          <t>2258295280002656</t>
        </is>
      </c>
      <c r="AZ192" t="inlineStr">
        <is>
          <t>BOOK</t>
        </is>
      </c>
      <c r="BB192" t="inlineStr">
        <is>
          <t>9780875904283</t>
        </is>
      </c>
      <c r="BC192" t="inlineStr">
        <is>
          <t>32285005187132</t>
        </is>
      </c>
      <c r="BD192" t="inlineStr">
        <is>
          <t>893619062</t>
        </is>
      </c>
    </row>
    <row r="193">
      <c r="A193" t="inlineStr">
        <is>
          <t>No</t>
        </is>
      </c>
      <c r="B193" t="inlineStr">
        <is>
          <t>GB2537 .G58</t>
        </is>
      </c>
      <c r="C193" t="inlineStr">
        <is>
          <t>0                      GB 2537000G  58</t>
        </is>
      </c>
      <c r="D193" t="inlineStr">
        <is>
          <t>Glaciers in China.</t>
        </is>
      </c>
      <c r="F193" t="inlineStr">
        <is>
          <t>No</t>
        </is>
      </c>
      <c r="G193" t="inlineStr">
        <is>
          <t>1</t>
        </is>
      </c>
      <c r="H193" t="inlineStr">
        <is>
          <t>No</t>
        </is>
      </c>
      <c r="I193" t="inlineStr">
        <is>
          <t>No</t>
        </is>
      </c>
      <c r="J193" t="inlineStr">
        <is>
          <t>0</t>
        </is>
      </c>
      <c r="L193" t="inlineStr">
        <is>
          <t>Shanghai : Shanghai Scientific and Technical Publishers, 1980.</t>
        </is>
      </c>
      <c r="M193" t="inlineStr">
        <is>
          <t>1980</t>
        </is>
      </c>
      <c r="O193" t="inlineStr">
        <is>
          <t>eng</t>
        </is>
      </c>
      <c r="P193" t="inlineStr">
        <is>
          <t xml:space="preserve">cc </t>
        </is>
      </c>
      <c r="R193" t="inlineStr">
        <is>
          <t xml:space="preserve">GB </t>
        </is>
      </c>
      <c r="S193" t="n">
        <v>1</v>
      </c>
      <c r="T193" t="n">
        <v>1</v>
      </c>
      <c r="U193" t="inlineStr">
        <is>
          <t>2002-04-09</t>
        </is>
      </c>
      <c r="V193" t="inlineStr">
        <is>
          <t>2002-04-09</t>
        </is>
      </c>
      <c r="W193" t="inlineStr">
        <is>
          <t>1990-09-13</t>
        </is>
      </c>
      <c r="X193" t="inlineStr">
        <is>
          <t>1990-09-13</t>
        </is>
      </c>
      <c r="Y193" t="n">
        <v>86</v>
      </c>
      <c r="Z193" t="n">
        <v>59</v>
      </c>
      <c r="AA193" t="n">
        <v>59</v>
      </c>
      <c r="AB193" t="n">
        <v>2</v>
      </c>
      <c r="AC193" t="n">
        <v>2</v>
      </c>
      <c r="AD193" t="n">
        <v>1</v>
      </c>
      <c r="AE193" t="n">
        <v>1</v>
      </c>
      <c r="AF193" t="n">
        <v>0</v>
      </c>
      <c r="AG193" t="n">
        <v>0</v>
      </c>
      <c r="AH193" t="n">
        <v>0</v>
      </c>
      <c r="AI193" t="n">
        <v>0</v>
      </c>
      <c r="AJ193" t="n">
        <v>0</v>
      </c>
      <c r="AK193" t="n">
        <v>0</v>
      </c>
      <c r="AL193" t="n">
        <v>1</v>
      </c>
      <c r="AM193" t="n">
        <v>1</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HYPERLINK("https://creighton-primo.hosted.exlibrisgroup.com/primo-explore/search?tab=default_tab&amp;search_scope=EVERYTHING&amp;vid=01CRU&amp;lang=en_US&amp;offset=0&amp;query=any,contains,991005109459702656","Catalog Record")</f>
        <v/>
      </c>
      <c r="AT193">
        <f>HYPERLINK("http://www.worldcat.org/oclc/13426503","WorldCat Record")</f>
        <v/>
      </c>
      <c r="AU193" t="inlineStr">
        <is>
          <t>54436791:eng</t>
        </is>
      </c>
      <c r="AV193" t="inlineStr">
        <is>
          <t>13426503</t>
        </is>
      </c>
      <c r="AW193" t="inlineStr">
        <is>
          <t>991005109459702656</t>
        </is>
      </c>
      <c r="AX193" t="inlineStr">
        <is>
          <t>991005109459702656</t>
        </is>
      </c>
      <c r="AY193" t="inlineStr">
        <is>
          <t>2263298450002656</t>
        </is>
      </c>
      <c r="AZ193" t="inlineStr">
        <is>
          <t>BOOK</t>
        </is>
      </c>
      <c r="BC193" t="inlineStr">
        <is>
          <t>32285000286459</t>
        </is>
      </c>
      <c r="BD193" t="inlineStr">
        <is>
          <t>893719783</t>
        </is>
      </c>
    </row>
    <row r="194">
      <c r="A194" t="inlineStr">
        <is>
          <t>No</t>
        </is>
      </c>
      <c r="B194" t="inlineStr">
        <is>
          <t>GB2601.72.R42 S45 2004</t>
        </is>
      </c>
      <c r="C194" t="inlineStr">
        <is>
          <t>0                      GB 2601720R  42                 S  45          2004</t>
        </is>
      </c>
      <c r="D194" t="inlineStr">
        <is>
          <t>Remote sensing in snow hydrology : runoff modelling, effect of climate change / Klaus Seidel and Jaroslav Martinec.</t>
        </is>
      </c>
      <c r="F194" t="inlineStr">
        <is>
          <t>No</t>
        </is>
      </c>
      <c r="G194" t="inlineStr">
        <is>
          <t>1</t>
        </is>
      </c>
      <c r="H194" t="inlineStr">
        <is>
          <t>No</t>
        </is>
      </c>
      <c r="I194" t="inlineStr">
        <is>
          <t>No</t>
        </is>
      </c>
      <c r="J194" t="inlineStr">
        <is>
          <t>0</t>
        </is>
      </c>
      <c r="K194" t="inlineStr">
        <is>
          <t>Seidel, Klaus, 1937-</t>
        </is>
      </c>
      <c r="L194" t="inlineStr">
        <is>
          <t>Berlin ; New York : Springer ; Chichester, UK : Praxis Pub., c2004.</t>
        </is>
      </c>
      <c r="M194" t="inlineStr">
        <is>
          <t>2004</t>
        </is>
      </c>
      <c r="O194" t="inlineStr">
        <is>
          <t>eng</t>
        </is>
      </c>
      <c r="P194" t="inlineStr">
        <is>
          <t xml:space="preserve">gw </t>
        </is>
      </c>
      <c r="Q194" t="inlineStr">
        <is>
          <t>Springer-Praxis books in geophysical sciences</t>
        </is>
      </c>
      <c r="R194" t="inlineStr">
        <is>
          <t xml:space="preserve">GB </t>
        </is>
      </c>
      <c r="S194" t="n">
        <v>1</v>
      </c>
      <c r="T194" t="n">
        <v>1</v>
      </c>
      <c r="U194" t="inlineStr">
        <is>
          <t>2008-02-04</t>
        </is>
      </c>
      <c r="V194" t="inlineStr">
        <is>
          <t>2008-02-04</t>
        </is>
      </c>
      <c r="W194" t="inlineStr">
        <is>
          <t>2008-02-04</t>
        </is>
      </c>
      <c r="X194" t="inlineStr">
        <is>
          <t>2008-02-04</t>
        </is>
      </c>
      <c r="Y194" t="n">
        <v>155</v>
      </c>
      <c r="Z194" t="n">
        <v>109</v>
      </c>
      <c r="AA194" t="n">
        <v>111</v>
      </c>
      <c r="AB194" t="n">
        <v>3</v>
      </c>
      <c r="AC194" t="n">
        <v>3</v>
      </c>
      <c r="AD194" t="n">
        <v>2</v>
      </c>
      <c r="AE194" t="n">
        <v>2</v>
      </c>
      <c r="AF194" t="n">
        <v>0</v>
      </c>
      <c r="AG194" t="n">
        <v>0</v>
      </c>
      <c r="AH194" t="n">
        <v>0</v>
      </c>
      <c r="AI194" t="n">
        <v>0</v>
      </c>
      <c r="AJ194" t="n">
        <v>0</v>
      </c>
      <c r="AK194" t="n">
        <v>0</v>
      </c>
      <c r="AL194" t="n">
        <v>2</v>
      </c>
      <c r="AM194" t="n">
        <v>2</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HYPERLINK("https://creighton-primo.hosted.exlibrisgroup.com/primo-explore/search?tab=default_tab&amp;search_scope=EVERYTHING&amp;vid=01CRU&amp;lang=en_US&amp;offset=0&amp;query=any,contains,991005177009702656","Catalog Record")</f>
        <v/>
      </c>
      <c r="AT194">
        <f>HYPERLINK("http://www.worldcat.org/oclc/53840094","WorldCat Record")</f>
        <v/>
      </c>
      <c r="AU194" t="inlineStr">
        <is>
          <t>312453526:eng</t>
        </is>
      </c>
      <c r="AV194" t="inlineStr">
        <is>
          <t>53840094</t>
        </is>
      </c>
      <c r="AW194" t="inlineStr">
        <is>
          <t>991005177009702656</t>
        </is>
      </c>
      <c r="AX194" t="inlineStr">
        <is>
          <t>991005177009702656</t>
        </is>
      </c>
      <c r="AY194" t="inlineStr">
        <is>
          <t>2261563020002656</t>
        </is>
      </c>
      <c r="AZ194" t="inlineStr">
        <is>
          <t>BOOK</t>
        </is>
      </c>
      <c r="BB194" t="inlineStr">
        <is>
          <t>9783540408802</t>
        </is>
      </c>
      <c r="BC194" t="inlineStr">
        <is>
          <t>32285005392021</t>
        </is>
      </c>
      <c r="BD194" t="inlineStr">
        <is>
          <t>893600756</t>
        </is>
      </c>
    </row>
    <row r="195">
      <c r="A195" t="inlineStr">
        <is>
          <t>No</t>
        </is>
      </c>
      <c r="B195" t="inlineStr">
        <is>
          <t>GB332 .G74 1997</t>
        </is>
      </c>
      <c r="C195" t="inlineStr">
        <is>
          <t>0                      GB 0332000G  74          1997</t>
        </is>
      </c>
      <c r="D195" t="inlineStr">
        <is>
          <t>The Sinai : a physical geography / Ned H. Greenwood.</t>
        </is>
      </c>
      <c r="F195" t="inlineStr">
        <is>
          <t>No</t>
        </is>
      </c>
      <c r="G195" t="inlineStr">
        <is>
          <t>1</t>
        </is>
      </c>
      <c r="H195" t="inlineStr">
        <is>
          <t>No</t>
        </is>
      </c>
      <c r="I195" t="inlineStr">
        <is>
          <t>No</t>
        </is>
      </c>
      <c r="J195" t="inlineStr">
        <is>
          <t>0</t>
        </is>
      </c>
      <c r="K195" t="inlineStr">
        <is>
          <t>Greenwood, Ned H., 1932-</t>
        </is>
      </c>
      <c r="L195" t="inlineStr">
        <is>
          <t>Austin, Tex. : University of Texas Press, 1997.</t>
        </is>
      </c>
      <c r="M195" t="inlineStr">
        <is>
          <t>1997</t>
        </is>
      </c>
      <c r="N195" t="inlineStr">
        <is>
          <t>1st ed.</t>
        </is>
      </c>
      <c r="O195" t="inlineStr">
        <is>
          <t>eng</t>
        </is>
      </c>
      <c r="P195" t="inlineStr">
        <is>
          <t>txu</t>
        </is>
      </c>
      <c r="R195" t="inlineStr">
        <is>
          <t xml:space="preserve">GB </t>
        </is>
      </c>
      <c r="S195" t="n">
        <v>2</v>
      </c>
      <c r="T195" t="n">
        <v>2</v>
      </c>
      <c r="U195" t="inlineStr">
        <is>
          <t>2003-11-30</t>
        </is>
      </c>
      <c r="V195" t="inlineStr">
        <is>
          <t>2003-11-30</t>
        </is>
      </c>
      <c r="W195" t="inlineStr">
        <is>
          <t>1999-04-12</t>
        </is>
      </c>
      <c r="X195" t="inlineStr">
        <is>
          <t>1999-04-12</t>
        </is>
      </c>
      <c r="Y195" t="n">
        <v>454</v>
      </c>
      <c r="Z195" t="n">
        <v>396</v>
      </c>
      <c r="AA195" t="n">
        <v>1376</v>
      </c>
      <c r="AB195" t="n">
        <v>4</v>
      </c>
      <c r="AC195" t="n">
        <v>8</v>
      </c>
      <c r="AD195" t="n">
        <v>17</v>
      </c>
      <c r="AE195" t="n">
        <v>39</v>
      </c>
      <c r="AF195" t="n">
        <v>7</v>
      </c>
      <c r="AG195" t="n">
        <v>16</v>
      </c>
      <c r="AH195" t="n">
        <v>4</v>
      </c>
      <c r="AI195" t="n">
        <v>10</v>
      </c>
      <c r="AJ195" t="n">
        <v>8</v>
      </c>
      <c r="AK195" t="n">
        <v>16</v>
      </c>
      <c r="AL195" t="n">
        <v>3</v>
      </c>
      <c r="AM195" t="n">
        <v>6</v>
      </c>
      <c r="AN195" t="n">
        <v>0</v>
      </c>
      <c r="AO195" t="n">
        <v>1</v>
      </c>
      <c r="AP195" t="inlineStr">
        <is>
          <t>No</t>
        </is>
      </c>
      <c r="AQ195" t="inlineStr">
        <is>
          <t>Yes</t>
        </is>
      </c>
      <c r="AR195">
        <f>HYPERLINK("http://catalog.hathitrust.org/Record/003943004","HathiTrust Record")</f>
        <v/>
      </c>
      <c r="AS195">
        <f>HYPERLINK("https://creighton-primo.hosted.exlibrisgroup.com/primo-explore/search?tab=default_tab&amp;search_scope=EVERYTHING&amp;vid=01CRU&amp;lang=en_US&amp;offset=0&amp;query=any,contains,991002700389702656","Catalog Record")</f>
        <v/>
      </c>
      <c r="AT195">
        <f>HYPERLINK("http://www.worldcat.org/oclc/35262228","WorldCat Record")</f>
        <v/>
      </c>
      <c r="AU195" t="inlineStr">
        <is>
          <t>793864317:eng</t>
        </is>
      </c>
      <c r="AV195" t="inlineStr">
        <is>
          <t>35262228</t>
        </is>
      </c>
      <c r="AW195" t="inlineStr">
        <is>
          <t>991002700389702656</t>
        </is>
      </c>
      <c r="AX195" t="inlineStr">
        <is>
          <t>991002700389702656</t>
        </is>
      </c>
      <c r="AY195" t="inlineStr">
        <is>
          <t>2264208260002656</t>
        </is>
      </c>
      <c r="AZ195" t="inlineStr">
        <is>
          <t>BOOK</t>
        </is>
      </c>
      <c r="BB195" t="inlineStr">
        <is>
          <t>9780292727984</t>
        </is>
      </c>
      <c r="BC195" t="inlineStr">
        <is>
          <t>32285003551040</t>
        </is>
      </c>
      <c r="BD195" t="inlineStr">
        <is>
          <t>893251535</t>
        </is>
      </c>
    </row>
    <row r="196">
      <c r="A196" t="inlineStr">
        <is>
          <t>No</t>
        </is>
      </c>
      <c r="B196" t="inlineStr">
        <is>
          <t>GB400.42.A35 H35 1996</t>
        </is>
      </c>
      <c r="C196" t="inlineStr">
        <is>
          <t>0                      GB 0400420A  35                 H  35          1996</t>
        </is>
      </c>
      <c r="D196" t="inlineStr">
        <is>
          <t>Atlas of stereoscopic aerial photographs and remote sensing imagery of North America / W. Kenneth Hamblin.</t>
        </is>
      </c>
      <c r="F196" t="inlineStr">
        <is>
          <t>No</t>
        </is>
      </c>
      <c r="G196" t="inlineStr">
        <is>
          <t>1</t>
        </is>
      </c>
      <c r="H196" t="inlineStr">
        <is>
          <t>No</t>
        </is>
      </c>
      <c r="I196" t="inlineStr">
        <is>
          <t>No</t>
        </is>
      </c>
      <c r="J196" t="inlineStr">
        <is>
          <t>0</t>
        </is>
      </c>
      <c r="K196" t="inlineStr">
        <is>
          <t>Hamblin, W. Kenneth (William Kenneth), 1928-2009.</t>
        </is>
      </c>
      <c r="L196" t="inlineStr">
        <is>
          <t>Glenview, IL : Crystal Productions, c1996.</t>
        </is>
      </c>
      <c r="M196" t="inlineStr">
        <is>
          <t>1996</t>
        </is>
      </c>
      <c r="N196" t="inlineStr">
        <is>
          <t>3rd ed.</t>
        </is>
      </c>
      <c r="O196" t="inlineStr">
        <is>
          <t>eng</t>
        </is>
      </c>
      <c r="P196" t="inlineStr">
        <is>
          <t>ilu</t>
        </is>
      </c>
      <c r="R196" t="inlineStr">
        <is>
          <t xml:space="preserve">GB </t>
        </is>
      </c>
      <c r="S196" t="n">
        <v>2</v>
      </c>
      <c r="T196" t="n">
        <v>2</v>
      </c>
      <c r="U196" t="inlineStr">
        <is>
          <t>2002-08-28</t>
        </is>
      </c>
      <c r="V196" t="inlineStr">
        <is>
          <t>2002-08-28</t>
        </is>
      </c>
      <c r="W196" t="inlineStr">
        <is>
          <t>1996-09-26</t>
        </is>
      </c>
      <c r="X196" t="inlineStr">
        <is>
          <t>1996-09-26</t>
        </is>
      </c>
      <c r="Y196" t="n">
        <v>30</v>
      </c>
      <c r="Z196" t="n">
        <v>29</v>
      </c>
      <c r="AA196" t="n">
        <v>29</v>
      </c>
      <c r="AB196" t="n">
        <v>1</v>
      </c>
      <c r="AC196" t="n">
        <v>1</v>
      </c>
      <c r="AD196" t="n">
        <v>0</v>
      </c>
      <c r="AE196" t="n">
        <v>0</v>
      </c>
      <c r="AF196" t="n">
        <v>0</v>
      </c>
      <c r="AG196" t="n">
        <v>0</v>
      </c>
      <c r="AH196" t="n">
        <v>0</v>
      </c>
      <c r="AI196" t="n">
        <v>0</v>
      </c>
      <c r="AJ196" t="n">
        <v>0</v>
      </c>
      <c r="AK196" t="n">
        <v>0</v>
      </c>
      <c r="AL196" t="n">
        <v>0</v>
      </c>
      <c r="AM196" t="n">
        <v>0</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HYPERLINK("https://creighton-primo.hosted.exlibrisgroup.com/primo-explore/search?tab=default_tab&amp;search_scope=EVERYTHING&amp;vid=01CRU&amp;lang=en_US&amp;offset=0&amp;query=any,contains,991002678449702656","Catalog Record")</f>
        <v/>
      </c>
      <c r="AT196">
        <f>HYPERLINK("http://www.worldcat.org/oclc/35010904","WorldCat Record")</f>
        <v/>
      </c>
      <c r="AU196" t="inlineStr">
        <is>
          <t>8908403424:eng</t>
        </is>
      </c>
      <c r="AV196" t="inlineStr">
        <is>
          <t>35010904</t>
        </is>
      </c>
      <c r="AW196" t="inlineStr">
        <is>
          <t>991002678449702656</t>
        </is>
      </c>
      <c r="AX196" t="inlineStr">
        <is>
          <t>991002678449702656</t>
        </is>
      </c>
      <c r="AY196" t="inlineStr">
        <is>
          <t>2264984470002656</t>
        </is>
      </c>
      <c r="AZ196" t="inlineStr">
        <is>
          <t>BOOK</t>
        </is>
      </c>
      <c r="BB196" t="inlineStr">
        <is>
          <t>9781562901523</t>
        </is>
      </c>
      <c r="BC196" t="inlineStr">
        <is>
          <t>32285002320611</t>
        </is>
      </c>
      <c r="BD196" t="inlineStr">
        <is>
          <t>893704357</t>
        </is>
      </c>
    </row>
    <row r="197">
      <c r="A197" t="inlineStr">
        <is>
          <t>No</t>
        </is>
      </c>
      <c r="B197" t="inlineStr">
        <is>
          <t>GB401.5 .B55 1998</t>
        </is>
      </c>
      <c r="C197" t="inlineStr">
        <is>
          <t>0                      GB 0401500B  55          1998</t>
        </is>
      </c>
      <c r="D197" t="inlineStr">
        <is>
          <t>Geomorphology : a systematic analysis of late Cenozoic landforms / Arthur L. Bloom.</t>
        </is>
      </c>
      <c r="F197" t="inlineStr">
        <is>
          <t>No</t>
        </is>
      </c>
      <c r="G197" t="inlineStr">
        <is>
          <t>1</t>
        </is>
      </c>
      <c r="H197" t="inlineStr">
        <is>
          <t>No</t>
        </is>
      </c>
      <c r="I197" t="inlineStr">
        <is>
          <t>No</t>
        </is>
      </c>
      <c r="J197" t="inlineStr">
        <is>
          <t>0</t>
        </is>
      </c>
      <c r="K197" t="inlineStr">
        <is>
          <t>Bloom, Arthur L. (Arthur Leroy), 1928-</t>
        </is>
      </c>
      <c r="L197" t="inlineStr">
        <is>
          <t>Upper Saddle River, N.J. : Prentice Hall, c1998.</t>
        </is>
      </c>
      <c r="M197" t="inlineStr">
        <is>
          <t>1998</t>
        </is>
      </c>
      <c r="N197" t="inlineStr">
        <is>
          <t>3rd ed.</t>
        </is>
      </c>
      <c r="O197" t="inlineStr">
        <is>
          <t>eng</t>
        </is>
      </c>
      <c r="P197" t="inlineStr">
        <is>
          <t>nju</t>
        </is>
      </c>
      <c r="R197" t="inlineStr">
        <is>
          <t xml:space="preserve">GB </t>
        </is>
      </c>
      <c r="S197" t="n">
        <v>1</v>
      </c>
      <c r="T197" t="n">
        <v>1</v>
      </c>
      <c r="U197" t="inlineStr">
        <is>
          <t>2002-11-12</t>
        </is>
      </c>
      <c r="V197" t="inlineStr">
        <is>
          <t>2002-11-12</t>
        </is>
      </c>
      <c r="W197" t="inlineStr">
        <is>
          <t>2002-11-12</t>
        </is>
      </c>
      <c r="X197" t="inlineStr">
        <is>
          <t>2002-11-12</t>
        </is>
      </c>
      <c r="Y197" t="n">
        <v>232</v>
      </c>
      <c r="Z197" t="n">
        <v>153</v>
      </c>
      <c r="AA197" t="n">
        <v>492</v>
      </c>
      <c r="AB197" t="n">
        <v>2</v>
      </c>
      <c r="AC197" t="n">
        <v>5</v>
      </c>
      <c r="AD197" t="n">
        <v>2</v>
      </c>
      <c r="AE197" t="n">
        <v>11</v>
      </c>
      <c r="AF197" t="n">
        <v>0</v>
      </c>
      <c r="AG197" t="n">
        <v>3</v>
      </c>
      <c r="AH197" t="n">
        <v>0</v>
      </c>
      <c r="AI197" t="n">
        <v>2</v>
      </c>
      <c r="AJ197" t="n">
        <v>1</v>
      </c>
      <c r="AK197" t="n">
        <v>5</v>
      </c>
      <c r="AL197" t="n">
        <v>1</v>
      </c>
      <c r="AM197" t="n">
        <v>3</v>
      </c>
      <c r="AN197" t="n">
        <v>0</v>
      </c>
      <c r="AO197" t="n">
        <v>0</v>
      </c>
      <c r="AP197" t="inlineStr">
        <is>
          <t>No</t>
        </is>
      </c>
      <c r="AQ197" t="inlineStr">
        <is>
          <t>Yes</t>
        </is>
      </c>
      <c r="AR197">
        <f>HYPERLINK("http://catalog.hathitrust.org/Record/007223199","HathiTrust Record")</f>
        <v/>
      </c>
      <c r="AS197">
        <f>HYPERLINK("https://creighton-primo.hosted.exlibrisgroup.com/primo-explore/search?tab=default_tab&amp;search_scope=EVERYTHING&amp;vid=01CRU&amp;lang=en_US&amp;offset=0&amp;query=any,contains,991003911269702656","Catalog Record")</f>
        <v/>
      </c>
      <c r="AT197">
        <f>HYPERLINK("http://www.worldcat.org/oclc/37451772","WorldCat Record")</f>
        <v/>
      </c>
      <c r="AU197" t="inlineStr">
        <is>
          <t>593275:eng</t>
        </is>
      </c>
      <c r="AV197" t="inlineStr">
        <is>
          <t>37451772</t>
        </is>
      </c>
      <c r="AW197" t="inlineStr">
        <is>
          <t>991003911269702656</t>
        </is>
      </c>
      <c r="AX197" t="inlineStr">
        <is>
          <t>991003911269702656</t>
        </is>
      </c>
      <c r="AY197" t="inlineStr">
        <is>
          <t>2260269160002656</t>
        </is>
      </c>
      <c r="AZ197" t="inlineStr">
        <is>
          <t>BOOK</t>
        </is>
      </c>
      <c r="BB197" t="inlineStr">
        <is>
          <t>9780135054963</t>
        </is>
      </c>
      <c r="BC197" t="inlineStr">
        <is>
          <t>32285004662770</t>
        </is>
      </c>
      <c r="BD197" t="inlineStr">
        <is>
          <t>893330981</t>
        </is>
      </c>
    </row>
    <row r="198">
      <c r="A198" t="inlineStr">
        <is>
          <t>No</t>
        </is>
      </c>
      <c r="B198" t="inlineStr">
        <is>
          <t>GB401.5 .G48 1988</t>
        </is>
      </c>
      <c r="C198" t="inlineStr">
        <is>
          <t>0                      GB 0401500G  48          1988</t>
        </is>
      </c>
      <c r="D198" t="inlineStr">
        <is>
          <t>Rocks and landforms / A. J. Gerrard.</t>
        </is>
      </c>
      <c r="F198" t="inlineStr">
        <is>
          <t>No</t>
        </is>
      </c>
      <c r="G198" t="inlineStr">
        <is>
          <t>1</t>
        </is>
      </c>
      <c r="H198" t="inlineStr">
        <is>
          <t>No</t>
        </is>
      </c>
      <c r="I198" t="inlineStr">
        <is>
          <t>No</t>
        </is>
      </c>
      <c r="J198" t="inlineStr">
        <is>
          <t>0</t>
        </is>
      </c>
      <c r="K198" t="inlineStr">
        <is>
          <t>Gerrard, John, 1944-</t>
        </is>
      </c>
      <c r="L198" t="inlineStr">
        <is>
          <t>London ; Boston : Unwin Hyman, 1988.</t>
        </is>
      </c>
      <c r="M198" t="inlineStr">
        <is>
          <t>1987</t>
        </is>
      </c>
      <c r="O198" t="inlineStr">
        <is>
          <t>eng</t>
        </is>
      </c>
      <c r="P198" t="inlineStr">
        <is>
          <t>enk</t>
        </is>
      </c>
      <c r="R198" t="inlineStr">
        <is>
          <t xml:space="preserve">GB </t>
        </is>
      </c>
      <c r="S198" t="n">
        <v>2</v>
      </c>
      <c r="T198" t="n">
        <v>2</v>
      </c>
      <c r="U198" t="inlineStr">
        <is>
          <t>1995-02-15</t>
        </is>
      </c>
      <c r="V198" t="inlineStr">
        <is>
          <t>1995-02-15</t>
        </is>
      </c>
      <c r="W198" t="inlineStr">
        <is>
          <t>1992-01-09</t>
        </is>
      </c>
      <c r="X198" t="inlineStr">
        <is>
          <t>1992-01-09</t>
        </is>
      </c>
      <c r="Y198" t="n">
        <v>486</v>
      </c>
      <c r="Z198" t="n">
        <v>346</v>
      </c>
      <c r="AA198" t="n">
        <v>370</v>
      </c>
      <c r="AB198" t="n">
        <v>4</v>
      </c>
      <c r="AC198" t="n">
        <v>4</v>
      </c>
      <c r="AD198" t="n">
        <v>8</v>
      </c>
      <c r="AE198" t="n">
        <v>9</v>
      </c>
      <c r="AF198" t="n">
        <v>2</v>
      </c>
      <c r="AG198" t="n">
        <v>3</v>
      </c>
      <c r="AH198" t="n">
        <v>1</v>
      </c>
      <c r="AI198" t="n">
        <v>1</v>
      </c>
      <c r="AJ198" t="n">
        <v>2</v>
      </c>
      <c r="AK198" t="n">
        <v>3</v>
      </c>
      <c r="AL198" t="n">
        <v>3</v>
      </c>
      <c r="AM198" t="n">
        <v>3</v>
      </c>
      <c r="AN198" t="n">
        <v>0</v>
      </c>
      <c r="AO198" t="n">
        <v>0</v>
      </c>
      <c r="AP198" t="inlineStr">
        <is>
          <t>No</t>
        </is>
      </c>
      <c r="AQ198" t="inlineStr">
        <is>
          <t>Yes</t>
        </is>
      </c>
      <c r="AR198">
        <f>HYPERLINK("http://catalog.hathitrust.org/Record/000905172","HathiTrust Record")</f>
        <v/>
      </c>
      <c r="AS198">
        <f>HYPERLINK("https://creighton-primo.hosted.exlibrisgroup.com/primo-explore/search?tab=default_tab&amp;search_scope=EVERYTHING&amp;vid=01CRU&amp;lang=en_US&amp;offset=0&amp;query=any,contains,991001093909702656","Catalog Record")</f>
        <v/>
      </c>
      <c r="AT198">
        <f>HYPERLINK("http://www.worldcat.org/oclc/16227229","WorldCat Record")</f>
        <v/>
      </c>
      <c r="AU198" t="inlineStr">
        <is>
          <t>12282736:eng</t>
        </is>
      </c>
      <c r="AV198" t="inlineStr">
        <is>
          <t>16227229</t>
        </is>
      </c>
      <c r="AW198" t="inlineStr">
        <is>
          <t>991001093909702656</t>
        </is>
      </c>
      <c r="AX198" t="inlineStr">
        <is>
          <t>991001093909702656</t>
        </is>
      </c>
      <c r="AY198" t="inlineStr">
        <is>
          <t>2264781700002656</t>
        </is>
      </c>
      <c r="AZ198" t="inlineStr">
        <is>
          <t>BOOK</t>
        </is>
      </c>
      <c r="BB198" t="inlineStr">
        <is>
          <t>9780045511129</t>
        </is>
      </c>
      <c r="BC198" t="inlineStr">
        <is>
          <t>32285000893015</t>
        </is>
      </c>
      <c r="BD198" t="inlineStr">
        <is>
          <t>893696455</t>
        </is>
      </c>
    </row>
    <row r="199">
      <c r="A199" t="inlineStr">
        <is>
          <t>No</t>
        </is>
      </c>
      <c r="B199" t="inlineStr">
        <is>
          <t>GB402 .D87 1986</t>
        </is>
      </c>
      <c r="C199" t="inlineStr">
        <is>
          <t>0                      GB 0402000D  87          1986</t>
        </is>
      </c>
      <c r="D199" t="inlineStr">
        <is>
          <t>The face of the earth / G.H. Dury.</t>
        </is>
      </c>
      <c r="F199" t="inlineStr">
        <is>
          <t>No</t>
        </is>
      </c>
      <c r="G199" t="inlineStr">
        <is>
          <t>1</t>
        </is>
      </c>
      <c r="H199" t="inlineStr">
        <is>
          <t>No</t>
        </is>
      </c>
      <c r="I199" t="inlineStr">
        <is>
          <t>No</t>
        </is>
      </c>
      <c r="J199" t="inlineStr">
        <is>
          <t>0</t>
        </is>
      </c>
      <c r="K199" t="inlineStr">
        <is>
          <t>Dury, G. H. (George Harry), 1916-</t>
        </is>
      </c>
      <c r="L199" t="inlineStr">
        <is>
          <t>London ; Boston : Allen &amp; Unwin, 1986.</t>
        </is>
      </c>
      <c r="M199" t="inlineStr">
        <is>
          <t>1986</t>
        </is>
      </c>
      <c r="N199" t="inlineStr">
        <is>
          <t>5th ed.</t>
        </is>
      </c>
      <c r="O199" t="inlineStr">
        <is>
          <t>eng</t>
        </is>
      </c>
      <c r="P199" t="inlineStr">
        <is>
          <t>enk</t>
        </is>
      </c>
      <c r="R199" t="inlineStr">
        <is>
          <t xml:space="preserve">GB </t>
        </is>
      </c>
      <c r="S199" t="n">
        <v>4</v>
      </c>
      <c r="T199" t="n">
        <v>4</v>
      </c>
      <c r="U199" t="inlineStr">
        <is>
          <t>1995-02-15</t>
        </is>
      </c>
      <c r="V199" t="inlineStr">
        <is>
          <t>1995-02-15</t>
        </is>
      </c>
      <c r="W199" t="inlineStr">
        <is>
          <t>1992-01-09</t>
        </is>
      </c>
      <c r="X199" t="inlineStr">
        <is>
          <t>1992-01-09</t>
        </is>
      </c>
      <c r="Y199" t="n">
        <v>254</v>
      </c>
      <c r="Z199" t="n">
        <v>149</v>
      </c>
      <c r="AA199" t="n">
        <v>476</v>
      </c>
      <c r="AB199" t="n">
        <v>1</v>
      </c>
      <c r="AC199" t="n">
        <v>3</v>
      </c>
      <c r="AD199" t="n">
        <v>2</v>
      </c>
      <c r="AE199" t="n">
        <v>11</v>
      </c>
      <c r="AF199" t="n">
        <v>2</v>
      </c>
      <c r="AG199" t="n">
        <v>7</v>
      </c>
      <c r="AH199" t="n">
        <v>0</v>
      </c>
      <c r="AI199" t="n">
        <v>1</v>
      </c>
      <c r="AJ199" t="n">
        <v>1</v>
      </c>
      <c r="AK199" t="n">
        <v>5</v>
      </c>
      <c r="AL199" t="n">
        <v>0</v>
      </c>
      <c r="AM199" t="n">
        <v>2</v>
      </c>
      <c r="AN199" t="n">
        <v>0</v>
      </c>
      <c r="AO199" t="n">
        <v>0</v>
      </c>
      <c r="AP199" t="inlineStr">
        <is>
          <t>No</t>
        </is>
      </c>
      <c r="AQ199" t="inlineStr">
        <is>
          <t>Yes</t>
        </is>
      </c>
      <c r="AR199">
        <f>HYPERLINK("http://catalog.hathitrust.org/Record/000811702","HathiTrust Record")</f>
        <v/>
      </c>
      <c r="AS199">
        <f>HYPERLINK("https://creighton-primo.hosted.exlibrisgroup.com/primo-explore/search?tab=default_tab&amp;search_scope=EVERYTHING&amp;vid=01CRU&amp;lang=en_US&amp;offset=0&amp;query=any,contains,991000871609702656","Catalog Record")</f>
        <v/>
      </c>
      <c r="AT199">
        <f>HYPERLINK("http://www.worldcat.org/oclc/13793201","WorldCat Record")</f>
        <v/>
      </c>
      <c r="AU199" t="inlineStr">
        <is>
          <t>2863540971:eng</t>
        </is>
      </c>
      <c r="AV199" t="inlineStr">
        <is>
          <t>13793201</t>
        </is>
      </c>
      <c r="AW199" t="inlineStr">
        <is>
          <t>991000871609702656</t>
        </is>
      </c>
      <c r="AX199" t="inlineStr">
        <is>
          <t>991000871609702656</t>
        </is>
      </c>
      <c r="AY199" t="inlineStr">
        <is>
          <t>2271983040002656</t>
        </is>
      </c>
      <c r="AZ199" t="inlineStr">
        <is>
          <t>BOOK</t>
        </is>
      </c>
      <c r="BB199" t="inlineStr">
        <is>
          <t>9780045511303</t>
        </is>
      </c>
      <c r="BC199" t="inlineStr">
        <is>
          <t>32285000893031</t>
        </is>
      </c>
      <c r="BD199" t="inlineStr">
        <is>
          <t>893327660</t>
        </is>
      </c>
    </row>
    <row r="200">
      <c r="A200" t="inlineStr">
        <is>
          <t>No</t>
        </is>
      </c>
      <c r="B200" t="inlineStr">
        <is>
          <t>GB402 .R57 2002</t>
        </is>
      </c>
      <c r="C200" t="inlineStr">
        <is>
          <t>0                      GB 0402000R  57          2002</t>
        </is>
      </c>
      <c r="D200" t="inlineStr">
        <is>
          <t>Process geomorphology.</t>
        </is>
      </c>
      <c r="F200" t="inlineStr">
        <is>
          <t>No</t>
        </is>
      </c>
      <c r="G200" t="inlineStr">
        <is>
          <t>1</t>
        </is>
      </c>
      <c r="H200" t="inlineStr">
        <is>
          <t>No</t>
        </is>
      </c>
      <c r="I200" t="inlineStr">
        <is>
          <t>No</t>
        </is>
      </c>
      <c r="J200" t="inlineStr">
        <is>
          <t>0</t>
        </is>
      </c>
      <c r="K200" t="inlineStr">
        <is>
          <t>Ritter, Dale F.</t>
        </is>
      </c>
      <c r="L200" t="inlineStr">
        <is>
          <t>Boston : McGraw-Hill, c2002.</t>
        </is>
      </c>
      <c r="M200" t="inlineStr">
        <is>
          <t>2002</t>
        </is>
      </c>
      <c r="N200" t="inlineStr">
        <is>
          <t>4th ed. / Dale F. Ritter, R. Craig Kochel, Jerry R. Miller.</t>
        </is>
      </c>
      <c r="O200" t="inlineStr">
        <is>
          <t>eng</t>
        </is>
      </c>
      <c r="P200" t="inlineStr">
        <is>
          <t>mau</t>
        </is>
      </c>
      <c r="R200" t="inlineStr">
        <is>
          <t xml:space="preserve">GB </t>
        </is>
      </c>
      <c r="S200" t="n">
        <v>1</v>
      </c>
      <c r="T200" t="n">
        <v>1</v>
      </c>
      <c r="U200" t="inlineStr">
        <is>
          <t>2003-04-21</t>
        </is>
      </c>
      <c r="V200" t="inlineStr">
        <is>
          <t>2003-04-21</t>
        </is>
      </c>
      <c r="W200" t="inlineStr">
        <is>
          <t>2002-12-03</t>
        </is>
      </c>
      <c r="X200" t="inlineStr">
        <is>
          <t>2002-12-03</t>
        </is>
      </c>
      <c r="Y200" t="n">
        <v>152</v>
      </c>
      <c r="Z200" t="n">
        <v>86</v>
      </c>
      <c r="AA200" t="n">
        <v>377</v>
      </c>
      <c r="AB200" t="n">
        <v>2</v>
      </c>
      <c r="AC200" t="n">
        <v>5</v>
      </c>
      <c r="AD200" t="n">
        <v>3</v>
      </c>
      <c r="AE200" t="n">
        <v>7</v>
      </c>
      <c r="AF200" t="n">
        <v>0</v>
      </c>
      <c r="AG200" t="n">
        <v>0</v>
      </c>
      <c r="AH200" t="n">
        <v>1</v>
      </c>
      <c r="AI200" t="n">
        <v>2</v>
      </c>
      <c r="AJ200" t="n">
        <v>1</v>
      </c>
      <c r="AK200" t="n">
        <v>2</v>
      </c>
      <c r="AL200" t="n">
        <v>1</v>
      </c>
      <c r="AM200" t="n">
        <v>3</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HYPERLINK("https://creighton-primo.hosted.exlibrisgroup.com/primo-explore/search?tab=default_tab&amp;search_scope=EVERYTHING&amp;vid=01CRU&amp;lang=en_US&amp;offset=0&amp;query=any,contains,991003911239702656","Catalog Record")</f>
        <v/>
      </c>
      <c r="AT200">
        <f>HYPERLINK("http://www.worldcat.org/oclc/46791098","WorldCat Record")</f>
        <v/>
      </c>
      <c r="AU200" t="inlineStr">
        <is>
          <t>7635572:eng</t>
        </is>
      </c>
      <c r="AV200" t="inlineStr">
        <is>
          <t>46791098</t>
        </is>
      </c>
      <c r="AW200" t="inlineStr">
        <is>
          <t>991003911239702656</t>
        </is>
      </c>
      <c r="AX200" t="inlineStr">
        <is>
          <t>991003911239702656</t>
        </is>
      </c>
      <c r="AY200" t="inlineStr">
        <is>
          <t>2267692690002656</t>
        </is>
      </c>
      <c r="AZ200" t="inlineStr">
        <is>
          <t>BOOK</t>
        </is>
      </c>
      <c r="BB200" t="inlineStr">
        <is>
          <t>9780697344113</t>
        </is>
      </c>
      <c r="BC200" t="inlineStr">
        <is>
          <t>32285004666698</t>
        </is>
      </c>
      <c r="BD200" t="inlineStr">
        <is>
          <t>893693309</t>
        </is>
      </c>
    </row>
    <row r="201">
      <c r="A201" t="inlineStr">
        <is>
          <t>No</t>
        </is>
      </c>
      <c r="B201" t="inlineStr">
        <is>
          <t>GB406 .O44</t>
        </is>
      </c>
      <c r="C201" t="inlineStr">
        <is>
          <t>0                      GB 0406000O  44</t>
        </is>
      </c>
      <c r="D201" t="inlineStr">
        <is>
          <t>Tectonics and landforms / Cliff Ollier ; edited by K. M. Clayton.</t>
        </is>
      </c>
      <c r="F201" t="inlineStr">
        <is>
          <t>No</t>
        </is>
      </c>
      <c r="G201" t="inlineStr">
        <is>
          <t>1</t>
        </is>
      </c>
      <c r="H201" t="inlineStr">
        <is>
          <t>No</t>
        </is>
      </c>
      <c r="I201" t="inlineStr">
        <is>
          <t>No</t>
        </is>
      </c>
      <c r="J201" t="inlineStr">
        <is>
          <t>0</t>
        </is>
      </c>
      <c r="K201" t="inlineStr">
        <is>
          <t>Ollier, Cliff.</t>
        </is>
      </c>
      <c r="L201" t="inlineStr">
        <is>
          <t>London ; New York : Longman, 1981.</t>
        </is>
      </c>
      <c r="M201" t="inlineStr">
        <is>
          <t>1980</t>
        </is>
      </c>
      <c r="O201" t="inlineStr">
        <is>
          <t>eng</t>
        </is>
      </c>
      <c r="P201" t="inlineStr">
        <is>
          <t>enk</t>
        </is>
      </c>
      <c r="Q201" t="inlineStr">
        <is>
          <t>Geomorphology texts ; 6</t>
        </is>
      </c>
      <c r="R201" t="inlineStr">
        <is>
          <t xml:space="preserve">GB </t>
        </is>
      </c>
      <c r="S201" t="n">
        <v>3</v>
      </c>
      <c r="T201" t="n">
        <v>3</v>
      </c>
      <c r="U201" t="inlineStr">
        <is>
          <t>2001-02-28</t>
        </is>
      </c>
      <c r="V201" t="inlineStr">
        <is>
          <t>2001-02-28</t>
        </is>
      </c>
      <c r="W201" t="inlineStr">
        <is>
          <t>1992-01-10</t>
        </is>
      </c>
      <c r="X201" t="inlineStr">
        <is>
          <t>1992-01-10</t>
        </is>
      </c>
      <c r="Y201" t="n">
        <v>448</v>
      </c>
      <c r="Z201" t="n">
        <v>265</v>
      </c>
      <c r="AA201" t="n">
        <v>283</v>
      </c>
      <c r="AB201" t="n">
        <v>4</v>
      </c>
      <c r="AC201" t="n">
        <v>4</v>
      </c>
      <c r="AD201" t="n">
        <v>6</v>
      </c>
      <c r="AE201" t="n">
        <v>6</v>
      </c>
      <c r="AF201" t="n">
        <v>2</v>
      </c>
      <c r="AG201" t="n">
        <v>2</v>
      </c>
      <c r="AH201" t="n">
        <v>1</v>
      </c>
      <c r="AI201" t="n">
        <v>1</v>
      </c>
      <c r="AJ201" t="n">
        <v>2</v>
      </c>
      <c r="AK201" t="n">
        <v>2</v>
      </c>
      <c r="AL201" t="n">
        <v>3</v>
      </c>
      <c r="AM201" t="n">
        <v>3</v>
      </c>
      <c r="AN201" t="n">
        <v>0</v>
      </c>
      <c r="AO201" t="n">
        <v>0</v>
      </c>
      <c r="AP201" t="inlineStr">
        <is>
          <t>No</t>
        </is>
      </c>
      <c r="AQ201" t="inlineStr">
        <is>
          <t>Yes</t>
        </is>
      </c>
      <c r="AR201">
        <f>HYPERLINK("http://catalog.hathitrust.org/Record/000262933","HathiTrust Record")</f>
        <v/>
      </c>
      <c r="AS201">
        <f>HYPERLINK("https://creighton-primo.hosted.exlibrisgroup.com/primo-explore/search?tab=default_tab&amp;search_scope=EVERYTHING&amp;vid=01CRU&amp;lang=en_US&amp;offset=0&amp;query=any,contains,991004941669702656","Catalog Record")</f>
        <v/>
      </c>
      <c r="AT201">
        <f>HYPERLINK("http://www.worldcat.org/oclc/6194498","WorldCat Record")</f>
        <v/>
      </c>
      <c r="AU201" t="inlineStr">
        <is>
          <t>511947:eng</t>
        </is>
      </c>
      <c r="AV201" t="inlineStr">
        <is>
          <t>6194498</t>
        </is>
      </c>
      <c r="AW201" t="inlineStr">
        <is>
          <t>991004941669702656</t>
        </is>
      </c>
      <c r="AX201" t="inlineStr">
        <is>
          <t>991004941669702656</t>
        </is>
      </c>
      <c r="AY201" t="inlineStr">
        <is>
          <t>2262748600002656</t>
        </is>
      </c>
      <c r="AZ201" t="inlineStr">
        <is>
          <t>BOOK</t>
        </is>
      </c>
      <c r="BB201" t="inlineStr">
        <is>
          <t>9780582300323</t>
        </is>
      </c>
      <c r="BC201" t="inlineStr">
        <is>
          <t>32285000893049</t>
        </is>
      </c>
      <c r="BD201" t="inlineStr">
        <is>
          <t>893236081</t>
        </is>
      </c>
    </row>
    <row r="202">
      <c r="A202" t="inlineStr">
        <is>
          <t>No</t>
        </is>
      </c>
      <c r="B202" t="inlineStr">
        <is>
          <t>GB460.A2 D4 1999</t>
        </is>
      </c>
      <c r="C202" t="inlineStr">
        <is>
          <t>0                      GB 0460000A  2                  D  4           1999</t>
        </is>
      </c>
      <c r="D202" t="inlineStr">
        <is>
          <t>Against the tide : the battle for America's beaches / Cornelia Dean.</t>
        </is>
      </c>
      <c r="F202" t="inlineStr">
        <is>
          <t>No</t>
        </is>
      </c>
      <c r="G202" t="inlineStr">
        <is>
          <t>1</t>
        </is>
      </c>
      <c r="H202" t="inlineStr">
        <is>
          <t>No</t>
        </is>
      </c>
      <c r="I202" t="inlineStr">
        <is>
          <t>No</t>
        </is>
      </c>
      <c r="J202" t="inlineStr">
        <is>
          <t>0</t>
        </is>
      </c>
      <c r="K202" t="inlineStr">
        <is>
          <t>Dean, Cornelia.</t>
        </is>
      </c>
      <c r="L202" t="inlineStr">
        <is>
          <t>New York : Columbia University Press, c1999.</t>
        </is>
      </c>
      <c r="M202" t="inlineStr">
        <is>
          <t>1999</t>
        </is>
      </c>
      <c r="O202" t="inlineStr">
        <is>
          <t>eng</t>
        </is>
      </c>
      <c r="P202" t="inlineStr">
        <is>
          <t>nyu</t>
        </is>
      </c>
      <c r="R202" t="inlineStr">
        <is>
          <t xml:space="preserve">GB </t>
        </is>
      </c>
      <c r="S202" t="n">
        <v>1</v>
      </c>
      <c r="T202" t="n">
        <v>1</v>
      </c>
      <c r="U202" t="inlineStr">
        <is>
          <t>2003-04-03</t>
        </is>
      </c>
      <c r="V202" t="inlineStr">
        <is>
          <t>2003-04-03</t>
        </is>
      </c>
      <c r="W202" t="inlineStr">
        <is>
          <t>1999-08-09</t>
        </is>
      </c>
      <c r="X202" t="inlineStr">
        <is>
          <t>1999-08-09</t>
        </is>
      </c>
      <c r="Y202" t="n">
        <v>1491</v>
      </c>
      <c r="Z202" t="n">
        <v>1417</v>
      </c>
      <c r="AA202" t="n">
        <v>1875</v>
      </c>
      <c r="AB202" t="n">
        <v>8</v>
      </c>
      <c r="AC202" t="n">
        <v>29</v>
      </c>
      <c r="AD202" t="n">
        <v>39</v>
      </c>
      <c r="AE202" t="n">
        <v>47</v>
      </c>
      <c r="AF202" t="n">
        <v>17</v>
      </c>
      <c r="AG202" t="n">
        <v>18</v>
      </c>
      <c r="AH202" t="n">
        <v>4</v>
      </c>
      <c r="AI202" t="n">
        <v>4</v>
      </c>
      <c r="AJ202" t="n">
        <v>18</v>
      </c>
      <c r="AK202" t="n">
        <v>18</v>
      </c>
      <c r="AL202" t="n">
        <v>6</v>
      </c>
      <c r="AM202" t="n">
        <v>13</v>
      </c>
      <c r="AN202" t="n">
        <v>3</v>
      </c>
      <c r="AO202" t="n">
        <v>3</v>
      </c>
      <c r="AP202" t="inlineStr">
        <is>
          <t>No</t>
        </is>
      </c>
      <c r="AQ202" t="inlineStr">
        <is>
          <t>No</t>
        </is>
      </c>
      <c r="AS202">
        <f>HYPERLINK("https://creighton-primo.hosted.exlibrisgroup.com/primo-explore/search?tab=default_tab&amp;search_scope=EVERYTHING&amp;vid=01CRU&amp;lang=en_US&amp;offset=0&amp;query=any,contains,991002987489702656","Catalog Record")</f>
        <v/>
      </c>
      <c r="AT202">
        <f>HYPERLINK("http://www.worldcat.org/oclc/40267776","WorldCat Record")</f>
        <v/>
      </c>
      <c r="AU202" t="inlineStr">
        <is>
          <t>800267018:eng</t>
        </is>
      </c>
      <c r="AV202" t="inlineStr">
        <is>
          <t>40267776</t>
        </is>
      </c>
      <c r="AW202" t="inlineStr">
        <is>
          <t>991002987489702656</t>
        </is>
      </c>
      <c r="AX202" t="inlineStr">
        <is>
          <t>991002987489702656</t>
        </is>
      </c>
      <c r="AY202" t="inlineStr">
        <is>
          <t>2255789900002656</t>
        </is>
      </c>
      <c r="AZ202" t="inlineStr">
        <is>
          <t>BOOK</t>
        </is>
      </c>
      <c r="BB202" t="inlineStr">
        <is>
          <t>9780231084185</t>
        </is>
      </c>
      <c r="BC202" t="inlineStr">
        <is>
          <t>32285003580577</t>
        </is>
      </c>
      <c r="BD202" t="inlineStr">
        <is>
          <t>893867961</t>
        </is>
      </c>
    </row>
    <row r="203">
      <c r="A203" t="inlineStr">
        <is>
          <t>No</t>
        </is>
      </c>
      <c r="B203" t="inlineStr">
        <is>
          <t>GB466.G73 N67</t>
        </is>
      </c>
      <c r="C203" t="inlineStr">
        <is>
          <t>0                      GB 0466000G  73                 N  67</t>
        </is>
      </c>
      <c r="D203" t="inlineStr">
        <is>
          <t>The Northern Great Barrier Reef : a Royal Society discussion organized by D. R. Stoddart and Sir Maurice Yonge, held on 28 and 29 January 1976.</t>
        </is>
      </c>
      <c r="F203" t="inlineStr">
        <is>
          <t>No</t>
        </is>
      </c>
      <c r="G203" t="inlineStr">
        <is>
          <t>1</t>
        </is>
      </c>
      <c r="H203" t="inlineStr">
        <is>
          <t>No</t>
        </is>
      </c>
      <c r="I203" t="inlineStr">
        <is>
          <t>No</t>
        </is>
      </c>
      <c r="J203" t="inlineStr">
        <is>
          <t>0</t>
        </is>
      </c>
      <c r="L203" t="inlineStr">
        <is>
          <t>London : Royal Society ; Flushing, N.Y. : distributed by Scholium International, 1978.</t>
        </is>
      </c>
      <c r="M203" t="inlineStr">
        <is>
          <t>1978</t>
        </is>
      </c>
      <c r="O203" t="inlineStr">
        <is>
          <t>eng</t>
        </is>
      </c>
      <c r="P203" t="inlineStr">
        <is>
          <t>enk</t>
        </is>
      </c>
      <c r="R203" t="inlineStr">
        <is>
          <t xml:space="preserve">GB </t>
        </is>
      </c>
      <c r="S203" t="n">
        <v>1</v>
      </c>
      <c r="T203" t="n">
        <v>1</v>
      </c>
      <c r="U203" t="inlineStr">
        <is>
          <t>2004-09-03</t>
        </is>
      </c>
      <c r="V203" t="inlineStr">
        <is>
          <t>2004-09-03</t>
        </is>
      </c>
      <c r="W203" t="inlineStr">
        <is>
          <t>1992-01-10</t>
        </is>
      </c>
      <c r="X203" t="inlineStr">
        <is>
          <t>1992-01-10</t>
        </is>
      </c>
      <c r="Y203" t="n">
        <v>109</v>
      </c>
      <c r="Z203" t="n">
        <v>61</v>
      </c>
      <c r="AA203" t="n">
        <v>68</v>
      </c>
      <c r="AB203" t="n">
        <v>1</v>
      </c>
      <c r="AC203" t="n">
        <v>1</v>
      </c>
      <c r="AD203" t="n">
        <v>0</v>
      </c>
      <c r="AE203" t="n">
        <v>0</v>
      </c>
      <c r="AF203" t="n">
        <v>0</v>
      </c>
      <c r="AG203" t="n">
        <v>0</v>
      </c>
      <c r="AH203" t="n">
        <v>0</v>
      </c>
      <c r="AI203" t="n">
        <v>0</v>
      </c>
      <c r="AJ203" t="n">
        <v>0</v>
      </c>
      <c r="AK203" t="n">
        <v>0</v>
      </c>
      <c r="AL203" t="n">
        <v>0</v>
      </c>
      <c r="AM203" t="n">
        <v>0</v>
      </c>
      <c r="AN203" t="n">
        <v>0</v>
      </c>
      <c r="AO203" t="n">
        <v>0</v>
      </c>
      <c r="AP203" t="inlineStr">
        <is>
          <t>No</t>
        </is>
      </c>
      <c r="AQ203" t="inlineStr">
        <is>
          <t>Yes</t>
        </is>
      </c>
      <c r="AR203">
        <f>HYPERLINK("http://catalog.hathitrust.org/Record/008363925","HathiTrust Record")</f>
        <v/>
      </c>
      <c r="AS203">
        <f>HYPERLINK("https://creighton-primo.hosted.exlibrisgroup.com/primo-explore/search?tab=default_tab&amp;search_scope=EVERYTHING&amp;vid=01CRU&amp;lang=en_US&amp;offset=0&amp;query=any,contains,991004859429702656","Catalog Record")</f>
        <v/>
      </c>
      <c r="AT203">
        <f>HYPERLINK("http://www.worldcat.org/oclc/5680711","WorldCat Record")</f>
        <v/>
      </c>
      <c r="AU203" t="inlineStr">
        <is>
          <t>374543674:eng</t>
        </is>
      </c>
      <c r="AV203" t="inlineStr">
        <is>
          <t>5680711</t>
        </is>
      </c>
      <c r="AW203" t="inlineStr">
        <is>
          <t>991004859429702656</t>
        </is>
      </c>
      <c r="AX203" t="inlineStr">
        <is>
          <t>991004859429702656</t>
        </is>
      </c>
      <c r="AY203" t="inlineStr">
        <is>
          <t>2259404670002656</t>
        </is>
      </c>
      <c r="AZ203" t="inlineStr">
        <is>
          <t>BOOK</t>
        </is>
      </c>
      <c r="BB203" t="inlineStr">
        <is>
          <t>9780854031023</t>
        </is>
      </c>
      <c r="BC203" t="inlineStr">
        <is>
          <t>32285000893106</t>
        </is>
      </c>
      <c r="BD203" t="inlineStr">
        <is>
          <t>893776523</t>
        </is>
      </c>
    </row>
    <row r="204">
      <c r="A204" t="inlineStr">
        <is>
          <t>No</t>
        </is>
      </c>
      <c r="B204" t="inlineStr">
        <is>
          <t>GB471 .P63 2003</t>
        </is>
      </c>
      <c r="C204" t="inlineStr">
        <is>
          <t>0                      GB 0471000P  63          2003</t>
        </is>
      </c>
      <c r="D204" t="inlineStr">
        <is>
          <t>A celebration of the world's Barrier islands / by Orrin H. Pilkey ; original batiks by Mary Edna Fraser.</t>
        </is>
      </c>
      <c r="F204" t="inlineStr">
        <is>
          <t>No</t>
        </is>
      </c>
      <c r="G204" t="inlineStr">
        <is>
          <t>1</t>
        </is>
      </c>
      <c r="H204" t="inlineStr">
        <is>
          <t>No</t>
        </is>
      </c>
      <c r="I204" t="inlineStr">
        <is>
          <t>No</t>
        </is>
      </c>
      <c r="J204" t="inlineStr">
        <is>
          <t>0</t>
        </is>
      </c>
      <c r="K204" t="inlineStr">
        <is>
          <t>Pilkey, Orrin H., 1934-</t>
        </is>
      </c>
      <c r="L204" t="inlineStr">
        <is>
          <t>New York : Columbia University Press, c2003.</t>
        </is>
      </c>
      <c r="M204" t="inlineStr">
        <is>
          <t>2003</t>
        </is>
      </c>
      <c r="O204" t="inlineStr">
        <is>
          <t>eng</t>
        </is>
      </c>
      <c r="P204" t="inlineStr">
        <is>
          <t>nyu</t>
        </is>
      </c>
      <c r="R204" t="inlineStr">
        <is>
          <t xml:space="preserve">GB </t>
        </is>
      </c>
      <c r="S204" t="n">
        <v>1</v>
      </c>
      <c r="T204" t="n">
        <v>1</v>
      </c>
      <c r="U204" t="inlineStr">
        <is>
          <t>2003-11-01</t>
        </is>
      </c>
      <c r="V204" t="inlineStr">
        <is>
          <t>2003-11-01</t>
        </is>
      </c>
      <c r="W204" t="inlineStr">
        <is>
          <t>2003-09-18</t>
        </is>
      </c>
      <c r="X204" t="inlineStr">
        <is>
          <t>2003-09-18</t>
        </is>
      </c>
      <c r="Y204" t="n">
        <v>612</v>
      </c>
      <c r="Z204" t="n">
        <v>557</v>
      </c>
      <c r="AA204" t="n">
        <v>740</v>
      </c>
      <c r="AB204" t="n">
        <v>5</v>
      </c>
      <c r="AC204" t="n">
        <v>5</v>
      </c>
      <c r="AD204" t="n">
        <v>19</v>
      </c>
      <c r="AE204" t="n">
        <v>30</v>
      </c>
      <c r="AF204" t="n">
        <v>10</v>
      </c>
      <c r="AG204" t="n">
        <v>16</v>
      </c>
      <c r="AH204" t="n">
        <v>2</v>
      </c>
      <c r="AI204" t="n">
        <v>6</v>
      </c>
      <c r="AJ204" t="n">
        <v>6</v>
      </c>
      <c r="AK204" t="n">
        <v>12</v>
      </c>
      <c r="AL204" t="n">
        <v>4</v>
      </c>
      <c r="AM204" t="n">
        <v>4</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HYPERLINK("https://creighton-primo.hosted.exlibrisgroup.com/primo-explore/search?tab=default_tab&amp;search_scope=EVERYTHING&amp;vid=01CRU&amp;lang=en_US&amp;offset=0&amp;query=any,contains,991004128419702656","Catalog Record")</f>
        <v/>
      </c>
      <c r="AT204">
        <f>HYPERLINK("http://www.worldcat.org/oclc/49875210","WorldCat Record")</f>
        <v/>
      </c>
      <c r="AU204" t="inlineStr">
        <is>
          <t>893153:eng</t>
        </is>
      </c>
      <c r="AV204" t="inlineStr">
        <is>
          <t>49875210</t>
        </is>
      </c>
      <c r="AW204" t="inlineStr">
        <is>
          <t>991004128419702656</t>
        </is>
      </c>
      <c r="AX204" t="inlineStr">
        <is>
          <t>991004128419702656</t>
        </is>
      </c>
      <c r="AY204" t="inlineStr">
        <is>
          <t>2270448410002656</t>
        </is>
      </c>
      <c r="AZ204" t="inlineStr">
        <is>
          <t>BOOK</t>
        </is>
      </c>
      <c r="BB204" t="inlineStr">
        <is>
          <t>9780231119702</t>
        </is>
      </c>
      <c r="BC204" t="inlineStr">
        <is>
          <t>32285004791470</t>
        </is>
      </c>
      <c r="BD204" t="inlineStr">
        <is>
          <t>893888319</t>
        </is>
      </c>
    </row>
    <row r="205">
      <c r="A205" t="inlineStr">
        <is>
          <t>No</t>
        </is>
      </c>
      <c r="B205" t="inlineStr">
        <is>
          <t>GB5010 .B44 2006</t>
        </is>
      </c>
      <c r="C205" t="inlineStr">
        <is>
          <t>0                      GB 5010000B  44          2006</t>
        </is>
      </c>
      <c r="D205" t="inlineStr">
        <is>
          <t>The deadliest woman in the West : mother nature on the prairies and plains, 1800-1900 / Rod Beemer.</t>
        </is>
      </c>
      <c r="F205" t="inlineStr">
        <is>
          <t>No</t>
        </is>
      </c>
      <c r="G205" t="inlineStr">
        <is>
          <t>1</t>
        </is>
      </c>
      <c r="H205" t="inlineStr">
        <is>
          <t>No</t>
        </is>
      </c>
      <c r="I205" t="inlineStr">
        <is>
          <t>No</t>
        </is>
      </c>
      <c r="J205" t="inlineStr">
        <is>
          <t>0</t>
        </is>
      </c>
      <c r="K205" t="inlineStr">
        <is>
          <t>Beemer, Rod, 1941-</t>
        </is>
      </c>
      <c r="L205" t="inlineStr">
        <is>
          <t>Caldwell, Idaho : Caxton Press, 2006.</t>
        </is>
      </c>
      <c r="M205" t="inlineStr">
        <is>
          <t>2006</t>
        </is>
      </c>
      <c r="O205" t="inlineStr">
        <is>
          <t>eng</t>
        </is>
      </c>
      <c r="P205" t="inlineStr">
        <is>
          <t>idu</t>
        </is>
      </c>
      <c r="R205" t="inlineStr">
        <is>
          <t xml:space="preserve">GB </t>
        </is>
      </c>
      <c r="S205" t="n">
        <v>1</v>
      </c>
      <c r="T205" t="n">
        <v>1</v>
      </c>
      <c r="U205" t="inlineStr">
        <is>
          <t>2007-01-12</t>
        </is>
      </c>
      <c r="V205" t="inlineStr">
        <is>
          <t>2007-01-12</t>
        </is>
      </c>
      <c r="W205" t="inlineStr">
        <is>
          <t>2006-08-01</t>
        </is>
      </c>
      <c r="X205" t="inlineStr">
        <is>
          <t>2006-08-01</t>
        </is>
      </c>
      <c r="Y205" t="n">
        <v>157</v>
      </c>
      <c r="Z205" t="n">
        <v>150</v>
      </c>
      <c r="AA205" t="n">
        <v>160</v>
      </c>
      <c r="AB205" t="n">
        <v>5</v>
      </c>
      <c r="AC205" t="n">
        <v>5</v>
      </c>
      <c r="AD205" t="n">
        <v>2</v>
      </c>
      <c r="AE205" t="n">
        <v>2</v>
      </c>
      <c r="AF205" t="n">
        <v>0</v>
      </c>
      <c r="AG205" t="n">
        <v>0</v>
      </c>
      <c r="AH205" t="n">
        <v>1</v>
      </c>
      <c r="AI205" t="n">
        <v>1</v>
      </c>
      <c r="AJ205" t="n">
        <v>0</v>
      </c>
      <c r="AK205" t="n">
        <v>0</v>
      </c>
      <c r="AL205" t="n">
        <v>1</v>
      </c>
      <c r="AM205" t="n">
        <v>1</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HYPERLINK("https://creighton-primo.hosted.exlibrisgroup.com/primo-explore/search?tab=default_tab&amp;search_scope=EVERYTHING&amp;vid=01CRU&amp;lang=en_US&amp;offset=0&amp;query=any,contains,991004842219702656","Catalog Record")</f>
        <v/>
      </c>
      <c r="AT205">
        <f>HYPERLINK("http://www.worldcat.org/oclc/63108364","WorldCat Record")</f>
        <v/>
      </c>
      <c r="AU205" t="inlineStr">
        <is>
          <t>1083405267:eng</t>
        </is>
      </c>
      <c r="AV205" t="inlineStr">
        <is>
          <t>63108364</t>
        </is>
      </c>
      <c r="AW205" t="inlineStr">
        <is>
          <t>991004842219702656</t>
        </is>
      </c>
      <c r="AX205" t="inlineStr">
        <is>
          <t>991004842219702656</t>
        </is>
      </c>
      <c r="AY205" t="inlineStr">
        <is>
          <t>2258451200002656</t>
        </is>
      </c>
      <c r="AZ205" t="inlineStr">
        <is>
          <t>BOOK</t>
        </is>
      </c>
      <c r="BB205" t="inlineStr">
        <is>
          <t>9780870044557</t>
        </is>
      </c>
      <c r="BC205" t="inlineStr">
        <is>
          <t>32285005199392</t>
        </is>
      </c>
      <c r="BD205" t="inlineStr">
        <is>
          <t>893248051</t>
        </is>
      </c>
    </row>
    <row r="206">
      <c r="A206" t="inlineStr">
        <is>
          <t>No</t>
        </is>
      </c>
      <c r="B206" t="inlineStr">
        <is>
          <t>GB5014 .B79 2005</t>
        </is>
      </c>
      <c r="C206" t="inlineStr">
        <is>
          <t>0                      GB 5014000B  79          2005</t>
        </is>
      </c>
      <c r="D206" t="inlineStr">
        <is>
          <t>Natural hazards / Edward Bryant.</t>
        </is>
      </c>
      <c r="F206" t="inlineStr">
        <is>
          <t>No</t>
        </is>
      </c>
      <c r="G206" t="inlineStr">
        <is>
          <t>1</t>
        </is>
      </c>
      <c r="H206" t="inlineStr">
        <is>
          <t>No</t>
        </is>
      </c>
      <c r="I206" t="inlineStr">
        <is>
          <t>No</t>
        </is>
      </c>
      <c r="J206" t="inlineStr">
        <is>
          <t>0</t>
        </is>
      </c>
      <c r="K206" t="inlineStr">
        <is>
          <t>Bryant, Edward, 1948-</t>
        </is>
      </c>
      <c r="L206" t="inlineStr">
        <is>
          <t>Cambridge : Cambridge University Press, c2005.</t>
        </is>
      </c>
      <c r="M206" t="inlineStr">
        <is>
          <t>2005</t>
        </is>
      </c>
      <c r="N206" t="inlineStr">
        <is>
          <t>2nd ed.</t>
        </is>
      </c>
      <c r="O206" t="inlineStr">
        <is>
          <t>eng</t>
        </is>
      </c>
      <c r="P206" t="inlineStr">
        <is>
          <t>enk</t>
        </is>
      </c>
      <c r="R206" t="inlineStr">
        <is>
          <t xml:space="preserve">GB </t>
        </is>
      </c>
      <c r="S206" t="n">
        <v>2</v>
      </c>
      <c r="T206" t="n">
        <v>2</v>
      </c>
      <c r="U206" t="inlineStr">
        <is>
          <t>2008-10-12</t>
        </is>
      </c>
      <c r="V206" t="inlineStr">
        <is>
          <t>2008-10-12</t>
        </is>
      </c>
      <c r="W206" t="inlineStr">
        <is>
          <t>2005-11-07</t>
        </is>
      </c>
      <c r="X206" t="inlineStr">
        <is>
          <t>2005-11-07</t>
        </is>
      </c>
      <c r="Y206" t="n">
        <v>722</v>
      </c>
      <c r="Z206" t="n">
        <v>512</v>
      </c>
      <c r="AA206" t="n">
        <v>1034</v>
      </c>
      <c r="AB206" t="n">
        <v>6</v>
      </c>
      <c r="AC206" t="n">
        <v>21</v>
      </c>
      <c r="AD206" t="n">
        <v>21</v>
      </c>
      <c r="AE206" t="n">
        <v>43</v>
      </c>
      <c r="AF206" t="n">
        <v>9</v>
      </c>
      <c r="AG206" t="n">
        <v>16</v>
      </c>
      <c r="AH206" t="n">
        <v>4</v>
      </c>
      <c r="AI206" t="n">
        <v>8</v>
      </c>
      <c r="AJ206" t="n">
        <v>9</v>
      </c>
      <c r="AK206" t="n">
        <v>14</v>
      </c>
      <c r="AL206" t="n">
        <v>5</v>
      </c>
      <c r="AM206" t="n">
        <v>13</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HYPERLINK("https://creighton-primo.hosted.exlibrisgroup.com/primo-explore/search?tab=default_tab&amp;search_scope=EVERYTHING&amp;vid=01CRU&amp;lang=en_US&amp;offset=0&amp;query=any,contains,991004653389702656","Catalog Record")</f>
        <v/>
      </c>
      <c r="AT206">
        <f>HYPERLINK("http://www.worldcat.org/oclc/56108355","WorldCat Record")</f>
        <v/>
      </c>
      <c r="AU206" t="inlineStr">
        <is>
          <t>1104646:eng</t>
        </is>
      </c>
      <c r="AV206" t="inlineStr">
        <is>
          <t>56108355</t>
        </is>
      </c>
      <c r="AW206" t="inlineStr">
        <is>
          <t>991004653389702656</t>
        </is>
      </c>
      <c r="AX206" t="inlineStr">
        <is>
          <t>991004653389702656</t>
        </is>
      </c>
      <c r="AY206" t="inlineStr">
        <is>
          <t>2261707450002656</t>
        </is>
      </c>
      <c r="AZ206" t="inlineStr">
        <is>
          <t>BOOK</t>
        </is>
      </c>
      <c r="BB206" t="inlineStr">
        <is>
          <t>9780521537438</t>
        </is>
      </c>
      <c r="BC206" t="inlineStr">
        <is>
          <t>32285005144372</t>
        </is>
      </c>
      <c r="BD206" t="inlineStr">
        <is>
          <t>893430328</t>
        </is>
      </c>
    </row>
    <row r="207">
      <c r="A207" t="inlineStr">
        <is>
          <t>No</t>
        </is>
      </c>
      <c r="B207" t="inlineStr">
        <is>
          <t>GB5014 .C58 1993</t>
        </is>
      </c>
      <c r="C207" t="inlineStr">
        <is>
          <t>0                      GB 5014000C  58          1993</t>
        </is>
      </c>
      <c r="D207" t="inlineStr">
        <is>
          <t>The Citizens' guide to geologic hazards : a guide to understanding geologic hazards, including asbestos, radon, swelling soils, earthquakes, volcanoes, landslides, subsidence, floods, and coastal hazards / prepared by the American Institute of Professional Geologists ; authors, Edward B. Nuhfer, Richard J. Proctor, and Paul H. Moser ; with John E. Allen ... [et al.].</t>
        </is>
      </c>
      <c r="F207" t="inlineStr">
        <is>
          <t>No</t>
        </is>
      </c>
      <c r="G207" t="inlineStr">
        <is>
          <t>1</t>
        </is>
      </c>
      <c r="H207" t="inlineStr">
        <is>
          <t>No</t>
        </is>
      </c>
      <c r="I207" t="inlineStr">
        <is>
          <t>No</t>
        </is>
      </c>
      <c r="J207" t="inlineStr">
        <is>
          <t>0</t>
        </is>
      </c>
      <c r="L207" t="inlineStr">
        <is>
          <t>Arvada, CO : The Institute, c1993.</t>
        </is>
      </c>
      <c r="M207" t="inlineStr">
        <is>
          <t>1993</t>
        </is>
      </c>
      <c r="O207" t="inlineStr">
        <is>
          <t>eng</t>
        </is>
      </c>
      <c r="P207" t="inlineStr">
        <is>
          <t>cou</t>
        </is>
      </c>
      <c r="R207" t="inlineStr">
        <is>
          <t xml:space="preserve">GB </t>
        </is>
      </c>
      <c r="S207" t="n">
        <v>13</v>
      </c>
      <c r="T207" t="n">
        <v>13</v>
      </c>
      <c r="U207" t="inlineStr">
        <is>
          <t>2002-02-26</t>
        </is>
      </c>
      <c r="V207" t="inlineStr">
        <is>
          <t>2002-02-26</t>
        </is>
      </c>
      <c r="W207" t="inlineStr">
        <is>
          <t>1994-12-28</t>
        </is>
      </c>
      <c r="X207" t="inlineStr">
        <is>
          <t>1994-12-28</t>
        </is>
      </c>
      <c r="Y207" t="n">
        <v>587</v>
      </c>
      <c r="Z207" t="n">
        <v>535</v>
      </c>
      <c r="AA207" t="n">
        <v>535</v>
      </c>
      <c r="AB207" t="n">
        <v>6</v>
      </c>
      <c r="AC207" t="n">
        <v>6</v>
      </c>
      <c r="AD207" t="n">
        <v>21</v>
      </c>
      <c r="AE207" t="n">
        <v>21</v>
      </c>
      <c r="AF207" t="n">
        <v>9</v>
      </c>
      <c r="AG207" t="n">
        <v>9</v>
      </c>
      <c r="AH207" t="n">
        <v>4</v>
      </c>
      <c r="AI207" t="n">
        <v>4</v>
      </c>
      <c r="AJ207" t="n">
        <v>7</v>
      </c>
      <c r="AK207" t="n">
        <v>7</v>
      </c>
      <c r="AL207" t="n">
        <v>5</v>
      </c>
      <c r="AM207" t="n">
        <v>5</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HYPERLINK("https://creighton-primo.hosted.exlibrisgroup.com/primo-explore/search?tab=default_tab&amp;search_scope=EVERYTHING&amp;vid=01CRU&amp;lang=en_US&amp;offset=0&amp;query=any,contains,991002264309702656","Catalog Record")</f>
        <v/>
      </c>
      <c r="AT207">
        <f>HYPERLINK("http://www.worldcat.org/oclc/29360335","WorldCat Record")</f>
        <v/>
      </c>
      <c r="AU207" t="inlineStr">
        <is>
          <t>31263976:eng</t>
        </is>
      </c>
      <c r="AV207" t="inlineStr">
        <is>
          <t>29360335</t>
        </is>
      </c>
      <c r="AW207" t="inlineStr">
        <is>
          <t>991002264309702656</t>
        </is>
      </c>
      <c r="AX207" t="inlineStr">
        <is>
          <t>991002264309702656</t>
        </is>
      </c>
      <c r="AY207" t="inlineStr">
        <is>
          <t>2257011620002656</t>
        </is>
      </c>
      <c r="AZ207" t="inlineStr">
        <is>
          <t>BOOK</t>
        </is>
      </c>
      <c r="BB207" t="inlineStr">
        <is>
          <t>9780933637108</t>
        </is>
      </c>
      <c r="BC207" t="inlineStr">
        <is>
          <t>32285001979409</t>
        </is>
      </c>
      <c r="BD207" t="inlineStr">
        <is>
          <t>893866992</t>
        </is>
      </c>
    </row>
    <row r="208">
      <c r="A208" t="inlineStr">
        <is>
          <t>No</t>
        </is>
      </c>
      <c r="B208" t="inlineStr">
        <is>
          <t>GB5014 .D48 2008</t>
        </is>
      </c>
      <c r="C208" t="inlineStr">
        <is>
          <t>0                      GB 5014000D  48          2008</t>
        </is>
      </c>
      <c r="D208" t="inlineStr">
        <is>
          <t>Dangerous world : natural disasters, manmade catastrophes, and the future of human survival / Marq de Villiers.</t>
        </is>
      </c>
      <c r="F208" t="inlineStr">
        <is>
          <t>No</t>
        </is>
      </c>
      <c r="G208" t="inlineStr">
        <is>
          <t>1</t>
        </is>
      </c>
      <c r="H208" t="inlineStr">
        <is>
          <t>No</t>
        </is>
      </c>
      <c r="I208" t="inlineStr">
        <is>
          <t>No</t>
        </is>
      </c>
      <c r="J208" t="inlineStr">
        <is>
          <t>0</t>
        </is>
      </c>
      <c r="K208" t="inlineStr">
        <is>
          <t>De Villiers, Marq.</t>
        </is>
      </c>
      <c r="L208" t="inlineStr">
        <is>
          <t>Toronto, Ont. : Viking Canada ; New York : Penguin Group (USA), 2008.</t>
        </is>
      </c>
      <c r="M208" t="inlineStr">
        <is>
          <t>2008</t>
        </is>
      </c>
      <c r="O208" t="inlineStr">
        <is>
          <t>eng</t>
        </is>
      </c>
      <c r="P208" t="inlineStr">
        <is>
          <t>onc</t>
        </is>
      </c>
      <c r="R208" t="inlineStr">
        <is>
          <t xml:space="preserve">GB </t>
        </is>
      </c>
      <c r="S208" t="n">
        <v>1</v>
      </c>
      <c r="T208" t="n">
        <v>1</v>
      </c>
      <c r="U208" t="inlineStr">
        <is>
          <t>2008-10-07</t>
        </is>
      </c>
      <c r="V208" t="inlineStr">
        <is>
          <t>2008-10-07</t>
        </is>
      </c>
      <c r="W208" t="inlineStr">
        <is>
          <t>2008-10-07</t>
        </is>
      </c>
      <c r="X208" t="inlineStr">
        <is>
          <t>2008-10-07</t>
        </is>
      </c>
      <c r="Y208" t="n">
        <v>166</v>
      </c>
      <c r="Z208" t="n">
        <v>82</v>
      </c>
      <c r="AA208" t="n">
        <v>90</v>
      </c>
      <c r="AB208" t="n">
        <v>1</v>
      </c>
      <c r="AC208" t="n">
        <v>1</v>
      </c>
      <c r="AD208" t="n">
        <v>1</v>
      </c>
      <c r="AE208" t="n">
        <v>1</v>
      </c>
      <c r="AF208" t="n">
        <v>0</v>
      </c>
      <c r="AG208" t="n">
        <v>0</v>
      </c>
      <c r="AH208" t="n">
        <v>1</v>
      </c>
      <c r="AI208" t="n">
        <v>1</v>
      </c>
      <c r="AJ208" t="n">
        <v>0</v>
      </c>
      <c r="AK208" t="n">
        <v>0</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HYPERLINK("https://creighton-primo.hosted.exlibrisgroup.com/primo-explore/search?tab=default_tab&amp;search_scope=EVERYTHING&amp;vid=01CRU&amp;lang=en_US&amp;offset=0&amp;query=any,contains,991005268939702656","Catalog Record")</f>
        <v/>
      </c>
      <c r="AT208">
        <f>HYPERLINK("http://www.worldcat.org/oclc/185022675","WorldCat Record")</f>
        <v/>
      </c>
      <c r="AU208" t="inlineStr">
        <is>
          <t>117727517:eng</t>
        </is>
      </c>
      <c r="AV208" t="inlineStr">
        <is>
          <t>185022675</t>
        </is>
      </c>
      <c r="AW208" t="inlineStr">
        <is>
          <t>991005268939702656</t>
        </is>
      </c>
      <c r="AX208" t="inlineStr">
        <is>
          <t>991005268939702656</t>
        </is>
      </c>
      <c r="AY208" t="inlineStr">
        <is>
          <t>2271669480002656</t>
        </is>
      </c>
      <c r="AZ208" t="inlineStr">
        <is>
          <t>BOOK</t>
        </is>
      </c>
      <c r="BB208" t="inlineStr">
        <is>
          <t>9780670065684</t>
        </is>
      </c>
      <c r="BC208" t="inlineStr">
        <is>
          <t>32285005462238</t>
        </is>
      </c>
      <c r="BD208" t="inlineStr">
        <is>
          <t>893619715</t>
        </is>
      </c>
    </row>
    <row r="209">
      <c r="A209" t="inlineStr">
        <is>
          <t>No</t>
        </is>
      </c>
      <c r="B209" t="inlineStr">
        <is>
          <t>GB5014 .E24 2000</t>
        </is>
      </c>
      <c r="C209" t="inlineStr">
        <is>
          <t>0                      GB 5014000E  24          2000</t>
        </is>
      </c>
      <c r="D209" t="inlineStr">
        <is>
          <t>Disasters : an analysis of natural and human-induced hazards / Charles H.V. Ebert.</t>
        </is>
      </c>
      <c r="F209" t="inlineStr">
        <is>
          <t>No</t>
        </is>
      </c>
      <c r="G209" t="inlineStr">
        <is>
          <t>1</t>
        </is>
      </c>
      <c r="H209" t="inlineStr">
        <is>
          <t>No</t>
        </is>
      </c>
      <c r="I209" t="inlineStr">
        <is>
          <t>No</t>
        </is>
      </c>
      <c r="J209" t="inlineStr">
        <is>
          <t>0</t>
        </is>
      </c>
      <c r="K209" t="inlineStr">
        <is>
          <t>Ebert, Charles H. V.</t>
        </is>
      </c>
      <c r="L209" t="inlineStr">
        <is>
          <t>Dubuque, Iowa : Kendall/Hunt Pub., c2000.</t>
        </is>
      </c>
      <c r="M209" t="inlineStr">
        <is>
          <t>2000</t>
        </is>
      </c>
      <c r="N209" t="inlineStr">
        <is>
          <t>4th ed.</t>
        </is>
      </c>
      <c r="O209" t="inlineStr">
        <is>
          <t>eng</t>
        </is>
      </c>
      <c r="P209" t="inlineStr">
        <is>
          <t>iau</t>
        </is>
      </c>
      <c r="R209" t="inlineStr">
        <is>
          <t xml:space="preserve">GB </t>
        </is>
      </c>
      <c r="S209" t="n">
        <v>3</v>
      </c>
      <c r="T209" t="n">
        <v>3</v>
      </c>
      <c r="U209" t="inlineStr">
        <is>
          <t>2008-10-12</t>
        </is>
      </c>
      <c r="V209" t="inlineStr">
        <is>
          <t>2008-10-12</t>
        </is>
      </c>
      <c r="W209" t="inlineStr">
        <is>
          <t>2002-03-18</t>
        </is>
      </c>
      <c r="X209" t="inlineStr">
        <is>
          <t>2002-03-18</t>
        </is>
      </c>
      <c r="Y209" t="n">
        <v>60</v>
      </c>
      <c r="Z209" t="n">
        <v>48</v>
      </c>
      <c r="AA209" t="n">
        <v>48</v>
      </c>
      <c r="AB209" t="n">
        <v>1</v>
      </c>
      <c r="AC209" t="n">
        <v>1</v>
      </c>
      <c r="AD209" t="n">
        <v>1</v>
      </c>
      <c r="AE209" t="n">
        <v>1</v>
      </c>
      <c r="AF209" t="n">
        <v>1</v>
      </c>
      <c r="AG209" t="n">
        <v>1</v>
      </c>
      <c r="AH209" t="n">
        <v>0</v>
      </c>
      <c r="AI209" t="n">
        <v>0</v>
      </c>
      <c r="AJ209" t="n">
        <v>1</v>
      </c>
      <c r="AK209" t="n">
        <v>1</v>
      </c>
      <c r="AL209" t="n">
        <v>0</v>
      </c>
      <c r="AM209" t="n">
        <v>0</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HYPERLINK("https://creighton-primo.hosted.exlibrisgroup.com/primo-explore/search?tab=default_tab&amp;search_scope=EVERYTHING&amp;vid=01CRU&amp;lang=en_US&amp;offset=0&amp;query=any,contains,991003721729702656","Catalog Record")</f>
        <v/>
      </c>
      <c r="AT209">
        <f>HYPERLINK("http://www.worldcat.org/oclc/45823914","WorldCat Record")</f>
        <v/>
      </c>
      <c r="AU209" t="inlineStr">
        <is>
          <t>35599082:eng</t>
        </is>
      </c>
      <c r="AV209" t="inlineStr">
        <is>
          <t>45823914</t>
        </is>
      </c>
      <c r="AW209" t="inlineStr">
        <is>
          <t>991003721729702656</t>
        </is>
      </c>
      <c r="AX209" t="inlineStr">
        <is>
          <t>991003721729702656</t>
        </is>
      </c>
      <c r="AY209" t="inlineStr">
        <is>
          <t>2262347020002656</t>
        </is>
      </c>
      <c r="AZ209" t="inlineStr">
        <is>
          <t>BOOK</t>
        </is>
      </c>
      <c r="BB209" t="inlineStr">
        <is>
          <t>9780787270735</t>
        </is>
      </c>
      <c r="BC209" t="inlineStr">
        <is>
          <t>32285004461694</t>
        </is>
      </c>
      <c r="BD209" t="inlineStr">
        <is>
          <t>893611361</t>
        </is>
      </c>
    </row>
    <row r="210">
      <c r="A210" t="inlineStr">
        <is>
          <t>No</t>
        </is>
      </c>
      <c r="B210" t="inlineStr">
        <is>
          <t>GB5014 .L35 1986</t>
        </is>
      </c>
      <c r="C210" t="inlineStr">
        <is>
          <t>0                      GB 5014000L  35          1986</t>
        </is>
      </c>
      <c r="D210" t="inlineStr">
        <is>
          <t>The violent earth / Frank W. Lane.</t>
        </is>
      </c>
      <c r="F210" t="inlineStr">
        <is>
          <t>No</t>
        </is>
      </c>
      <c r="G210" t="inlineStr">
        <is>
          <t>1</t>
        </is>
      </c>
      <c r="H210" t="inlineStr">
        <is>
          <t>No</t>
        </is>
      </c>
      <c r="I210" t="inlineStr">
        <is>
          <t>No</t>
        </is>
      </c>
      <c r="J210" t="inlineStr">
        <is>
          <t>0</t>
        </is>
      </c>
      <c r="K210" t="inlineStr">
        <is>
          <t>Lane, Frank W.</t>
        </is>
      </c>
      <c r="L210" t="inlineStr">
        <is>
          <t>London : Croom Helm, c1986.</t>
        </is>
      </c>
      <c r="M210" t="inlineStr">
        <is>
          <t>1986</t>
        </is>
      </c>
      <c r="O210" t="inlineStr">
        <is>
          <t>eng</t>
        </is>
      </c>
      <c r="P210" t="inlineStr">
        <is>
          <t>enk</t>
        </is>
      </c>
      <c r="R210" t="inlineStr">
        <is>
          <t xml:space="preserve">GB </t>
        </is>
      </c>
      <c r="S210" t="n">
        <v>7</v>
      </c>
      <c r="T210" t="n">
        <v>7</v>
      </c>
      <c r="U210" t="inlineStr">
        <is>
          <t>2001-11-13</t>
        </is>
      </c>
      <c r="V210" t="inlineStr">
        <is>
          <t>2001-11-13</t>
        </is>
      </c>
      <c r="W210" t="inlineStr">
        <is>
          <t>1990-09-13</t>
        </is>
      </c>
      <c r="X210" t="inlineStr">
        <is>
          <t>1990-09-13</t>
        </is>
      </c>
      <c r="Y210" t="n">
        <v>151</v>
      </c>
      <c r="Z210" t="n">
        <v>55</v>
      </c>
      <c r="AA210" t="n">
        <v>504</v>
      </c>
      <c r="AB210" t="n">
        <v>3</v>
      </c>
      <c r="AC210" t="n">
        <v>5</v>
      </c>
      <c r="AD210" t="n">
        <v>2</v>
      </c>
      <c r="AE210" t="n">
        <v>7</v>
      </c>
      <c r="AF210" t="n">
        <v>0</v>
      </c>
      <c r="AG210" t="n">
        <v>1</v>
      </c>
      <c r="AH210" t="n">
        <v>0</v>
      </c>
      <c r="AI210" t="n">
        <v>0</v>
      </c>
      <c r="AJ210" t="n">
        <v>0</v>
      </c>
      <c r="AK210" t="n">
        <v>2</v>
      </c>
      <c r="AL210" t="n">
        <v>2</v>
      </c>
      <c r="AM210" t="n">
        <v>4</v>
      </c>
      <c r="AN210" t="n">
        <v>0</v>
      </c>
      <c r="AO210" t="n">
        <v>0</v>
      </c>
      <c r="AP210" t="inlineStr">
        <is>
          <t>No</t>
        </is>
      </c>
      <c r="AQ210" t="inlineStr">
        <is>
          <t>Yes</t>
        </is>
      </c>
      <c r="AR210">
        <f>HYPERLINK("http://catalog.hathitrust.org/Record/102081853","HathiTrust Record")</f>
        <v/>
      </c>
      <c r="AS210">
        <f>HYPERLINK("https://creighton-primo.hosted.exlibrisgroup.com/primo-explore/search?tab=default_tab&amp;search_scope=EVERYTHING&amp;vid=01CRU&amp;lang=en_US&amp;offset=0&amp;query=any,contains,991000690269702656","Catalog Record")</f>
        <v/>
      </c>
      <c r="AT210">
        <f>HYPERLINK("http://www.worldcat.org/oclc/59845176","WorldCat Record")</f>
        <v/>
      </c>
      <c r="AU210" t="inlineStr">
        <is>
          <t>3901045413:eng</t>
        </is>
      </c>
      <c r="AV210" t="inlineStr">
        <is>
          <t>59845176</t>
        </is>
      </c>
      <c r="AW210" t="inlineStr">
        <is>
          <t>991000690269702656</t>
        </is>
      </c>
      <c r="AX210" t="inlineStr">
        <is>
          <t>991000690269702656</t>
        </is>
      </c>
      <c r="AY210" t="inlineStr">
        <is>
          <t>2265104510002656</t>
        </is>
      </c>
      <c r="AZ210" t="inlineStr">
        <is>
          <t>BOOK</t>
        </is>
      </c>
      <c r="BB210" t="inlineStr">
        <is>
          <t>9780709916673</t>
        </is>
      </c>
      <c r="BC210" t="inlineStr">
        <is>
          <t>32285000286483</t>
        </is>
      </c>
      <c r="BD210" t="inlineStr">
        <is>
          <t>893796911</t>
        </is>
      </c>
    </row>
    <row r="211">
      <c r="A211" t="inlineStr">
        <is>
          <t>No</t>
        </is>
      </c>
      <c r="B211" t="inlineStr">
        <is>
          <t>GB5014 .M3964 2002</t>
        </is>
      </c>
      <c r="C211" t="inlineStr">
        <is>
          <t>0                      GB 5014000M  3964        2002</t>
        </is>
      </c>
      <c r="D211" t="inlineStr">
        <is>
          <t>Natural hazards and environmental change / Bill McGuire, Ian Mason, Christopher Kilburn.</t>
        </is>
      </c>
      <c r="F211" t="inlineStr">
        <is>
          <t>No</t>
        </is>
      </c>
      <c r="G211" t="inlineStr">
        <is>
          <t>1</t>
        </is>
      </c>
      <c r="H211" t="inlineStr">
        <is>
          <t>No</t>
        </is>
      </c>
      <c r="I211" t="inlineStr">
        <is>
          <t>No</t>
        </is>
      </c>
      <c r="J211" t="inlineStr">
        <is>
          <t>0</t>
        </is>
      </c>
      <c r="K211" t="inlineStr">
        <is>
          <t>McGuire, Bill, 1954-</t>
        </is>
      </c>
      <c r="L211" t="inlineStr">
        <is>
          <t>London : Arnold ; New York : Oxford University Press, 2002.</t>
        </is>
      </c>
      <c r="M211" t="inlineStr">
        <is>
          <t>2002</t>
        </is>
      </c>
      <c r="O211" t="inlineStr">
        <is>
          <t>eng</t>
        </is>
      </c>
      <c r="P211" t="inlineStr">
        <is>
          <t>enk</t>
        </is>
      </c>
      <c r="Q211" t="inlineStr">
        <is>
          <t>Key issues in environmental change</t>
        </is>
      </c>
      <c r="R211" t="inlineStr">
        <is>
          <t xml:space="preserve">GB </t>
        </is>
      </c>
      <c r="S211" t="n">
        <v>1</v>
      </c>
      <c r="T211" t="n">
        <v>1</v>
      </c>
      <c r="U211" t="inlineStr">
        <is>
          <t>2004-01-06</t>
        </is>
      </c>
      <c r="V211" t="inlineStr">
        <is>
          <t>2004-01-06</t>
        </is>
      </c>
      <c r="W211" t="inlineStr">
        <is>
          <t>2004-01-06</t>
        </is>
      </c>
      <c r="X211" t="inlineStr">
        <is>
          <t>2004-01-06</t>
        </is>
      </c>
      <c r="Y211" t="n">
        <v>439</v>
      </c>
      <c r="Z211" t="n">
        <v>317</v>
      </c>
      <c r="AA211" t="n">
        <v>615</v>
      </c>
      <c r="AB211" t="n">
        <v>4</v>
      </c>
      <c r="AC211" t="n">
        <v>27</v>
      </c>
      <c r="AD211" t="n">
        <v>17</v>
      </c>
      <c r="AE211" t="n">
        <v>30</v>
      </c>
      <c r="AF211" t="n">
        <v>9</v>
      </c>
      <c r="AG211" t="n">
        <v>12</v>
      </c>
      <c r="AH211" t="n">
        <v>3</v>
      </c>
      <c r="AI211" t="n">
        <v>3</v>
      </c>
      <c r="AJ211" t="n">
        <v>5</v>
      </c>
      <c r="AK211" t="n">
        <v>7</v>
      </c>
      <c r="AL211" t="n">
        <v>3</v>
      </c>
      <c r="AM211" t="n">
        <v>12</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HYPERLINK("https://creighton-primo.hosted.exlibrisgroup.com/primo-explore/search?tab=default_tab&amp;search_scope=EVERYTHING&amp;vid=01CRU&amp;lang=en_US&amp;offset=0&amp;query=any,contains,991004181089702656","Catalog Record")</f>
        <v/>
      </c>
      <c r="AT211">
        <f>HYPERLINK("http://www.worldcat.org/oclc/47193563","WorldCat Record")</f>
        <v/>
      </c>
      <c r="AU211" t="inlineStr">
        <is>
          <t>14306169:eng</t>
        </is>
      </c>
      <c r="AV211" t="inlineStr">
        <is>
          <t>47193563</t>
        </is>
      </c>
      <c r="AW211" t="inlineStr">
        <is>
          <t>991004181089702656</t>
        </is>
      </c>
      <c r="AX211" t="inlineStr">
        <is>
          <t>991004181089702656</t>
        </is>
      </c>
      <c r="AY211" t="inlineStr">
        <is>
          <t>2270898030002656</t>
        </is>
      </c>
      <c r="AZ211" t="inlineStr">
        <is>
          <t>BOOK</t>
        </is>
      </c>
      <c r="BB211" t="inlineStr">
        <is>
          <t>9780340742198</t>
        </is>
      </c>
      <c r="BC211" t="inlineStr">
        <is>
          <t>32285004849310</t>
        </is>
      </c>
      <c r="BD211" t="inlineStr">
        <is>
          <t>893318892</t>
        </is>
      </c>
    </row>
    <row r="212">
      <c r="A212" t="inlineStr">
        <is>
          <t>No</t>
        </is>
      </c>
      <c r="B212" t="inlineStr">
        <is>
          <t>GB5014 .N37 1997</t>
        </is>
      </c>
      <c r="C212" t="inlineStr">
        <is>
          <t>0                      GB 5014000N  37          1997</t>
        </is>
      </c>
      <c r="D212" t="inlineStr">
        <is>
          <t>Natural disasters/ [written by Dougal Dixon ; edited by Robert Sackville West and Helen Douglas-Cooper ; picture research by Marian Pullen.]</t>
        </is>
      </c>
      <c r="F212" t="inlineStr">
        <is>
          <t>No</t>
        </is>
      </c>
      <c r="G212" t="inlineStr">
        <is>
          <t>1</t>
        </is>
      </c>
      <c r="H212" t="inlineStr">
        <is>
          <t>No</t>
        </is>
      </c>
      <c r="I212" t="inlineStr">
        <is>
          <t>No</t>
        </is>
      </c>
      <c r="J212" t="inlineStr">
        <is>
          <t>0</t>
        </is>
      </c>
      <c r="L212" t="inlineStr">
        <is>
          <t>Pleasantville, N.Y. : Reader's Digest Association, 1997.</t>
        </is>
      </c>
      <c r="M212" t="inlineStr">
        <is>
          <t>1997</t>
        </is>
      </c>
      <c r="O212" t="inlineStr">
        <is>
          <t>eng</t>
        </is>
      </c>
      <c r="P212" t="inlineStr">
        <is>
          <t>nyu</t>
        </is>
      </c>
      <c r="Q212" t="inlineStr">
        <is>
          <t>The earth, its wonders, its secrets</t>
        </is>
      </c>
      <c r="R212" t="inlineStr">
        <is>
          <t xml:space="preserve">GB </t>
        </is>
      </c>
      <c r="S212" t="n">
        <v>10</v>
      </c>
      <c r="T212" t="n">
        <v>10</v>
      </c>
      <c r="U212" t="inlineStr">
        <is>
          <t>2003-04-22</t>
        </is>
      </c>
      <c r="V212" t="inlineStr">
        <is>
          <t>2003-04-22</t>
        </is>
      </c>
      <c r="W212" t="inlineStr">
        <is>
          <t>1998-02-24</t>
        </is>
      </c>
      <c r="X212" t="inlineStr">
        <is>
          <t>1998-02-24</t>
        </is>
      </c>
      <c r="Y212" t="n">
        <v>551</v>
      </c>
      <c r="Z212" t="n">
        <v>548</v>
      </c>
      <c r="AA212" t="n">
        <v>573</v>
      </c>
      <c r="AB212" t="n">
        <v>7</v>
      </c>
      <c r="AC212" t="n">
        <v>7</v>
      </c>
      <c r="AD212" t="n">
        <v>1</v>
      </c>
      <c r="AE212" t="n">
        <v>1</v>
      </c>
      <c r="AF212" t="n">
        <v>0</v>
      </c>
      <c r="AG212" t="n">
        <v>0</v>
      </c>
      <c r="AH212" t="n">
        <v>0</v>
      </c>
      <c r="AI212" t="n">
        <v>0</v>
      </c>
      <c r="AJ212" t="n">
        <v>1</v>
      </c>
      <c r="AK212" t="n">
        <v>1</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HYPERLINK("https://creighton-primo.hosted.exlibrisgroup.com/primo-explore/search?tab=default_tab&amp;search_scope=EVERYTHING&amp;vid=01CRU&amp;lang=en_US&amp;offset=0&amp;query=any,contains,991002817299702656","Catalog Record")</f>
        <v/>
      </c>
      <c r="AT212">
        <f>HYPERLINK("http://www.worldcat.org/oclc/37004486","WorldCat Record")</f>
        <v/>
      </c>
      <c r="AU212" t="inlineStr">
        <is>
          <t>56145650:eng</t>
        </is>
      </c>
      <c r="AV212" t="inlineStr">
        <is>
          <t>37004486</t>
        </is>
      </c>
      <c r="AW212" t="inlineStr">
        <is>
          <t>991002817299702656</t>
        </is>
      </c>
      <c r="AX212" t="inlineStr">
        <is>
          <t>991002817299702656</t>
        </is>
      </c>
      <c r="AY212" t="inlineStr">
        <is>
          <t>2272474700002656</t>
        </is>
      </c>
      <c r="AZ212" t="inlineStr">
        <is>
          <t>BOOK</t>
        </is>
      </c>
      <c r="BB212" t="inlineStr">
        <is>
          <t>9780895779151</t>
        </is>
      </c>
      <c r="BC212" t="inlineStr">
        <is>
          <t>32285003355251</t>
        </is>
      </c>
      <c r="BD212" t="inlineStr">
        <is>
          <t>893251651</t>
        </is>
      </c>
    </row>
    <row r="213">
      <c r="A213" t="inlineStr">
        <is>
          <t>No</t>
        </is>
      </c>
      <c r="B213" t="inlineStr">
        <is>
          <t>GB5014 .P47 1982</t>
        </is>
      </c>
      <c r="C213" t="inlineStr">
        <is>
          <t>0                      GB 5014000P  47          1982</t>
        </is>
      </c>
      <c r="D213" t="inlineStr">
        <is>
          <t>Natural hazard risk assessment and public policy : anticipating the unexpected / William J. Petak, Arthur A. Atkisson.</t>
        </is>
      </c>
      <c r="F213" t="inlineStr">
        <is>
          <t>No</t>
        </is>
      </c>
      <c r="G213" t="inlineStr">
        <is>
          <t>1</t>
        </is>
      </c>
      <c r="H213" t="inlineStr">
        <is>
          <t>No</t>
        </is>
      </c>
      <c r="I213" t="inlineStr">
        <is>
          <t>No</t>
        </is>
      </c>
      <c r="J213" t="inlineStr">
        <is>
          <t>0</t>
        </is>
      </c>
      <c r="K213" t="inlineStr">
        <is>
          <t>Petak, William J.</t>
        </is>
      </c>
      <c r="L213" t="inlineStr">
        <is>
          <t>New York : Springer-Verlag, c1982.</t>
        </is>
      </c>
      <c r="M213" t="inlineStr">
        <is>
          <t>1982</t>
        </is>
      </c>
      <c r="O213" t="inlineStr">
        <is>
          <t>eng</t>
        </is>
      </c>
      <c r="P213" t="inlineStr">
        <is>
          <t>nyu</t>
        </is>
      </c>
      <c r="Q213" t="inlineStr">
        <is>
          <t>Springer series on environmental management</t>
        </is>
      </c>
      <c r="R213" t="inlineStr">
        <is>
          <t xml:space="preserve">GB </t>
        </is>
      </c>
      <c r="S213" t="n">
        <v>17</v>
      </c>
      <c r="T213" t="n">
        <v>17</v>
      </c>
      <c r="U213" t="inlineStr">
        <is>
          <t>2000-03-23</t>
        </is>
      </c>
      <c r="V213" t="inlineStr">
        <is>
          <t>2000-03-23</t>
        </is>
      </c>
      <c r="W213" t="inlineStr">
        <is>
          <t>1990-09-13</t>
        </is>
      </c>
      <c r="X213" t="inlineStr">
        <is>
          <t>1990-09-13</t>
        </is>
      </c>
      <c r="Y213" t="n">
        <v>327</v>
      </c>
      <c r="Z213" t="n">
        <v>219</v>
      </c>
      <c r="AA213" t="n">
        <v>220</v>
      </c>
      <c r="AB213" t="n">
        <v>3</v>
      </c>
      <c r="AC213" t="n">
        <v>3</v>
      </c>
      <c r="AD213" t="n">
        <v>8</v>
      </c>
      <c r="AE213" t="n">
        <v>8</v>
      </c>
      <c r="AF213" t="n">
        <v>0</v>
      </c>
      <c r="AG213" t="n">
        <v>0</v>
      </c>
      <c r="AH213" t="n">
        <v>3</v>
      </c>
      <c r="AI213" t="n">
        <v>3</v>
      </c>
      <c r="AJ213" t="n">
        <v>4</v>
      </c>
      <c r="AK213" t="n">
        <v>4</v>
      </c>
      <c r="AL213" t="n">
        <v>2</v>
      </c>
      <c r="AM213" t="n">
        <v>2</v>
      </c>
      <c r="AN213" t="n">
        <v>1</v>
      </c>
      <c r="AO213" t="n">
        <v>1</v>
      </c>
      <c r="AP213" t="inlineStr">
        <is>
          <t>No</t>
        </is>
      </c>
      <c r="AQ213" t="inlineStr">
        <is>
          <t>Yes</t>
        </is>
      </c>
      <c r="AR213">
        <f>HYPERLINK("http://catalog.hathitrust.org/Record/000286407","HathiTrust Record")</f>
        <v/>
      </c>
      <c r="AS213">
        <f>HYPERLINK("https://creighton-primo.hosted.exlibrisgroup.com/primo-explore/search?tab=default_tab&amp;search_scope=EVERYTHING&amp;vid=01CRU&amp;lang=en_US&amp;offset=0&amp;query=any,contains,991000034359702656","Catalog Record")</f>
        <v/>
      </c>
      <c r="AT213">
        <f>HYPERLINK("http://www.worldcat.org/oclc/8627049","WorldCat Record")</f>
        <v/>
      </c>
      <c r="AU213" t="inlineStr">
        <is>
          <t>896281990:eng</t>
        </is>
      </c>
      <c r="AV213" t="inlineStr">
        <is>
          <t>8627049</t>
        </is>
      </c>
      <c r="AW213" t="inlineStr">
        <is>
          <t>991000034359702656</t>
        </is>
      </c>
      <c r="AX213" t="inlineStr">
        <is>
          <t>991000034359702656</t>
        </is>
      </c>
      <c r="AY213" t="inlineStr">
        <is>
          <t>2261632780002656</t>
        </is>
      </c>
      <c r="AZ213" t="inlineStr">
        <is>
          <t>BOOK</t>
        </is>
      </c>
      <c r="BB213" t="inlineStr">
        <is>
          <t>9780387906454</t>
        </is>
      </c>
      <c r="BC213" t="inlineStr">
        <is>
          <t>32285000286491</t>
        </is>
      </c>
      <c r="BD213" t="inlineStr">
        <is>
          <t>893714240</t>
        </is>
      </c>
    </row>
    <row r="214">
      <c r="A214" t="inlineStr">
        <is>
          <t>No</t>
        </is>
      </c>
      <c r="B214" t="inlineStr">
        <is>
          <t>GB5014 .R62 1993</t>
        </is>
      </c>
      <c r="C214" t="inlineStr">
        <is>
          <t>0                      GB 5014000R  62          1993</t>
        </is>
      </c>
      <c r="D214" t="inlineStr">
        <is>
          <t>Earth shock : climate, complexity and the forces of nature / Andrew Robinson.</t>
        </is>
      </c>
      <c r="F214" t="inlineStr">
        <is>
          <t>No</t>
        </is>
      </c>
      <c r="G214" t="inlineStr">
        <is>
          <t>1</t>
        </is>
      </c>
      <c r="H214" t="inlineStr">
        <is>
          <t>No</t>
        </is>
      </c>
      <c r="I214" t="inlineStr">
        <is>
          <t>No</t>
        </is>
      </c>
      <c r="J214" t="inlineStr">
        <is>
          <t>0</t>
        </is>
      </c>
      <c r="K214" t="inlineStr">
        <is>
          <t>Robinson, Andrew, 1957-</t>
        </is>
      </c>
      <c r="L214" t="inlineStr">
        <is>
          <t>New York : Thames and Hudson, 1993.</t>
        </is>
      </c>
      <c r="M214" t="inlineStr">
        <is>
          <t>1993</t>
        </is>
      </c>
      <c r="O214" t="inlineStr">
        <is>
          <t>eng</t>
        </is>
      </c>
      <c r="P214" t="inlineStr">
        <is>
          <t>nyu</t>
        </is>
      </c>
      <c r="R214" t="inlineStr">
        <is>
          <t xml:space="preserve">GB </t>
        </is>
      </c>
      <c r="S214" t="n">
        <v>22</v>
      </c>
      <c r="T214" t="n">
        <v>22</v>
      </c>
      <c r="U214" t="inlineStr">
        <is>
          <t>2003-11-30</t>
        </is>
      </c>
      <c r="V214" t="inlineStr">
        <is>
          <t>2003-11-30</t>
        </is>
      </c>
      <c r="W214" t="inlineStr">
        <is>
          <t>1994-06-06</t>
        </is>
      </c>
      <c r="X214" t="inlineStr">
        <is>
          <t>1994-06-06</t>
        </is>
      </c>
      <c r="Y214" t="n">
        <v>896</v>
      </c>
      <c r="Z214" t="n">
        <v>841</v>
      </c>
      <c r="AA214" t="n">
        <v>1013</v>
      </c>
      <c r="AB214" t="n">
        <v>9</v>
      </c>
      <c r="AC214" t="n">
        <v>9</v>
      </c>
      <c r="AD214" t="n">
        <v>17</v>
      </c>
      <c r="AE214" t="n">
        <v>19</v>
      </c>
      <c r="AF214" t="n">
        <v>6</v>
      </c>
      <c r="AG214" t="n">
        <v>7</v>
      </c>
      <c r="AH214" t="n">
        <v>3</v>
      </c>
      <c r="AI214" t="n">
        <v>3</v>
      </c>
      <c r="AJ214" t="n">
        <v>5</v>
      </c>
      <c r="AK214" t="n">
        <v>6</v>
      </c>
      <c r="AL214" t="n">
        <v>6</v>
      </c>
      <c r="AM214" t="n">
        <v>6</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HYPERLINK("https://creighton-primo.hosted.exlibrisgroup.com/primo-explore/search?tab=default_tab&amp;search_scope=EVERYTHING&amp;vid=01CRU&amp;lang=en_US&amp;offset=0&amp;query=any,contains,991002251329702656","Catalog Record")</f>
        <v/>
      </c>
      <c r="AT214">
        <f>HYPERLINK("http://www.worldcat.org/oclc/29173594","WorldCat Record")</f>
        <v/>
      </c>
      <c r="AU214" t="inlineStr">
        <is>
          <t>31406442:eng</t>
        </is>
      </c>
      <c r="AV214" t="inlineStr">
        <is>
          <t>29173594</t>
        </is>
      </c>
      <c r="AW214" t="inlineStr">
        <is>
          <t>991002251329702656</t>
        </is>
      </c>
      <c r="AX214" t="inlineStr">
        <is>
          <t>991002251329702656</t>
        </is>
      </c>
      <c r="AY214" t="inlineStr">
        <is>
          <t>2258335780002656</t>
        </is>
      </c>
      <c r="AZ214" t="inlineStr">
        <is>
          <t>BOOK</t>
        </is>
      </c>
      <c r="BB214" t="inlineStr">
        <is>
          <t>9780500277386</t>
        </is>
      </c>
      <c r="BC214" t="inlineStr">
        <is>
          <t>32285001921187</t>
        </is>
      </c>
      <c r="BD214" t="inlineStr">
        <is>
          <t>893603377</t>
        </is>
      </c>
    </row>
    <row r="215">
      <c r="A215" t="inlineStr">
        <is>
          <t>No</t>
        </is>
      </c>
      <c r="B215" t="inlineStr">
        <is>
          <t>GB5014 .U53 1992</t>
        </is>
      </c>
      <c r="C215" t="inlineStr">
        <is>
          <t>0                      GB 5014000U  53          1992</t>
        </is>
      </c>
      <c r="D215" t="inlineStr">
        <is>
          <t>Understanding catastrophe / edited by Janine Bourriau.</t>
        </is>
      </c>
      <c r="F215" t="inlineStr">
        <is>
          <t>No</t>
        </is>
      </c>
      <c r="G215" t="inlineStr">
        <is>
          <t>1</t>
        </is>
      </c>
      <c r="H215" t="inlineStr">
        <is>
          <t>No</t>
        </is>
      </c>
      <c r="I215" t="inlineStr">
        <is>
          <t>No</t>
        </is>
      </c>
      <c r="J215" t="inlineStr">
        <is>
          <t>0</t>
        </is>
      </c>
      <c r="L215" t="inlineStr">
        <is>
          <t>Cambridge ; New York : Cambridge University Press, 1992.</t>
        </is>
      </c>
      <c r="M215" t="inlineStr">
        <is>
          <t>1992</t>
        </is>
      </c>
      <c r="O215" t="inlineStr">
        <is>
          <t>eng</t>
        </is>
      </c>
      <c r="P215" t="inlineStr">
        <is>
          <t>enk</t>
        </is>
      </c>
      <c r="R215" t="inlineStr">
        <is>
          <t xml:space="preserve">GB </t>
        </is>
      </c>
      <c r="S215" t="n">
        <v>15</v>
      </c>
      <c r="T215" t="n">
        <v>15</v>
      </c>
      <c r="U215" t="inlineStr">
        <is>
          <t>1996-04-30</t>
        </is>
      </c>
      <c r="V215" t="inlineStr">
        <is>
          <t>1996-04-30</t>
        </is>
      </c>
      <c r="W215" t="inlineStr">
        <is>
          <t>1993-08-25</t>
        </is>
      </c>
      <c r="X215" t="inlineStr">
        <is>
          <t>1993-08-25</t>
        </is>
      </c>
      <c r="Y215" t="n">
        <v>489</v>
      </c>
      <c r="Z215" t="n">
        <v>370</v>
      </c>
      <c r="AA215" t="n">
        <v>370</v>
      </c>
      <c r="AB215" t="n">
        <v>3</v>
      </c>
      <c r="AC215" t="n">
        <v>3</v>
      </c>
      <c r="AD215" t="n">
        <v>13</v>
      </c>
      <c r="AE215" t="n">
        <v>13</v>
      </c>
      <c r="AF215" t="n">
        <v>5</v>
      </c>
      <c r="AG215" t="n">
        <v>5</v>
      </c>
      <c r="AH215" t="n">
        <v>3</v>
      </c>
      <c r="AI215" t="n">
        <v>3</v>
      </c>
      <c r="AJ215" t="n">
        <v>5</v>
      </c>
      <c r="AK215" t="n">
        <v>5</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HYPERLINK("https://creighton-primo.hosted.exlibrisgroup.com/primo-explore/search?tab=default_tab&amp;search_scope=EVERYTHING&amp;vid=01CRU&amp;lang=en_US&amp;offset=0&amp;query=any,contains,991002011989702656","Catalog Record")</f>
        <v/>
      </c>
      <c r="AT215">
        <f>HYPERLINK("http://www.worldcat.org/oclc/25621112","WorldCat Record")</f>
        <v/>
      </c>
      <c r="AU215" t="inlineStr">
        <is>
          <t>28128930:eng</t>
        </is>
      </c>
      <c r="AV215" t="inlineStr">
        <is>
          <t>25621112</t>
        </is>
      </c>
      <c r="AW215" t="inlineStr">
        <is>
          <t>991002011989702656</t>
        </is>
      </c>
      <c r="AX215" t="inlineStr">
        <is>
          <t>991002011989702656</t>
        </is>
      </c>
      <c r="AY215" t="inlineStr">
        <is>
          <t>2265731340002656</t>
        </is>
      </c>
      <c r="AZ215" t="inlineStr">
        <is>
          <t>BOOK</t>
        </is>
      </c>
      <c r="BB215" t="inlineStr">
        <is>
          <t>9780521413244</t>
        </is>
      </c>
      <c r="BC215" t="inlineStr">
        <is>
          <t>32285001728475</t>
        </is>
      </c>
      <c r="BD215" t="inlineStr">
        <is>
          <t>893779322</t>
        </is>
      </c>
    </row>
    <row r="216">
      <c r="A216" t="inlineStr">
        <is>
          <t>No</t>
        </is>
      </c>
      <c r="B216" t="inlineStr">
        <is>
          <t>GB5018 .A84</t>
        </is>
      </c>
      <c r="C216" t="inlineStr">
        <is>
          <t>0                      GB 5018000A  84</t>
        </is>
      </c>
      <c r="D216" t="inlineStr">
        <is>
          <t>A choice of catastrophes : the disasters that threaten our world / by Isaac Asimov.</t>
        </is>
      </c>
      <c r="F216" t="inlineStr">
        <is>
          <t>No</t>
        </is>
      </c>
      <c r="G216" t="inlineStr">
        <is>
          <t>1</t>
        </is>
      </c>
      <c r="H216" t="inlineStr">
        <is>
          <t>No</t>
        </is>
      </c>
      <c r="I216" t="inlineStr">
        <is>
          <t>No</t>
        </is>
      </c>
      <c r="J216" t="inlineStr">
        <is>
          <t>0</t>
        </is>
      </c>
      <c r="K216" t="inlineStr">
        <is>
          <t>Asimov, Isaac, 1920-1992.</t>
        </is>
      </c>
      <c r="L216" t="inlineStr">
        <is>
          <t>New York : Simon and Schuster, c1979.</t>
        </is>
      </c>
      <c r="M216" t="inlineStr">
        <is>
          <t>1979</t>
        </is>
      </c>
      <c r="O216" t="inlineStr">
        <is>
          <t>eng</t>
        </is>
      </c>
      <c r="P216" t="inlineStr">
        <is>
          <t>nyu</t>
        </is>
      </c>
      <c r="R216" t="inlineStr">
        <is>
          <t xml:space="preserve">GB </t>
        </is>
      </c>
      <c r="S216" t="n">
        <v>2</v>
      </c>
      <c r="T216" t="n">
        <v>2</v>
      </c>
      <c r="U216" t="inlineStr">
        <is>
          <t>1994-09-08</t>
        </is>
      </c>
      <c r="V216" t="inlineStr">
        <is>
          <t>1994-09-08</t>
        </is>
      </c>
      <c r="W216" t="inlineStr">
        <is>
          <t>1990-09-13</t>
        </is>
      </c>
      <c r="X216" t="inlineStr">
        <is>
          <t>1990-09-13</t>
        </is>
      </c>
      <c r="Y216" t="n">
        <v>913</v>
      </c>
      <c r="Z216" t="n">
        <v>849</v>
      </c>
      <c r="AA216" t="n">
        <v>922</v>
      </c>
      <c r="AB216" t="n">
        <v>10</v>
      </c>
      <c r="AC216" t="n">
        <v>10</v>
      </c>
      <c r="AD216" t="n">
        <v>12</v>
      </c>
      <c r="AE216" t="n">
        <v>12</v>
      </c>
      <c r="AF216" t="n">
        <v>2</v>
      </c>
      <c r="AG216" t="n">
        <v>2</v>
      </c>
      <c r="AH216" t="n">
        <v>3</v>
      </c>
      <c r="AI216" t="n">
        <v>3</v>
      </c>
      <c r="AJ216" t="n">
        <v>4</v>
      </c>
      <c r="AK216" t="n">
        <v>4</v>
      </c>
      <c r="AL216" t="n">
        <v>6</v>
      </c>
      <c r="AM216" t="n">
        <v>6</v>
      </c>
      <c r="AN216" t="n">
        <v>0</v>
      </c>
      <c r="AO216" t="n">
        <v>0</v>
      </c>
      <c r="AP216" t="inlineStr">
        <is>
          <t>No</t>
        </is>
      </c>
      <c r="AQ216" t="inlineStr">
        <is>
          <t>Yes</t>
        </is>
      </c>
      <c r="AR216">
        <f>HYPERLINK("http://catalog.hathitrust.org/Record/000699129","HathiTrust Record")</f>
        <v/>
      </c>
      <c r="AS216">
        <f>HYPERLINK("https://creighton-primo.hosted.exlibrisgroup.com/primo-explore/search?tab=default_tab&amp;search_scope=EVERYTHING&amp;vid=01CRU&amp;lang=en_US&amp;offset=0&amp;query=any,contains,991004769529702656","Catalog Record")</f>
        <v/>
      </c>
      <c r="AT216">
        <f>HYPERLINK("http://www.worldcat.org/oclc/5051661","WorldCat Record")</f>
        <v/>
      </c>
      <c r="AU216" t="inlineStr">
        <is>
          <t>2452587217:eng</t>
        </is>
      </c>
      <c r="AV216" t="inlineStr">
        <is>
          <t>5051661</t>
        </is>
      </c>
      <c r="AW216" t="inlineStr">
        <is>
          <t>991004769529702656</t>
        </is>
      </c>
      <c r="AX216" t="inlineStr">
        <is>
          <t>991004769529702656</t>
        </is>
      </c>
      <c r="AY216" t="inlineStr">
        <is>
          <t>2263764820002656</t>
        </is>
      </c>
      <c r="AZ216" t="inlineStr">
        <is>
          <t>BOOK</t>
        </is>
      </c>
      <c r="BB216" t="inlineStr">
        <is>
          <t>9780671227012</t>
        </is>
      </c>
      <c r="BC216" t="inlineStr">
        <is>
          <t>32285000286509</t>
        </is>
      </c>
      <c r="BD216" t="inlineStr">
        <is>
          <t>893700649</t>
        </is>
      </c>
    </row>
    <row r="217">
      <c r="A217" t="inlineStr">
        <is>
          <t>No</t>
        </is>
      </c>
      <c r="B217" t="inlineStr">
        <is>
          <t>GB5018 .W34 1978</t>
        </is>
      </c>
      <c r="C217" t="inlineStr">
        <is>
          <t>0                      GB 5018000W  34          1978</t>
        </is>
      </c>
      <c r="D217" t="inlineStr">
        <is>
          <t>Catastrophe : the violent earth / by Tony Waltham.</t>
        </is>
      </c>
      <c r="F217" t="inlineStr">
        <is>
          <t>No</t>
        </is>
      </c>
      <c r="G217" t="inlineStr">
        <is>
          <t>1</t>
        </is>
      </c>
      <c r="H217" t="inlineStr">
        <is>
          <t>No</t>
        </is>
      </c>
      <c r="I217" t="inlineStr">
        <is>
          <t>No</t>
        </is>
      </c>
      <c r="J217" t="inlineStr">
        <is>
          <t>0</t>
        </is>
      </c>
      <c r="K217" t="inlineStr">
        <is>
          <t>Waltham, Tony.</t>
        </is>
      </c>
      <c r="L217" t="inlineStr">
        <is>
          <t>New York : Crown Publishers, c1978.</t>
        </is>
      </c>
      <c r="M217" t="inlineStr">
        <is>
          <t>1978</t>
        </is>
      </c>
      <c r="O217" t="inlineStr">
        <is>
          <t>eng</t>
        </is>
      </c>
      <c r="P217" t="inlineStr">
        <is>
          <t>nyu</t>
        </is>
      </c>
      <c r="R217" t="inlineStr">
        <is>
          <t xml:space="preserve">GB </t>
        </is>
      </c>
      <c r="S217" t="n">
        <v>4</v>
      </c>
      <c r="T217" t="n">
        <v>4</v>
      </c>
      <c r="U217" t="inlineStr">
        <is>
          <t>2000-03-12</t>
        </is>
      </c>
      <c r="V217" t="inlineStr">
        <is>
          <t>2000-03-12</t>
        </is>
      </c>
      <c r="W217" t="inlineStr">
        <is>
          <t>1990-05-17</t>
        </is>
      </c>
      <c r="X217" t="inlineStr">
        <is>
          <t>1990-05-17</t>
        </is>
      </c>
      <c r="Y217" t="n">
        <v>630</v>
      </c>
      <c r="Z217" t="n">
        <v>596</v>
      </c>
      <c r="AA217" t="n">
        <v>638</v>
      </c>
      <c r="AB217" t="n">
        <v>3</v>
      </c>
      <c r="AC217" t="n">
        <v>4</v>
      </c>
      <c r="AD217" t="n">
        <v>11</v>
      </c>
      <c r="AE217" t="n">
        <v>13</v>
      </c>
      <c r="AF217" t="n">
        <v>6</v>
      </c>
      <c r="AG217" t="n">
        <v>7</v>
      </c>
      <c r="AH217" t="n">
        <v>1</v>
      </c>
      <c r="AI217" t="n">
        <v>1</v>
      </c>
      <c r="AJ217" t="n">
        <v>5</v>
      </c>
      <c r="AK217" t="n">
        <v>5</v>
      </c>
      <c r="AL217" t="n">
        <v>2</v>
      </c>
      <c r="AM217" t="n">
        <v>3</v>
      </c>
      <c r="AN217" t="n">
        <v>0</v>
      </c>
      <c r="AO217" t="n">
        <v>0</v>
      </c>
      <c r="AP217" t="inlineStr">
        <is>
          <t>No</t>
        </is>
      </c>
      <c r="AQ217" t="inlineStr">
        <is>
          <t>Yes</t>
        </is>
      </c>
      <c r="AR217">
        <f>HYPERLINK("http://catalog.hathitrust.org/Record/000176762","HathiTrust Record")</f>
        <v/>
      </c>
      <c r="AS217">
        <f>HYPERLINK("https://creighton-primo.hosted.exlibrisgroup.com/primo-explore/search?tab=default_tab&amp;search_scope=EVERYTHING&amp;vid=01CRU&amp;lang=en_US&amp;offset=0&amp;query=any,contains,991004566859702656","Catalog Record")</f>
        <v/>
      </c>
      <c r="AT217">
        <f>HYPERLINK("http://www.worldcat.org/oclc/4004737","WorldCat Record")</f>
        <v/>
      </c>
      <c r="AU217" t="inlineStr">
        <is>
          <t>13637669:eng</t>
        </is>
      </c>
      <c r="AV217" t="inlineStr">
        <is>
          <t>4004737</t>
        </is>
      </c>
      <c r="AW217" t="inlineStr">
        <is>
          <t>991004566859702656</t>
        </is>
      </c>
      <c r="AX217" t="inlineStr">
        <is>
          <t>991004566859702656</t>
        </is>
      </c>
      <c r="AY217" t="inlineStr">
        <is>
          <t>2264990060002656</t>
        </is>
      </c>
      <c r="AZ217" t="inlineStr">
        <is>
          <t>BOOK</t>
        </is>
      </c>
      <c r="BB217" t="inlineStr">
        <is>
          <t>9780517532096</t>
        </is>
      </c>
      <c r="BC217" t="inlineStr">
        <is>
          <t>32285000152560</t>
        </is>
      </c>
      <c r="BD217" t="inlineStr">
        <is>
          <t>893423959</t>
        </is>
      </c>
    </row>
    <row r="218">
      <c r="A218" t="inlineStr">
        <is>
          <t>No</t>
        </is>
      </c>
      <c r="B218" t="inlineStr">
        <is>
          <t>GB5020 .V5 1986</t>
        </is>
      </c>
      <c r="C218" t="inlineStr">
        <is>
          <t>0                      GB 5020000V  5           1986</t>
        </is>
      </c>
      <c r="D218" t="inlineStr">
        <is>
          <t>Violent forces of nature / Robert H. Maybury, editor.</t>
        </is>
      </c>
      <c r="F218" t="inlineStr">
        <is>
          <t>No</t>
        </is>
      </c>
      <c r="G218" t="inlineStr">
        <is>
          <t>1</t>
        </is>
      </c>
      <c r="H218" t="inlineStr">
        <is>
          <t>No</t>
        </is>
      </c>
      <c r="I218" t="inlineStr">
        <is>
          <t>No</t>
        </is>
      </c>
      <c r="J218" t="inlineStr">
        <is>
          <t>0</t>
        </is>
      </c>
      <c r="L218" t="inlineStr">
        <is>
          <t>Mt. Airy, Md. : Lomond Publications, c1986.</t>
        </is>
      </c>
      <c r="M218" t="inlineStr">
        <is>
          <t>1986</t>
        </is>
      </c>
      <c r="O218" t="inlineStr">
        <is>
          <t>eng</t>
        </is>
      </c>
      <c r="P218" t="inlineStr">
        <is>
          <t>mdu</t>
        </is>
      </c>
      <c r="R218" t="inlineStr">
        <is>
          <t xml:space="preserve">GB </t>
        </is>
      </c>
      <c r="S218" t="n">
        <v>8</v>
      </c>
      <c r="T218" t="n">
        <v>8</v>
      </c>
      <c r="U218" t="inlineStr">
        <is>
          <t>1996-04-30</t>
        </is>
      </c>
      <c r="V218" t="inlineStr">
        <is>
          <t>1996-04-30</t>
        </is>
      </c>
      <c r="W218" t="inlineStr">
        <is>
          <t>1990-09-13</t>
        </is>
      </c>
      <c r="X218" t="inlineStr">
        <is>
          <t>1990-09-13</t>
        </is>
      </c>
      <c r="Y218" t="n">
        <v>578</v>
      </c>
      <c r="Z218" t="n">
        <v>509</v>
      </c>
      <c r="AA218" t="n">
        <v>517</v>
      </c>
      <c r="AB218" t="n">
        <v>6</v>
      </c>
      <c r="AC218" t="n">
        <v>6</v>
      </c>
      <c r="AD218" t="n">
        <v>15</v>
      </c>
      <c r="AE218" t="n">
        <v>15</v>
      </c>
      <c r="AF218" t="n">
        <v>6</v>
      </c>
      <c r="AG218" t="n">
        <v>6</v>
      </c>
      <c r="AH218" t="n">
        <v>5</v>
      </c>
      <c r="AI218" t="n">
        <v>5</v>
      </c>
      <c r="AJ218" t="n">
        <v>4</v>
      </c>
      <c r="AK218" t="n">
        <v>4</v>
      </c>
      <c r="AL218" t="n">
        <v>5</v>
      </c>
      <c r="AM218" t="n">
        <v>5</v>
      </c>
      <c r="AN218" t="n">
        <v>0</v>
      </c>
      <c r="AO218" t="n">
        <v>0</v>
      </c>
      <c r="AP218" t="inlineStr">
        <is>
          <t>No</t>
        </is>
      </c>
      <c r="AQ218" t="inlineStr">
        <is>
          <t>Yes</t>
        </is>
      </c>
      <c r="AR218">
        <f>HYPERLINK("http://catalog.hathitrust.org/Record/000537355","HathiTrust Record")</f>
        <v/>
      </c>
      <c r="AS218">
        <f>HYPERLINK("https://creighton-primo.hosted.exlibrisgroup.com/primo-explore/search?tab=default_tab&amp;search_scope=EVERYTHING&amp;vid=01CRU&amp;lang=en_US&amp;offset=0&amp;query=any,contains,991000916289702656","Catalog Record")</f>
        <v/>
      </c>
      <c r="AT218">
        <f>HYPERLINK("http://www.worldcat.org/oclc/14176237","WorldCat Record")</f>
        <v/>
      </c>
      <c r="AU218" t="inlineStr">
        <is>
          <t>434513772:eng</t>
        </is>
      </c>
      <c r="AV218" t="inlineStr">
        <is>
          <t>14176237</t>
        </is>
      </c>
      <c r="AW218" t="inlineStr">
        <is>
          <t>991000916289702656</t>
        </is>
      </c>
      <c r="AX218" t="inlineStr">
        <is>
          <t>991000916289702656</t>
        </is>
      </c>
      <c r="AY218" t="inlineStr">
        <is>
          <t>2259871500002656</t>
        </is>
      </c>
      <c r="AZ218" t="inlineStr">
        <is>
          <t>BOOK</t>
        </is>
      </c>
      <c r="BB218" t="inlineStr">
        <is>
          <t>9780912338385</t>
        </is>
      </c>
      <c r="BC218" t="inlineStr">
        <is>
          <t>32285000286517</t>
        </is>
      </c>
      <c r="BD218" t="inlineStr">
        <is>
          <t>893715009</t>
        </is>
      </c>
    </row>
    <row r="219">
      <c r="A219" t="inlineStr">
        <is>
          <t>No</t>
        </is>
      </c>
      <c r="B219" t="inlineStr">
        <is>
          <t>GB56 .S74</t>
        </is>
      </c>
      <c r="C219" t="inlineStr">
        <is>
          <t>0                      GB 0056000S  74</t>
        </is>
      </c>
      <c r="D219" t="inlineStr">
        <is>
          <t>Introduction to physical geography / [by] Arthur N. Strahler.</t>
        </is>
      </c>
      <c r="F219" t="inlineStr">
        <is>
          <t>No</t>
        </is>
      </c>
      <c r="G219" t="inlineStr">
        <is>
          <t>1</t>
        </is>
      </c>
      <c r="H219" t="inlineStr">
        <is>
          <t>No</t>
        </is>
      </c>
      <c r="I219" t="inlineStr">
        <is>
          <t>No</t>
        </is>
      </c>
      <c r="J219" t="inlineStr">
        <is>
          <t>0</t>
        </is>
      </c>
      <c r="K219" t="inlineStr">
        <is>
          <t>Strahler, Arthur N. (Arthur Newell), 1918-2002.</t>
        </is>
      </c>
      <c r="L219" t="inlineStr">
        <is>
          <t>New York : J. Wiley, [1965]</t>
        </is>
      </c>
      <c r="M219" t="inlineStr">
        <is>
          <t>1965</t>
        </is>
      </c>
      <c r="O219" t="inlineStr">
        <is>
          <t>eng</t>
        </is>
      </c>
      <c r="P219" t="inlineStr">
        <is>
          <t>nyu</t>
        </is>
      </c>
      <c r="R219" t="inlineStr">
        <is>
          <t xml:space="preserve">GB </t>
        </is>
      </c>
      <c r="S219" t="n">
        <v>2</v>
      </c>
      <c r="T219" t="n">
        <v>2</v>
      </c>
      <c r="U219" t="inlineStr">
        <is>
          <t>1994-04-21</t>
        </is>
      </c>
      <c r="V219" t="inlineStr">
        <is>
          <t>1994-04-21</t>
        </is>
      </c>
      <c r="W219" t="inlineStr">
        <is>
          <t>1990-12-28</t>
        </is>
      </c>
      <c r="X219" t="inlineStr">
        <is>
          <t>1990-12-28</t>
        </is>
      </c>
      <c r="Y219" t="n">
        <v>358</v>
      </c>
      <c r="Z219" t="n">
        <v>276</v>
      </c>
      <c r="AA219" t="n">
        <v>551</v>
      </c>
      <c r="AB219" t="n">
        <v>4</v>
      </c>
      <c r="AC219" t="n">
        <v>4</v>
      </c>
      <c r="AD219" t="n">
        <v>9</v>
      </c>
      <c r="AE219" t="n">
        <v>13</v>
      </c>
      <c r="AF219" t="n">
        <v>2</v>
      </c>
      <c r="AG219" t="n">
        <v>4</v>
      </c>
      <c r="AH219" t="n">
        <v>2</v>
      </c>
      <c r="AI219" t="n">
        <v>4</v>
      </c>
      <c r="AJ219" t="n">
        <v>4</v>
      </c>
      <c r="AK219" t="n">
        <v>7</v>
      </c>
      <c r="AL219" t="n">
        <v>3</v>
      </c>
      <c r="AM219" t="n">
        <v>3</v>
      </c>
      <c r="AN219" t="n">
        <v>0</v>
      </c>
      <c r="AO219" t="n">
        <v>0</v>
      </c>
      <c r="AP219" t="inlineStr">
        <is>
          <t>No</t>
        </is>
      </c>
      <c r="AQ219" t="inlineStr">
        <is>
          <t>Yes</t>
        </is>
      </c>
      <c r="AR219">
        <f>HYPERLINK("http://catalog.hathitrust.org/Record/001272724","HathiTrust Record")</f>
        <v/>
      </c>
      <c r="AS219">
        <f>HYPERLINK("https://creighton-primo.hosted.exlibrisgroup.com/primo-explore/search?tab=default_tab&amp;search_scope=EVERYTHING&amp;vid=01CRU&amp;lang=en_US&amp;offset=0&amp;query=any,contains,991001916729702656","Catalog Record")</f>
        <v/>
      </c>
      <c r="AT219">
        <f>HYPERLINK("http://www.worldcat.org/oclc/243857","WorldCat Record")</f>
        <v/>
      </c>
      <c r="AU219" t="inlineStr">
        <is>
          <t>1178685:eng</t>
        </is>
      </c>
      <c r="AV219" t="inlineStr">
        <is>
          <t>243857</t>
        </is>
      </c>
      <c r="AW219" t="inlineStr">
        <is>
          <t>991001916729702656</t>
        </is>
      </c>
      <c r="AX219" t="inlineStr">
        <is>
          <t>991001916729702656</t>
        </is>
      </c>
      <c r="AY219" t="inlineStr">
        <is>
          <t>2268980130002656</t>
        </is>
      </c>
      <c r="AZ219" t="inlineStr">
        <is>
          <t>BOOK</t>
        </is>
      </c>
      <c r="BC219" t="inlineStr">
        <is>
          <t>32285000426147</t>
        </is>
      </c>
      <c r="BD219" t="inlineStr">
        <is>
          <t>893238449</t>
        </is>
      </c>
    </row>
    <row r="220">
      <c r="A220" t="inlineStr">
        <is>
          <t>No</t>
        </is>
      </c>
      <c r="B220" t="inlineStr">
        <is>
          <t>GB575.N2 P7 2000</t>
        </is>
      </c>
      <c r="C220" t="inlineStr">
        <is>
          <t>0                      GB 0575000N  2                  P  7           2000</t>
        </is>
      </c>
      <c r="D220" t="inlineStr">
        <is>
          <t>A prairie mosaic : an atlas of central Nebraska's land, culture, and nature / editors Steven J. Rothenberger, Susanne George-Bloomfield.</t>
        </is>
      </c>
      <c r="F220" t="inlineStr">
        <is>
          <t>No</t>
        </is>
      </c>
      <c r="G220" t="inlineStr">
        <is>
          <t>1</t>
        </is>
      </c>
      <c r="H220" t="inlineStr">
        <is>
          <t>No</t>
        </is>
      </c>
      <c r="I220" t="inlineStr">
        <is>
          <t>No</t>
        </is>
      </c>
      <c r="J220" t="inlineStr">
        <is>
          <t>0</t>
        </is>
      </c>
      <c r="L220" t="inlineStr">
        <is>
          <t>Kearney, Neb. : University of Nebraska at Kearney, 2000.</t>
        </is>
      </c>
      <c r="M220" t="inlineStr">
        <is>
          <t>2000</t>
        </is>
      </c>
      <c r="O220" t="inlineStr">
        <is>
          <t>eng</t>
        </is>
      </c>
      <c r="P220" t="inlineStr">
        <is>
          <t>nbu</t>
        </is>
      </c>
      <c r="R220" t="inlineStr">
        <is>
          <t xml:space="preserve">GB </t>
        </is>
      </c>
      <c r="S220" t="n">
        <v>7</v>
      </c>
      <c r="T220" t="n">
        <v>7</v>
      </c>
      <c r="U220" t="inlineStr">
        <is>
          <t>2004-11-29</t>
        </is>
      </c>
      <c r="V220" t="inlineStr">
        <is>
          <t>2004-11-29</t>
        </is>
      </c>
      <c r="W220" t="inlineStr">
        <is>
          <t>2002-10-28</t>
        </is>
      </c>
      <c r="X220" t="inlineStr">
        <is>
          <t>2002-10-28</t>
        </is>
      </c>
      <c r="Y220" t="n">
        <v>49</v>
      </c>
      <c r="Z220" t="n">
        <v>48</v>
      </c>
      <c r="AA220" t="n">
        <v>54</v>
      </c>
      <c r="AB220" t="n">
        <v>30</v>
      </c>
      <c r="AC220" t="n">
        <v>30</v>
      </c>
      <c r="AD220" t="n">
        <v>8</v>
      </c>
      <c r="AE220" t="n">
        <v>8</v>
      </c>
      <c r="AF220" t="n">
        <v>0</v>
      </c>
      <c r="AG220" t="n">
        <v>0</v>
      </c>
      <c r="AH220" t="n">
        <v>0</v>
      </c>
      <c r="AI220" t="n">
        <v>0</v>
      </c>
      <c r="AJ220" t="n">
        <v>0</v>
      </c>
      <c r="AK220" t="n">
        <v>0</v>
      </c>
      <c r="AL220" t="n">
        <v>8</v>
      </c>
      <c r="AM220" t="n">
        <v>8</v>
      </c>
      <c r="AN220" t="n">
        <v>0</v>
      </c>
      <c r="AO220" t="n">
        <v>0</v>
      </c>
      <c r="AP220" t="inlineStr">
        <is>
          <t>No</t>
        </is>
      </c>
      <c r="AQ220" t="inlineStr">
        <is>
          <t>Yes</t>
        </is>
      </c>
      <c r="AR220">
        <f>HYPERLINK("http://catalog.hathitrust.org/Record/007510630","HathiTrust Record")</f>
        <v/>
      </c>
      <c r="AS220">
        <f>HYPERLINK("https://creighton-primo.hosted.exlibrisgroup.com/primo-explore/search?tab=default_tab&amp;search_scope=EVERYTHING&amp;vid=01CRU&amp;lang=en_US&amp;offset=0&amp;query=any,contains,991003921169702656","Catalog Record")</f>
        <v/>
      </c>
      <c r="AT220">
        <f>HYPERLINK("http://www.worldcat.org/oclc/45383756","WorldCat Record")</f>
        <v/>
      </c>
      <c r="AU220" t="inlineStr">
        <is>
          <t>2220503400:eng</t>
        </is>
      </c>
      <c r="AV220" t="inlineStr">
        <is>
          <t>45383756</t>
        </is>
      </c>
      <c r="AW220" t="inlineStr">
        <is>
          <t>991003921169702656</t>
        </is>
      </c>
      <c r="AX220" t="inlineStr">
        <is>
          <t>991003921169702656</t>
        </is>
      </c>
      <c r="AY220" t="inlineStr">
        <is>
          <t>2267886190002656</t>
        </is>
      </c>
      <c r="AZ220" t="inlineStr">
        <is>
          <t>BOOK</t>
        </is>
      </c>
      <c r="BB220" t="inlineStr">
        <is>
          <t>9780739205129</t>
        </is>
      </c>
      <c r="BC220" t="inlineStr">
        <is>
          <t>32285004656996</t>
        </is>
      </c>
      <c r="BD220" t="inlineStr">
        <is>
          <t>893330993</t>
        </is>
      </c>
    </row>
    <row r="221">
      <c r="A221" t="inlineStr">
        <is>
          <t>No</t>
        </is>
      </c>
      <c r="B221" t="inlineStr">
        <is>
          <t>GB60 .N27 1983</t>
        </is>
      </c>
      <c r="C221" t="inlineStr">
        <is>
          <t>0                      GB 0060000N  27          1983</t>
        </is>
      </c>
      <c r="D221" t="inlineStr">
        <is>
          <t>Nature's world of wonders / prepared by the Special Publications Division, National Geographic Society.</t>
        </is>
      </c>
      <c r="F221" t="inlineStr">
        <is>
          <t>No</t>
        </is>
      </c>
      <c r="G221" t="inlineStr">
        <is>
          <t>1</t>
        </is>
      </c>
      <c r="H221" t="inlineStr">
        <is>
          <t>No</t>
        </is>
      </c>
      <c r="I221" t="inlineStr">
        <is>
          <t>No</t>
        </is>
      </c>
      <c r="J221" t="inlineStr">
        <is>
          <t>0</t>
        </is>
      </c>
      <c r="L221" t="inlineStr">
        <is>
          <t>Washington, D.C. : The Society, c1983.</t>
        </is>
      </c>
      <c r="M221" t="inlineStr">
        <is>
          <t>1983</t>
        </is>
      </c>
      <c r="O221" t="inlineStr">
        <is>
          <t>eng</t>
        </is>
      </c>
      <c r="P221" t="inlineStr">
        <is>
          <t>dcu</t>
        </is>
      </c>
      <c r="R221" t="inlineStr">
        <is>
          <t xml:space="preserve">GB </t>
        </is>
      </c>
      <c r="S221" t="n">
        <v>1</v>
      </c>
      <c r="T221" t="n">
        <v>1</v>
      </c>
      <c r="U221" t="inlineStr">
        <is>
          <t>2008-06-11</t>
        </is>
      </c>
      <c r="V221" t="inlineStr">
        <is>
          <t>2008-06-11</t>
        </is>
      </c>
      <c r="W221" t="inlineStr">
        <is>
          <t>2008-06-11</t>
        </is>
      </c>
      <c r="X221" t="inlineStr">
        <is>
          <t>2008-06-11</t>
        </is>
      </c>
      <c r="Y221" t="n">
        <v>1360</v>
      </c>
      <c r="Z221" t="n">
        <v>1289</v>
      </c>
      <c r="AA221" t="n">
        <v>1301</v>
      </c>
      <c r="AB221" t="n">
        <v>9</v>
      </c>
      <c r="AC221" t="n">
        <v>9</v>
      </c>
      <c r="AD221" t="n">
        <v>8</v>
      </c>
      <c r="AE221" t="n">
        <v>8</v>
      </c>
      <c r="AF221" t="n">
        <v>6</v>
      </c>
      <c r="AG221" t="n">
        <v>6</v>
      </c>
      <c r="AH221" t="n">
        <v>1</v>
      </c>
      <c r="AI221" t="n">
        <v>1</v>
      </c>
      <c r="AJ221" t="n">
        <v>3</v>
      </c>
      <c r="AK221" t="n">
        <v>3</v>
      </c>
      <c r="AL221" t="n">
        <v>0</v>
      </c>
      <c r="AM221" t="n">
        <v>0</v>
      </c>
      <c r="AN221" t="n">
        <v>1</v>
      </c>
      <c r="AO221" t="n">
        <v>1</v>
      </c>
      <c r="AP221" t="inlineStr">
        <is>
          <t>No</t>
        </is>
      </c>
      <c r="AQ221" t="inlineStr">
        <is>
          <t>No</t>
        </is>
      </c>
      <c r="AS221">
        <f>HYPERLINK("https://creighton-primo.hosted.exlibrisgroup.com/primo-explore/search?tab=default_tab&amp;search_scope=EVERYTHING&amp;vid=01CRU&amp;lang=en_US&amp;offset=0&amp;query=any,contains,991005234439702656","Catalog Record")</f>
        <v/>
      </c>
      <c r="AT221">
        <f>HYPERLINK("http://www.worldcat.org/oclc/9371145","WorldCat Record")</f>
        <v/>
      </c>
      <c r="AU221" t="inlineStr">
        <is>
          <t>54561854:eng</t>
        </is>
      </c>
      <c r="AV221" t="inlineStr">
        <is>
          <t>9371145</t>
        </is>
      </c>
      <c r="AW221" t="inlineStr">
        <is>
          <t>991005234439702656</t>
        </is>
      </c>
      <c r="AX221" t="inlineStr">
        <is>
          <t>991005234439702656</t>
        </is>
      </c>
      <c r="AY221" t="inlineStr">
        <is>
          <t>2266986030002656</t>
        </is>
      </c>
      <c r="AZ221" t="inlineStr">
        <is>
          <t>BOOK</t>
        </is>
      </c>
      <c r="BB221" t="inlineStr">
        <is>
          <t>9780870444395</t>
        </is>
      </c>
      <c r="BC221" t="inlineStr">
        <is>
          <t>32285005445118</t>
        </is>
      </c>
      <c r="BD221" t="inlineStr">
        <is>
          <t>893777078</t>
        </is>
      </c>
    </row>
    <row r="222">
      <c r="A222" t="inlineStr">
        <is>
          <t>No</t>
        </is>
      </c>
      <c r="B222" t="inlineStr">
        <is>
          <t>GB60 .W4513 1966</t>
        </is>
      </c>
      <c r="C222" t="inlineStr">
        <is>
          <t>0                      GB 0060000W  4513        1966</t>
        </is>
      </c>
      <c r="D222" t="inlineStr">
        <is>
          <t>The origin of continents and oceans / by Alfred Wegener. Translated from the 4th rev. German ed. by John Biram.</t>
        </is>
      </c>
      <c r="F222" t="inlineStr">
        <is>
          <t>No</t>
        </is>
      </c>
      <c r="G222" t="inlineStr">
        <is>
          <t>1</t>
        </is>
      </c>
      <c r="H222" t="inlineStr">
        <is>
          <t>No</t>
        </is>
      </c>
      <c r="I222" t="inlineStr">
        <is>
          <t>No</t>
        </is>
      </c>
      <c r="J222" t="inlineStr">
        <is>
          <t>0</t>
        </is>
      </c>
      <c r="K222" t="inlineStr">
        <is>
          <t>Wegener, Alfred, 1880-1930.</t>
        </is>
      </c>
      <c r="L222" t="inlineStr">
        <is>
          <t>New York : Dover Publications, [1966]</t>
        </is>
      </c>
      <c r="M222" t="inlineStr">
        <is>
          <t>1966</t>
        </is>
      </c>
      <c r="O222" t="inlineStr">
        <is>
          <t>eng</t>
        </is>
      </c>
      <c r="P222" t="inlineStr">
        <is>
          <t>nyu</t>
        </is>
      </c>
      <c r="R222" t="inlineStr">
        <is>
          <t xml:space="preserve">GB </t>
        </is>
      </c>
      <c r="S222" t="n">
        <v>2</v>
      </c>
      <c r="T222" t="n">
        <v>2</v>
      </c>
      <c r="U222" t="inlineStr">
        <is>
          <t>1993-12-06</t>
        </is>
      </c>
      <c r="V222" t="inlineStr">
        <is>
          <t>1993-12-06</t>
        </is>
      </c>
      <c r="W222" t="inlineStr">
        <is>
          <t>1992-01-09</t>
        </is>
      </c>
      <c r="X222" t="inlineStr">
        <is>
          <t>1992-01-09</t>
        </is>
      </c>
      <c r="Y222" t="n">
        <v>904</v>
      </c>
      <c r="Z222" t="n">
        <v>782</v>
      </c>
      <c r="AA222" t="n">
        <v>887</v>
      </c>
      <c r="AB222" t="n">
        <v>6</v>
      </c>
      <c r="AC222" t="n">
        <v>6</v>
      </c>
      <c r="AD222" t="n">
        <v>26</v>
      </c>
      <c r="AE222" t="n">
        <v>27</v>
      </c>
      <c r="AF222" t="n">
        <v>8</v>
      </c>
      <c r="AG222" t="n">
        <v>9</v>
      </c>
      <c r="AH222" t="n">
        <v>4</v>
      </c>
      <c r="AI222" t="n">
        <v>4</v>
      </c>
      <c r="AJ222" t="n">
        <v>14</v>
      </c>
      <c r="AK222" t="n">
        <v>14</v>
      </c>
      <c r="AL222" t="n">
        <v>5</v>
      </c>
      <c r="AM222" t="n">
        <v>5</v>
      </c>
      <c r="AN222" t="n">
        <v>0</v>
      </c>
      <c r="AO222" t="n">
        <v>0</v>
      </c>
      <c r="AP222" t="inlineStr">
        <is>
          <t>No</t>
        </is>
      </c>
      <c r="AQ222" t="inlineStr">
        <is>
          <t>Yes</t>
        </is>
      </c>
      <c r="AR222">
        <f>HYPERLINK("http://catalog.hathitrust.org/Record/001488358","HathiTrust Record")</f>
        <v/>
      </c>
      <c r="AS222">
        <f>HYPERLINK("https://creighton-primo.hosted.exlibrisgroup.com/primo-explore/search?tab=default_tab&amp;search_scope=EVERYTHING&amp;vid=01CRU&amp;lang=en_US&amp;offset=0&amp;query=any,contains,991002852139702656","Catalog Record")</f>
        <v/>
      </c>
      <c r="AT222">
        <f>HYPERLINK("http://www.worldcat.org/oclc/487647","WorldCat Record")</f>
        <v/>
      </c>
      <c r="AU222" t="inlineStr">
        <is>
          <t>4758018215:eng</t>
        </is>
      </c>
      <c r="AV222" t="inlineStr">
        <is>
          <t>487647</t>
        </is>
      </c>
      <c r="AW222" t="inlineStr">
        <is>
          <t>991002852139702656</t>
        </is>
      </c>
      <c r="AX222" t="inlineStr">
        <is>
          <t>991002852139702656</t>
        </is>
      </c>
      <c r="AY222" t="inlineStr">
        <is>
          <t>2255129820002656</t>
        </is>
      </c>
      <c r="AZ222" t="inlineStr">
        <is>
          <t>BOOK</t>
        </is>
      </c>
      <c r="BC222" t="inlineStr">
        <is>
          <t>32285000892942</t>
        </is>
      </c>
      <c r="BD222" t="inlineStr">
        <is>
          <t>893793012</t>
        </is>
      </c>
    </row>
    <row r="223">
      <c r="A223" t="inlineStr">
        <is>
          <t>No</t>
        </is>
      </c>
      <c r="B223" t="inlineStr">
        <is>
          <t>GB611 .C66 1973</t>
        </is>
      </c>
      <c r="C223" t="inlineStr">
        <is>
          <t>0                      GB 0611000C  66          1973</t>
        </is>
      </c>
      <c r="D223" t="inlineStr">
        <is>
          <t>Geomorphology in deserts [by] Ronald U. Cooke and Andrew Warren.</t>
        </is>
      </c>
      <c r="F223" t="inlineStr">
        <is>
          <t>No</t>
        </is>
      </c>
      <c r="G223" t="inlineStr">
        <is>
          <t>1</t>
        </is>
      </c>
      <c r="H223" t="inlineStr">
        <is>
          <t>No</t>
        </is>
      </c>
      <c r="I223" t="inlineStr">
        <is>
          <t>No</t>
        </is>
      </c>
      <c r="J223" t="inlineStr">
        <is>
          <t>0</t>
        </is>
      </c>
      <c r="K223" t="inlineStr">
        <is>
          <t>Cooke, Ronald U.</t>
        </is>
      </c>
      <c r="L223" t="inlineStr">
        <is>
          <t>Berkeley, University of California Press, 1973.</t>
        </is>
      </c>
      <c r="M223" t="inlineStr">
        <is>
          <t>1973</t>
        </is>
      </c>
      <c r="O223" t="inlineStr">
        <is>
          <t>eng</t>
        </is>
      </c>
      <c r="P223" t="inlineStr">
        <is>
          <t>cau</t>
        </is>
      </c>
      <c r="R223" t="inlineStr">
        <is>
          <t xml:space="preserve">GB </t>
        </is>
      </c>
      <c r="S223" t="n">
        <v>1</v>
      </c>
      <c r="T223" t="n">
        <v>1</v>
      </c>
      <c r="U223" t="inlineStr">
        <is>
          <t>2001-10-22</t>
        </is>
      </c>
      <c r="V223" t="inlineStr">
        <is>
          <t>2001-10-22</t>
        </is>
      </c>
      <c r="W223" t="inlineStr">
        <is>
          <t>1997-05-22</t>
        </is>
      </c>
      <c r="X223" t="inlineStr">
        <is>
          <t>1997-05-22</t>
        </is>
      </c>
      <c r="Y223" t="n">
        <v>484</v>
      </c>
      <c r="Z223" t="n">
        <v>434</v>
      </c>
      <c r="AA223" t="n">
        <v>498</v>
      </c>
      <c r="AB223" t="n">
        <v>6</v>
      </c>
      <c r="AC223" t="n">
        <v>6</v>
      </c>
      <c r="AD223" t="n">
        <v>11</v>
      </c>
      <c r="AE223" t="n">
        <v>12</v>
      </c>
      <c r="AF223" t="n">
        <v>4</v>
      </c>
      <c r="AG223" t="n">
        <v>4</v>
      </c>
      <c r="AH223" t="n">
        <v>1</v>
      </c>
      <c r="AI223" t="n">
        <v>1</v>
      </c>
      <c r="AJ223" t="n">
        <v>1</v>
      </c>
      <c r="AK223" t="n">
        <v>2</v>
      </c>
      <c r="AL223" t="n">
        <v>5</v>
      </c>
      <c r="AM223" t="n">
        <v>5</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HYPERLINK("https://creighton-primo.hosted.exlibrisgroup.com/primo-explore/search?tab=default_tab&amp;search_scope=EVERYTHING&amp;vid=01CRU&amp;lang=en_US&amp;offset=0&amp;query=any,contains,991003287829702656","Catalog Record")</f>
        <v/>
      </c>
      <c r="AT223">
        <f>HYPERLINK("http://www.worldcat.org/oclc/810100","WorldCat Record")</f>
        <v/>
      </c>
      <c r="AU223" t="inlineStr">
        <is>
          <t>500708:eng</t>
        </is>
      </c>
      <c r="AV223" t="inlineStr">
        <is>
          <t>810100</t>
        </is>
      </c>
      <c r="AW223" t="inlineStr">
        <is>
          <t>991003287829702656</t>
        </is>
      </c>
      <c r="AX223" t="inlineStr">
        <is>
          <t>991003287829702656</t>
        </is>
      </c>
      <c r="AY223" t="inlineStr">
        <is>
          <t>2268855220002656</t>
        </is>
      </c>
      <c r="AZ223" t="inlineStr">
        <is>
          <t>BOOK</t>
        </is>
      </c>
      <c r="BB223" t="inlineStr">
        <is>
          <t>9780520022805</t>
        </is>
      </c>
      <c r="BC223" t="inlineStr">
        <is>
          <t>32285002693538</t>
        </is>
      </c>
      <c r="BD223" t="inlineStr">
        <is>
          <t>893627527</t>
        </is>
      </c>
    </row>
    <row r="224">
      <c r="A224" t="inlineStr">
        <is>
          <t>No</t>
        </is>
      </c>
      <c r="B224" t="inlineStr">
        <is>
          <t>GB611 .E34</t>
        </is>
      </c>
      <c r="C224" t="inlineStr">
        <is>
          <t>0                      GB 0611000E  34</t>
        </is>
      </c>
      <c r="D224" t="inlineStr">
        <is>
          <t>Spreading deserts--the hand of man / Erik Eckholm, Lester R. Brown. --</t>
        </is>
      </c>
      <c r="F224" t="inlineStr">
        <is>
          <t>No</t>
        </is>
      </c>
      <c r="G224" t="inlineStr">
        <is>
          <t>1</t>
        </is>
      </c>
      <c r="H224" t="inlineStr">
        <is>
          <t>No</t>
        </is>
      </c>
      <c r="I224" t="inlineStr">
        <is>
          <t>No</t>
        </is>
      </c>
      <c r="J224" t="inlineStr">
        <is>
          <t>0</t>
        </is>
      </c>
      <c r="K224" t="inlineStr">
        <is>
          <t>Eckholm, Erik P.</t>
        </is>
      </c>
      <c r="L224" t="inlineStr">
        <is>
          <t>[Washington : Worldwatch Institute], 1977.</t>
        </is>
      </c>
      <c r="M224" t="inlineStr">
        <is>
          <t>1977</t>
        </is>
      </c>
      <c r="O224" t="inlineStr">
        <is>
          <t>eng</t>
        </is>
      </c>
      <c r="P224" t="inlineStr">
        <is>
          <t>dcu</t>
        </is>
      </c>
      <c r="Q224" t="inlineStr">
        <is>
          <t>Worldwatch paper ; 13</t>
        </is>
      </c>
      <c r="R224" t="inlineStr">
        <is>
          <t xml:space="preserve">GB </t>
        </is>
      </c>
      <c r="S224" t="n">
        <v>4</v>
      </c>
      <c r="T224" t="n">
        <v>4</v>
      </c>
      <c r="U224" t="inlineStr">
        <is>
          <t>2001-10-24</t>
        </is>
      </c>
      <c r="V224" t="inlineStr">
        <is>
          <t>2001-10-24</t>
        </is>
      </c>
      <c r="W224" t="inlineStr">
        <is>
          <t>1992-01-10</t>
        </is>
      </c>
      <c r="X224" t="inlineStr">
        <is>
          <t>1992-01-10</t>
        </is>
      </c>
      <c r="Y224" t="n">
        <v>407</v>
      </c>
      <c r="Z224" t="n">
        <v>335</v>
      </c>
      <c r="AA224" t="n">
        <v>340</v>
      </c>
      <c r="AB224" t="n">
        <v>5</v>
      </c>
      <c r="AC224" t="n">
        <v>5</v>
      </c>
      <c r="AD224" t="n">
        <v>11</v>
      </c>
      <c r="AE224" t="n">
        <v>11</v>
      </c>
      <c r="AF224" t="n">
        <v>3</v>
      </c>
      <c r="AG224" t="n">
        <v>3</v>
      </c>
      <c r="AH224" t="n">
        <v>3</v>
      </c>
      <c r="AI224" t="n">
        <v>3</v>
      </c>
      <c r="AJ224" t="n">
        <v>4</v>
      </c>
      <c r="AK224" t="n">
        <v>4</v>
      </c>
      <c r="AL224" t="n">
        <v>3</v>
      </c>
      <c r="AM224" t="n">
        <v>3</v>
      </c>
      <c r="AN224" t="n">
        <v>1</v>
      </c>
      <c r="AO224" t="n">
        <v>1</v>
      </c>
      <c r="AP224" t="inlineStr">
        <is>
          <t>No</t>
        </is>
      </c>
      <c r="AQ224" t="inlineStr">
        <is>
          <t>No</t>
        </is>
      </c>
      <c r="AS224">
        <f>HYPERLINK("https://creighton-primo.hosted.exlibrisgroup.com/primo-explore/search?tab=default_tab&amp;search_scope=EVERYTHING&amp;vid=01CRU&amp;lang=en_US&amp;offset=0&amp;query=any,contains,991004402919702656","Catalog Record")</f>
        <v/>
      </c>
      <c r="AT224">
        <f>HYPERLINK("http://www.worldcat.org/oclc/3310942","WorldCat Record")</f>
        <v/>
      </c>
      <c r="AU224" t="inlineStr">
        <is>
          <t>9435204:eng</t>
        </is>
      </c>
      <c r="AV224" t="inlineStr">
        <is>
          <t>3310942</t>
        </is>
      </c>
      <c r="AW224" t="inlineStr">
        <is>
          <t>991004402919702656</t>
        </is>
      </c>
      <c r="AX224" t="inlineStr">
        <is>
          <t>991004402919702656</t>
        </is>
      </c>
      <c r="AY224" t="inlineStr">
        <is>
          <t>2271720280002656</t>
        </is>
      </c>
      <c r="AZ224" t="inlineStr">
        <is>
          <t>BOOK</t>
        </is>
      </c>
      <c r="BC224" t="inlineStr">
        <is>
          <t>32285000893130</t>
        </is>
      </c>
      <c r="BD224" t="inlineStr">
        <is>
          <t>893788663</t>
        </is>
      </c>
    </row>
    <row r="225">
      <c r="A225" t="inlineStr">
        <is>
          <t>No</t>
        </is>
      </c>
      <c r="B225" t="inlineStr">
        <is>
          <t>GB611 .L4</t>
        </is>
      </c>
      <c r="C225" t="inlineStr">
        <is>
          <t>0                      GB 0611000L  4</t>
        </is>
      </c>
      <c r="D225" t="inlineStr">
        <is>
          <t>The desert / by A. Starker Leopold and the editors of Life.</t>
        </is>
      </c>
      <c r="F225" t="inlineStr">
        <is>
          <t>No</t>
        </is>
      </c>
      <c r="G225" t="inlineStr">
        <is>
          <t>1</t>
        </is>
      </c>
      <c r="H225" t="inlineStr">
        <is>
          <t>No</t>
        </is>
      </c>
      <c r="I225" t="inlineStr">
        <is>
          <t>No</t>
        </is>
      </c>
      <c r="J225" t="inlineStr">
        <is>
          <t>0</t>
        </is>
      </c>
      <c r="K225" t="inlineStr">
        <is>
          <t>Leopold, A. Starker (Aldo Starker), 1913-1983.</t>
        </is>
      </c>
      <c r="L225" t="inlineStr">
        <is>
          <t>New York : Time, 1961.</t>
        </is>
      </c>
      <c r="M225" t="inlineStr">
        <is>
          <t>1961</t>
        </is>
      </c>
      <c r="O225" t="inlineStr">
        <is>
          <t>eng</t>
        </is>
      </c>
      <c r="P225" t="inlineStr">
        <is>
          <t>nyu</t>
        </is>
      </c>
      <c r="Q225" t="inlineStr">
        <is>
          <t>Life nature library</t>
        </is>
      </c>
      <c r="R225" t="inlineStr">
        <is>
          <t xml:space="preserve">GB </t>
        </is>
      </c>
      <c r="S225" t="n">
        <v>4</v>
      </c>
      <c r="T225" t="n">
        <v>4</v>
      </c>
      <c r="U225" t="inlineStr">
        <is>
          <t>2001-10-22</t>
        </is>
      </c>
      <c r="V225" t="inlineStr">
        <is>
          <t>2001-10-22</t>
        </is>
      </c>
      <c r="W225" t="inlineStr">
        <is>
          <t>1993-04-15</t>
        </is>
      </c>
      <c r="X225" t="inlineStr">
        <is>
          <t>1993-04-15</t>
        </is>
      </c>
      <c r="Y225" t="n">
        <v>1394</v>
      </c>
      <c r="Z225" t="n">
        <v>1333</v>
      </c>
      <c r="AA225" t="n">
        <v>1900</v>
      </c>
      <c r="AB225" t="n">
        <v>10</v>
      </c>
      <c r="AC225" t="n">
        <v>22</v>
      </c>
      <c r="AD225" t="n">
        <v>23</v>
      </c>
      <c r="AE225" t="n">
        <v>29</v>
      </c>
      <c r="AF225" t="n">
        <v>12</v>
      </c>
      <c r="AG225" t="n">
        <v>13</v>
      </c>
      <c r="AH225" t="n">
        <v>2</v>
      </c>
      <c r="AI225" t="n">
        <v>4</v>
      </c>
      <c r="AJ225" t="n">
        <v>14</v>
      </c>
      <c r="AK225" t="n">
        <v>17</v>
      </c>
      <c r="AL225" t="n">
        <v>3</v>
      </c>
      <c r="AM225" t="n">
        <v>5</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HYPERLINK("https://creighton-primo.hosted.exlibrisgroup.com/primo-explore/search?tab=default_tab&amp;search_scope=EVERYTHING&amp;vid=01CRU&amp;lang=en_US&amp;offset=0&amp;query=any,contains,991003570639702656","Catalog Record")</f>
        <v/>
      </c>
      <c r="AT225">
        <f>HYPERLINK("http://www.worldcat.org/oclc/1145405","WorldCat Record")</f>
        <v/>
      </c>
      <c r="AU225" t="inlineStr">
        <is>
          <t>20909246:eng</t>
        </is>
      </c>
      <c r="AV225" t="inlineStr">
        <is>
          <t>1145405</t>
        </is>
      </c>
      <c r="AW225" t="inlineStr">
        <is>
          <t>991003570639702656</t>
        </is>
      </c>
      <c r="AX225" t="inlineStr">
        <is>
          <t>991003570639702656</t>
        </is>
      </c>
      <c r="AY225" t="inlineStr">
        <is>
          <t>2264017210002656</t>
        </is>
      </c>
      <c r="AZ225" t="inlineStr">
        <is>
          <t>BOOK</t>
        </is>
      </c>
      <c r="BC225" t="inlineStr">
        <is>
          <t>32285001620441</t>
        </is>
      </c>
      <c r="BD225" t="inlineStr">
        <is>
          <t>893348821</t>
        </is>
      </c>
    </row>
    <row r="226">
      <c r="A226" t="inlineStr">
        <is>
          <t>No</t>
        </is>
      </c>
      <c r="B226" t="inlineStr">
        <is>
          <t>GB611 .P63 1975</t>
        </is>
      </c>
      <c r="C226" t="inlineStr">
        <is>
          <t>0                      GB 0611000P  63          1975</t>
        </is>
      </c>
      <c r="D226" t="inlineStr">
        <is>
          <t>The desert world / Alonzo W. Pond.</t>
        </is>
      </c>
      <c r="F226" t="inlineStr">
        <is>
          <t>No</t>
        </is>
      </c>
      <c r="G226" t="inlineStr">
        <is>
          <t>1</t>
        </is>
      </c>
      <c r="H226" t="inlineStr">
        <is>
          <t>No</t>
        </is>
      </c>
      <c r="I226" t="inlineStr">
        <is>
          <t>No</t>
        </is>
      </c>
      <c r="J226" t="inlineStr">
        <is>
          <t>0</t>
        </is>
      </c>
      <c r="K226" t="inlineStr">
        <is>
          <t>Pond, Alonzo W. (Alonzo William), 1894-1986.</t>
        </is>
      </c>
      <c r="L226" t="inlineStr">
        <is>
          <t>Westport, Conn. : Greenwood Press, 1975, c1962.</t>
        </is>
      </c>
      <c r="M226" t="inlineStr">
        <is>
          <t>1975</t>
        </is>
      </c>
      <c r="O226" t="inlineStr">
        <is>
          <t>eng</t>
        </is>
      </c>
      <c r="P226" t="inlineStr">
        <is>
          <t>ctu</t>
        </is>
      </c>
      <c r="R226" t="inlineStr">
        <is>
          <t xml:space="preserve">GB </t>
        </is>
      </c>
      <c r="S226" t="n">
        <v>1</v>
      </c>
      <c r="T226" t="n">
        <v>1</v>
      </c>
      <c r="U226" t="inlineStr">
        <is>
          <t>2001-10-22</t>
        </is>
      </c>
      <c r="V226" t="inlineStr">
        <is>
          <t>2001-10-22</t>
        </is>
      </c>
      <c r="W226" t="inlineStr">
        <is>
          <t>1997-05-22</t>
        </is>
      </c>
      <c r="X226" t="inlineStr">
        <is>
          <t>1997-05-22</t>
        </is>
      </c>
      <c r="Y226" t="n">
        <v>70</v>
      </c>
      <c r="Z226" t="n">
        <v>59</v>
      </c>
      <c r="AA226" t="n">
        <v>309</v>
      </c>
      <c r="AB226" t="n">
        <v>1</v>
      </c>
      <c r="AC226" t="n">
        <v>1</v>
      </c>
      <c r="AD226" t="n">
        <v>2</v>
      </c>
      <c r="AE226" t="n">
        <v>5</v>
      </c>
      <c r="AF226" t="n">
        <v>1</v>
      </c>
      <c r="AG226" t="n">
        <v>1</v>
      </c>
      <c r="AH226" t="n">
        <v>1</v>
      </c>
      <c r="AI226" t="n">
        <v>2</v>
      </c>
      <c r="AJ226" t="n">
        <v>1</v>
      </c>
      <c r="AK226" t="n">
        <v>3</v>
      </c>
      <c r="AL226" t="n">
        <v>0</v>
      </c>
      <c r="AM226" t="n">
        <v>0</v>
      </c>
      <c r="AN226" t="n">
        <v>0</v>
      </c>
      <c r="AO226" t="n">
        <v>0</v>
      </c>
      <c r="AP226" t="inlineStr">
        <is>
          <t>No</t>
        </is>
      </c>
      <c r="AQ226" t="inlineStr">
        <is>
          <t>Yes</t>
        </is>
      </c>
      <c r="AR226">
        <f>HYPERLINK("http://catalog.hathitrust.org/Record/102056127","HathiTrust Record")</f>
        <v/>
      </c>
      <c r="AS226">
        <f>HYPERLINK("https://creighton-primo.hosted.exlibrisgroup.com/primo-explore/search?tab=default_tab&amp;search_scope=EVERYTHING&amp;vid=01CRU&amp;lang=en_US&amp;offset=0&amp;query=any,contains,991003671139702656","Catalog Record")</f>
        <v/>
      </c>
      <c r="AT226">
        <f>HYPERLINK("http://www.worldcat.org/oclc/1288466","WorldCat Record")</f>
        <v/>
      </c>
      <c r="AU226" t="inlineStr">
        <is>
          <t>102836148:eng</t>
        </is>
      </c>
      <c r="AV226" t="inlineStr">
        <is>
          <t>1288466</t>
        </is>
      </c>
      <c r="AW226" t="inlineStr">
        <is>
          <t>991003671139702656</t>
        </is>
      </c>
      <c r="AX226" t="inlineStr">
        <is>
          <t>991003671139702656</t>
        </is>
      </c>
      <c r="AY226" t="inlineStr">
        <is>
          <t>2266962790002656</t>
        </is>
      </c>
      <c r="AZ226" t="inlineStr">
        <is>
          <t>BOOK</t>
        </is>
      </c>
      <c r="BB226" t="inlineStr">
        <is>
          <t>9780837181202</t>
        </is>
      </c>
      <c r="BC226" t="inlineStr">
        <is>
          <t>32285002693553</t>
        </is>
      </c>
      <c r="BD226" t="inlineStr">
        <is>
          <t>893336781</t>
        </is>
      </c>
    </row>
    <row r="227">
      <c r="A227" t="inlineStr">
        <is>
          <t>No</t>
        </is>
      </c>
      <c r="B227" t="inlineStr">
        <is>
          <t>GB611 .U47 1977c</t>
        </is>
      </c>
      <c r="C227" t="inlineStr">
        <is>
          <t>0                      GB 0611000U  47          1977c</t>
        </is>
      </c>
      <c r="D227" t="inlineStr">
        <is>
          <t>Desertification : associated case studies presented at the United Nations Conference on Desertification, 29 August to 9 September 1977, Nairobi, Kenya / edited by Margaret R. Biswas and Asit K. Biswas.</t>
        </is>
      </c>
      <c r="F227" t="inlineStr">
        <is>
          <t>No</t>
        </is>
      </c>
      <c r="G227" t="inlineStr">
        <is>
          <t>1</t>
        </is>
      </c>
      <c r="H227" t="inlineStr">
        <is>
          <t>No</t>
        </is>
      </c>
      <c r="I227" t="inlineStr">
        <is>
          <t>No</t>
        </is>
      </c>
      <c r="J227" t="inlineStr">
        <is>
          <t>0</t>
        </is>
      </c>
      <c r="K227" t="inlineStr">
        <is>
          <t>United Nations Conference on Desertification (1977 : Nairobi, Kenya)</t>
        </is>
      </c>
      <c r="L227" t="inlineStr">
        <is>
          <t>Oxford ; New York : Pergamon Press, 1980.</t>
        </is>
      </c>
      <c r="M227" t="inlineStr">
        <is>
          <t>1980</t>
        </is>
      </c>
      <c r="N227" t="inlineStr">
        <is>
          <t>1st ed.</t>
        </is>
      </c>
      <c r="O227" t="inlineStr">
        <is>
          <t>eng</t>
        </is>
      </c>
      <c r="P227" t="inlineStr">
        <is>
          <t>enk</t>
        </is>
      </c>
      <c r="Q227" t="inlineStr">
        <is>
          <t>Environmental sciences and applications ; v. 12</t>
        </is>
      </c>
      <c r="R227" t="inlineStr">
        <is>
          <t xml:space="preserve">GB </t>
        </is>
      </c>
      <c r="S227" t="n">
        <v>5</v>
      </c>
      <c r="T227" t="n">
        <v>5</v>
      </c>
      <c r="U227" t="inlineStr">
        <is>
          <t>2001-10-22</t>
        </is>
      </c>
      <c r="V227" t="inlineStr">
        <is>
          <t>2001-10-22</t>
        </is>
      </c>
      <c r="W227" t="inlineStr">
        <is>
          <t>1992-01-10</t>
        </is>
      </c>
      <c r="X227" t="inlineStr">
        <is>
          <t>1992-01-10</t>
        </is>
      </c>
      <c r="Y227" t="n">
        <v>233</v>
      </c>
      <c r="Z227" t="n">
        <v>138</v>
      </c>
      <c r="AA227" t="n">
        <v>149</v>
      </c>
      <c r="AB227" t="n">
        <v>2</v>
      </c>
      <c r="AC227" t="n">
        <v>2</v>
      </c>
      <c r="AD227" t="n">
        <v>1</v>
      </c>
      <c r="AE227" t="n">
        <v>1</v>
      </c>
      <c r="AF227" t="n">
        <v>0</v>
      </c>
      <c r="AG227" t="n">
        <v>0</v>
      </c>
      <c r="AH227" t="n">
        <v>0</v>
      </c>
      <c r="AI227" t="n">
        <v>0</v>
      </c>
      <c r="AJ227" t="n">
        <v>0</v>
      </c>
      <c r="AK227" t="n">
        <v>0</v>
      </c>
      <c r="AL227" t="n">
        <v>1</v>
      </c>
      <c r="AM227" t="n">
        <v>1</v>
      </c>
      <c r="AN227" t="n">
        <v>0</v>
      </c>
      <c r="AO227" t="n">
        <v>0</v>
      </c>
      <c r="AP227" t="inlineStr">
        <is>
          <t>No</t>
        </is>
      </c>
      <c r="AQ227" t="inlineStr">
        <is>
          <t>Yes</t>
        </is>
      </c>
      <c r="AR227">
        <f>HYPERLINK("http://catalog.hathitrust.org/Record/000137550","HathiTrust Record")</f>
        <v/>
      </c>
      <c r="AS227">
        <f>HYPERLINK("https://creighton-primo.hosted.exlibrisgroup.com/primo-explore/search?tab=default_tab&amp;search_scope=EVERYTHING&amp;vid=01CRU&amp;lang=en_US&amp;offset=0&amp;query=any,contains,991004944279702656","Catalog Record")</f>
        <v/>
      </c>
      <c r="AT227">
        <f>HYPERLINK("http://www.worldcat.org/oclc/6197074","WorldCat Record")</f>
        <v/>
      </c>
      <c r="AU227" t="inlineStr">
        <is>
          <t>111994836:eng</t>
        </is>
      </c>
      <c r="AV227" t="inlineStr">
        <is>
          <t>6197074</t>
        </is>
      </c>
      <c r="AW227" t="inlineStr">
        <is>
          <t>991004944279702656</t>
        </is>
      </c>
      <c r="AX227" t="inlineStr">
        <is>
          <t>991004944279702656</t>
        </is>
      </c>
      <c r="AY227" t="inlineStr">
        <is>
          <t>2264418500002656</t>
        </is>
      </c>
      <c r="AZ227" t="inlineStr">
        <is>
          <t>BOOK</t>
        </is>
      </c>
      <c r="BB227" t="inlineStr">
        <is>
          <t>9780080235813</t>
        </is>
      </c>
      <c r="BC227" t="inlineStr">
        <is>
          <t>32285000893155</t>
        </is>
      </c>
      <c r="BD227" t="inlineStr">
        <is>
          <t>893789258</t>
        </is>
      </c>
    </row>
    <row r="228">
      <c r="A228" t="inlineStr">
        <is>
          <t>No</t>
        </is>
      </c>
      <c r="B228" t="inlineStr">
        <is>
          <t>GB612 .G688 2006</t>
        </is>
      </c>
      <c r="C228" t="inlineStr">
        <is>
          <t>0                      GB 0612000G  688         2006</t>
        </is>
      </c>
      <c r="D228" t="inlineStr">
        <is>
          <t>Governing global desertification : linking environmental degradation, poverty and participation / edited by Pierre Marc Johnson, Karel Mayrand, Marc Paquin.</t>
        </is>
      </c>
      <c r="F228" t="inlineStr">
        <is>
          <t>No</t>
        </is>
      </c>
      <c r="G228" t="inlineStr">
        <is>
          <t>1</t>
        </is>
      </c>
      <c r="H228" t="inlineStr">
        <is>
          <t>No</t>
        </is>
      </c>
      <c r="I228" t="inlineStr">
        <is>
          <t>No</t>
        </is>
      </c>
      <c r="J228" t="inlineStr">
        <is>
          <t>0</t>
        </is>
      </c>
      <c r="L228" t="inlineStr">
        <is>
          <t>Aldershot : Ashgate, c2006.</t>
        </is>
      </c>
      <c r="M228" t="inlineStr">
        <is>
          <t>2006</t>
        </is>
      </c>
      <c r="O228" t="inlineStr">
        <is>
          <t>eng</t>
        </is>
      </c>
      <c r="P228" t="inlineStr">
        <is>
          <t>enk</t>
        </is>
      </c>
      <c r="Q228" t="inlineStr">
        <is>
          <t>Global environmental governance series</t>
        </is>
      </c>
      <c r="R228" t="inlineStr">
        <is>
          <t xml:space="preserve">GB </t>
        </is>
      </c>
      <c r="S228" t="n">
        <v>1</v>
      </c>
      <c r="T228" t="n">
        <v>1</v>
      </c>
      <c r="U228" t="inlineStr">
        <is>
          <t>2009-04-20</t>
        </is>
      </c>
      <c r="V228" t="inlineStr">
        <is>
          <t>2009-04-20</t>
        </is>
      </c>
      <c r="W228" t="inlineStr">
        <is>
          <t>2009-04-20</t>
        </is>
      </c>
      <c r="X228" t="inlineStr">
        <is>
          <t>2009-04-20</t>
        </is>
      </c>
      <c r="Y228" t="n">
        <v>184</v>
      </c>
      <c r="Z228" t="n">
        <v>97</v>
      </c>
      <c r="AA228" t="n">
        <v>120</v>
      </c>
      <c r="AB228" t="n">
        <v>1</v>
      </c>
      <c r="AC228" t="n">
        <v>1</v>
      </c>
      <c r="AD228" t="n">
        <v>4</v>
      </c>
      <c r="AE228" t="n">
        <v>4</v>
      </c>
      <c r="AF228" t="n">
        <v>0</v>
      </c>
      <c r="AG228" t="n">
        <v>0</v>
      </c>
      <c r="AH228" t="n">
        <v>3</v>
      </c>
      <c r="AI228" t="n">
        <v>3</v>
      </c>
      <c r="AJ228" t="n">
        <v>3</v>
      </c>
      <c r="AK228" t="n">
        <v>3</v>
      </c>
      <c r="AL228" t="n">
        <v>0</v>
      </c>
      <c r="AM228" t="n">
        <v>0</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HYPERLINK("https://creighton-primo.hosted.exlibrisgroup.com/primo-explore/search?tab=default_tab&amp;search_scope=EVERYTHING&amp;vid=01CRU&amp;lang=en_US&amp;offset=0&amp;query=any,contains,991005308339702656","Catalog Record")</f>
        <v/>
      </c>
      <c r="AT228">
        <f>HYPERLINK("http://www.worldcat.org/oclc/64555376","WorldCat Record")</f>
        <v/>
      </c>
      <c r="AU228" t="inlineStr">
        <is>
          <t>891220946:eng</t>
        </is>
      </c>
      <c r="AV228" t="inlineStr">
        <is>
          <t>64555376</t>
        </is>
      </c>
      <c r="AW228" t="inlineStr">
        <is>
          <t>991005308339702656</t>
        </is>
      </c>
      <c r="AX228" t="inlineStr">
        <is>
          <t>991005308339702656</t>
        </is>
      </c>
      <c r="AY228" t="inlineStr">
        <is>
          <t>2262560640002656</t>
        </is>
      </c>
      <c r="AZ228" t="inlineStr">
        <is>
          <t>BOOK</t>
        </is>
      </c>
      <c r="BB228" t="inlineStr">
        <is>
          <t>9780754643593</t>
        </is>
      </c>
      <c r="BC228" t="inlineStr">
        <is>
          <t>32285005516876</t>
        </is>
      </c>
      <c r="BD228" t="inlineStr">
        <is>
          <t>893789777</t>
        </is>
      </c>
    </row>
    <row r="229">
      <c r="A229" t="inlineStr">
        <is>
          <t>No</t>
        </is>
      </c>
      <c r="B229" t="inlineStr">
        <is>
          <t>GB616.C44 S95 1983</t>
        </is>
      </c>
      <c r="C229" t="inlineStr">
        <is>
          <t>0                      GB 0616000C  44                 S  95          1983</t>
        </is>
      </c>
      <c r="D229" t="inlineStr">
        <is>
          <t>Invited papers from the Second Symposium on Resources of the Chihuahuan Desert Region, United States, and Mexico, 20-21 October 1983 / edited by Jon C. Barlow, A. Michael Powell, Barbara N. Timmermann ; sponsored by Chihuahuan Desert Research Institute and Sul Ross State University ; co-sponsors, Big Bend Natural History Association ... [et al].</t>
        </is>
      </c>
      <c r="F229" t="inlineStr">
        <is>
          <t>No</t>
        </is>
      </c>
      <c r="G229" t="inlineStr">
        <is>
          <t>1</t>
        </is>
      </c>
      <c r="H229" t="inlineStr">
        <is>
          <t>No</t>
        </is>
      </c>
      <c r="I229" t="inlineStr">
        <is>
          <t>No</t>
        </is>
      </c>
      <c r="J229" t="inlineStr">
        <is>
          <t>0</t>
        </is>
      </c>
      <c r="K229" t="inlineStr">
        <is>
          <t>Symposium on Resources of the Chihuahuan Desert Region, United States and Mexico (2nd : 1983 : Sul Ross State University)</t>
        </is>
      </c>
      <c r="L229" t="inlineStr">
        <is>
          <t>Alpine, Tex., U.S.A. : Chihuahuan Desert Research Institute, Sul Ross State University, 1986.</t>
        </is>
      </c>
      <c r="M229" t="inlineStr">
        <is>
          <t>1986</t>
        </is>
      </c>
      <c r="O229" t="inlineStr">
        <is>
          <t>eng</t>
        </is>
      </c>
      <c r="P229" t="inlineStr">
        <is>
          <t>txu</t>
        </is>
      </c>
      <c r="R229" t="inlineStr">
        <is>
          <t xml:space="preserve">GB </t>
        </is>
      </c>
      <c r="S229" t="n">
        <v>0</v>
      </c>
      <c r="T229" t="n">
        <v>0</v>
      </c>
      <c r="U229" t="inlineStr">
        <is>
          <t>2002-06-25</t>
        </is>
      </c>
      <c r="V229" t="inlineStr">
        <is>
          <t>2002-06-25</t>
        </is>
      </c>
      <c r="W229" t="inlineStr">
        <is>
          <t>1990-11-20</t>
        </is>
      </c>
      <c r="X229" t="inlineStr">
        <is>
          <t>1990-11-20</t>
        </is>
      </c>
      <c r="Y229" t="n">
        <v>39</v>
      </c>
      <c r="Z229" t="n">
        <v>37</v>
      </c>
      <c r="AA229" t="n">
        <v>39</v>
      </c>
      <c r="AB229" t="n">
        <v>1</v>
      </c>
      <c r="AC229" t="n">
        <v>1</v>
      </c>
      <c r="AD229" t="n">
        <v>0</v>
      </c>
      <c r="AE229" t="n">
        <v>0</v>
      </c>
      <c r="AF229" t="n">
        <v>0</v>
      </c>
      <c r="AG229" t="n">
        <v>0</v>
      </c>
      <c r="AH229" t="n">
        <v>0</v>
      </c>
      <c r="AI229" t="n">
        <v>0</v>
      </c>
      <c r="AJ229" t="n">
        <v>0</v>
      </c>
      <c r="AK229" t="n">
        <v>0</v>
      </c>
      <c r="AL229" t="n">
        <v>0</v>
      </c>
      <c r="AM229" t="n">
        <v>0</v>
      </c>
      <c r="AN229" t="n">
        <v>0</v>
      </c>
      <c r="AO229" t="n">
        <v>0</v>
      </c>
      <c r="AP229" t="inlineStr">
        <is>
          <t>No</t>
        </is>
      </c>
      <c r="AQ229" t="inlineStr">
        <is>
          <t>Yes</t>
        </is>
      </c>
      <c r="AR229">
        <f>HYPERLINK("http://catalog.hathitrust.org/Record/101180489","HathiTrust Record")</f>
        <v/>
      </c>
      <c r="AS229">
        <f>HYPERLINK("https://creighton-primo.hosted.exlibrisgroup.com/primo-explore/search?tab=default_tab&amp;search_scope=EVERYTHING&amp;vid=01CRU&amp;lang=en_US&amp;offset=0&amp;query=any,contains,991000836279702656","Catalog Record")</f>
        <v/>
      </c>
      <c r="AT229">
        <f>HYPERLINK("http://www.worldcat.org/oclc/13497240","WorldCat Record")</f>
        <v/>
      </c>
      <c r="AU229" t="inlineStr">
        <is>
          <t>7907638:eng</t>
        </is>
      </c>
      <c r="AV229" t="inlineStr">
        <is>
          <t>13497240</t>
        </is>
      </c>
      <c r="AW229" t="inlineStr">
        <is>
          <t>991000836279702656</t>
        </is>
      </c>
      <c r="AX229" t="inlineStr">
        <is>
          <t>991000836279702656</t>
        </is>
      </c>
      <c r="AY229" t="inlineStr">
        <is>
          <t>2261906550002656</t>
        </is>
      </c>
      <c r="AZ229" t="inlineStr">
        <is>
          <t>BOOK</t>
        </is>
      </c>
      <c r="BB229" t="inlineStr">
        <is>
          <t>9780935868265</t>
        </is>
      </c>
      <c r="BC229" t="inlineStr">
        <is>
          <t>32285000356237</t>
        </is>
      </c>
      <c r="BD229" t="inlineStr">
        <is>
          <t>893872050</t>
        </is>
      </c>
    </row>
    <row r="230">
      <c r="A230" t="inlineStr">
        <is>
          <t>No</t>
        </is>
      </c>
      <c r="B230" t="inlineStr">
        <is>
          <t>GB621 .W47 1996</t>
        </is>
      </c>
      <c r="C230" t="inlineStr">
        <is>
          <t>0                      GB 0621000W  47          1996</t>
        </is>
      </c>
      <c r="D230" t="inlineStr">
        <is>
          <t>Wetlands : environmental gradients, boundaries, and buffers / edited by George Mulamoottil, Barry G. Warner, Edward A. McBean.</t>
        </is>
      </c>
      <c r="F230" t="inlineStr">
        <is>
          <t>No</t>
        </is>
      </c>
      <c r="G230" t="inlineStr">
        <is>
          <t>1</t>
        </is>
      </c>
      <c r="H230" t="inlineStr">
        <is>
          <t>No</t>
        </is>
      </c>
      <c r="I230" t="inlineStr">
        <is>
          <t>No</t>
        </is>
      </c>
      <c r="J230" t="inlineStr">
        <is>
          <t>0</t>
        </is>
      </c>
      <c r="L230" t="inlineStr">
        <is>
          <t>Boca Raton : CRC, Lewis Publishers, c1996.</t>
        </is>
      </c>
      <c r="M230" t="inlineStr">
        <is>
          <t>1996</t>
        </is>
      </c>
      <c r="O230" t="inlineStr">
        <is>
          <t>eng</t>
        </is>
      </c>
      <c r="P230" t="inlineStr">
        <is>
          <t>flu</t>
        </is>
      </c>
      <c r="R230" t="inlineStr">
        <is>
          <t xml:space="preserve">GB </t>
        </is>
      </c>
      <c r="S230" t="n">
        <v>2</v>
      </c>
      <c r="T230" t="n">
        <v>2</v>
      </c>
      <c r="U230" t="inlineStr">
        <is>
          <t>2008-03-31</t>
        </is>
      </c>
      <c r="V230" t="inlineStr">
        <is>
          <t>2008-03-31</t>
        </is>
      </c>
      <c r="W230" t="inlineStr">
        <is>
          <t>2001-03-21</t>
        </is>
      </c>
      <c r="X230" t="inlineStr">
        <is>
          <t>2001-03-21</t>
        </is>
      </c>
      <c r="Y230" t="n">
        <v>443</v>
      </c>
      <c r="Z230" t="n">
        <v>370</v>
      </c>
      <c r="AA230" t="n">
        <v>391</v>
      </c>
      <c r="AB230" t="n">
        <v>5</v>
      </c>
      <c r="AC230" t="n">
        <v>5</v>
      </c>
      <c r="AD230" t="n">
        <v>16</v>
      </c>
      <c r="AE230" t="n">
        <v>16</v>
      </c>
      <c r="AF230" t="n">
        <v>7</v>
      </c>
      <c r="AG230" t="n">
        <v>7</v>
      </c>
      <c r="AH230" t="n">
        <v>2</v>
      </c>
      <c r="AI230" t="n">
        <v>2</v>
      </c>
      <c r="AJ230" t="n">
        <v>7</v>
      </c>
      <c r="AK230" t="n">
        <v>7</v>
      </c>
      <c r="AL230" t="n">
        <v>4</v>
      </c>
      <c r="AM230" t="n">
        <v>4</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HYPERLINK("https://creighton-primo.hosted.exlibrisgroup.com/primo-explore/search?tab=default_tab&amp;search_scope=EVERYTHING&amp;vid=01CRU&amp;lang=en_US&amp;offset=0&amp;query=any,contains,991003516469702656","Catalog Record")</f>
        <v/>
      </c>
      <c r="AT230">
        <f>HYPERLINK("http://www.worldcat.org/oclc/33819822","WorldCat Record")</f>
        <v/>
      </c>
      <c r="AU230" t="inlineStr">
        <is>
          <t>891212211:eng</t>
        </is>
      </c>
      <c r="AV230" t="inlineStr">
        <is>
          <t>33819822</t>
        </is>
      </c>
      <c r="AW230" t="inlineStr">
        <is>
          <t>991003516469702656</t>
        </is>
      </c>
      <c r="AX230" t="inlineStr">
        <is>
          <t>991003516469702656</t>
        </is>
      </c>
      <c r="AY230" t="inlineStr">
        <is>
          <t>2271307640002656</t>
        </is>
      </c>
      <c r="AZ230" t="inlineStr">
        <is>
          <t>BOOK</t>
        </is>
      </c>
      <c r="BB230" t="inlineStr">
        <is>
          <t>9781566701471</t>
        </is>
      </c>
      <c r="BC230" t="inlineStr">
        <is>
          <t>32285004306493</t>
        </is>
      </c>
      <c r="BD230" t="inlineStr">
        <is>
          <t>893900060</t>
        </is>
      </c>
    </row>
    <row r="231">
      <c r="A231" t="inlineStr">
        <is>
          <t>No</t>
        </is>
      </c>
      <c r="B231" t="inlineStr">
        <is>
          <t>GB622 .W47 1995</t>
        </is>
      </c>
      <c r="C231" t="inlineStr">
        <is>
          <t>0                      GB 0622000W  47          1995</t>
        </is>
      </c>
      <c r="D231" t="inlineStr">
        <is>
          <t>Wetland and environmental applications of GIS / edited by John G. Lyon and Jack McCarthy.</t>
        </is>
      </c>
      <c r="F231" t="inlineStr">
        <is>
          <t>No</t>
        </is>
      </c>
      <c r="G231" t="inlineStr">
        <is>
          <t>1</t>
        </is>
      </c>
      <c r="H231" t="inlineStr">
        <is>
          <t>No</t>
        </is>
      </c>
      <c r="I231" t="inlineStr">
        <is>
          <t>No</t>
        </is>
      </c>
      <c r="J231" t="inlineStr">
        <is>
          <t>0</t>
        </is>
      </c>
      <c r="L231" t="inlineStr">
        <is>
          <t>Boca Raton : CRC Press, c1995.</t>
        </is>
      </c>
      <c r="M231" t="inlineStr">
        <is>
          <t>1995</t>
        </is>
      </c>
      <c r="O231" t="inlineStr">
        <is>
          <t>eng</t>
        </is>
      </c>
      <c r="P231" t="inlineStr">
        <is>
          <t>flu</t>
        </is>
      </c>
      <c r="Q231" t="inlineStr">
        <is>
          <t>Mapping sciences series</t>
        </is>
      </c>
      <c r="R231" t="inlineStr">
        <is>
          <t xml:space="preserve">GB </t>
        </is>
      </c>
      <c r="S231" t="n">
        <v>5</v>
      </c>
      <c r="T231" t="n">
        <v>5</v>
      </c>
      <c r="U231" t="inlineStr">
        <is>
          <t>2010-09-01</t>
        </is>
      </c>
      <c r="V231" t="inlineStr">
        <is>
          <t>2010-09-01</t>
        </is>
      </c>
      <c r="W231" t="inlineStr">
        <is>
          <t>1996-04-10</t>
        </is>
      </c>
      <c r="X231" t="inlineStr">
        <is>
          <t>1996-04-10</t>
        </is>
      </c>
      <c r="Y231" t="n">
        <v>513</v>
      </c>
      <c r="Z231" t="n">
        <v>404</v>
      </c>
      <c r="AA231" t="n">
        <v>409</v>
      </c>
      <c r="AB231" t="n">
        <v>4</v>
      </c>
      <c r="AC231" t="n">
        <v>4</v>
      </c>
      <c r="AD231" t="n">
        <v>11</v>
      </c>
      <c r="AE231" t="n">
        <v>11</v>
      </c>
      <c r="AF231" t="n">
        <v>3</v>
      </c>
      <c r="AG231" t="n">
        <v>3</v>
      </c>
      <c r="AH231" t="n">
        <v>3</v>
      </c>
      <c r="AI231" t="n">
        <v>3</v>
      </c>
      <c r="AJ231" t="n">
        <v>6</v>
      </c>
      <c r="AK231" t="n">
        <v>6</v>
      </c>
      <c r="AL231" t="n">
        <v>2</v>
      </c>
      <c r="AM231" t="n">
        <v>2</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HYPERLINK("https://creighton-primo.hosted.exlibrisgroup.com/primo-explore/search?tab=default_tab&amp;search_scope=EVERYTHING&amp;vid=01CRU&amp;lang=en_US&amp;offset=0&amp;query=any,contains,991005421049702656","Catalog Record")</f>
        <v/>
      </c>
      <c r="AT231">
        <f>HYPERLINK("http://www.worldcat.org/oclc/32396612","WorldCat Record")</f>
        <v/>
      </c>
      <c r="AU231" t="inlineStr">
        <is>
          <t>350957312:eng</t>
        </is>
      </c>
      <c r="AV231" t="inlineStr">
        <is>
          <t>32396612</t>
        </is>
      </c>
      <c r="AW231" t="inlineStr">
        <is>
          <t>991005421049702656</t>
        </is>
      </c>
      <c r="AX231" t="inlineStr">
        <is>
          <t>991005421049702656</t>
        </is>
      </c>
      <c r="AY231" t="inlineStr">
        <is>
          <t>2256543660002656</t>
        </is>
      </c>
      <c r="AZ231" t="inlineStr">
        <is>
          <t>BOOK</t>
        </is>
      </c>
      <c r="BB231" t="inlineStr">
        <is>
          <t>9780873718974</t>
        </is>
      </c>
      <c r="BC231" t="inlineStr">
        <is>
          <t>32285002151164</t>
        </is>
      </c>
      <c r="BD231" t="inlineStr">
        <is>
          <t>893353913</t>
        </is>
      </c>
    </row>
    <row r="232">
      <c r="A232" t="inlineStr">
        <is>
          <t>No</t>
        </is>
      </c>
      <c r="B232" t="inlineStr">
        <is>
          <t>GB624 .T564 1999</t>
        </is>
      </c>
      <c r="C232" t="inlineStr">
        <is>
          <t>0                      GB 0624000T  564         1999</t>
        </is>
      </c>
      <c r="D232" t="inlineStr">
        <is>
          <t>Wetland indicators : a guide to wetland identification, delineation, classification, and mapping / Ralph W. Tiner.</t>
        </is>
      </c>
      <c r="F232" t="inlineStr">
        <is>
          <t>No</t>
        </is>
      </c>
      <c r="G232" t="inlineStr">
        <is>
          <t>1</t>
        </is>
      </c>
      <c r="H232" t="inlineStr">
        <is>
          <t>No</t>
        </is>
      </c>
      <c r="I232" t="inlineStr">
        <is>
          <t>No</t>
        </is>
      </c>
      <c r="J232" t="inlineStr">
        <is>
          <t>0</t>
        </is>
      </c>
      <c r="K232" t="inlineStr">
        <is>
          <t>Tiner, Ralph W.</t>
        </is>
      </c>
      <c r="L232" t="inlineStr">
        <is>
          <t>Boca Raton, Fla. : Lewis Publishers, c1999.</t>
        </is>
      </c>
      <c r="M232" t="inlineStr">
        <is>
          <t>1999</t>
        </is>
      </c>
      <c r="O232" t="inlineStr">
        <is>
          <t>eng</t>
        </is>
      </c>
      <c r="P232" t="inlineStr">
        <is>
          <t>flu</t>
        </is>
      </c>
      <c r="R232" t="inlineStr">
        <is>
          <t xml:space="preserve">GB </t>
        </is>
      </c>
      <c r="S232" t="n">
        <v>1</v>
      </c>
      <c r="T232" t="n">
        <v>1</v>
      </c>
      <c r="U232" t="inlineStr">
        <is>
          <t>2000-09-28</t>
        </is>
      </c>
      <c r="V232" t="inlineStr">
        <is>
          <t>2000-09-28</t>
        </is>
      </c>
      <c r="W232" t="inlineStr">
        <is>
          <t>2000-09-28</t>
        </is>
      </c>
      <c r="X232" t="inlineStr">
        <is>
          <t>2000-09-28</t>
        </is>
      </c>
      <c r="Y232" t="n">
        <v>759</v>
      </c>
      <c r="Z232" t="n">
        <v>626</v>
      </c>
      <c r="AA232" t="n">
        <v>722</v>
      </c>
      <c r="AB232" t="n">
        <v>5</v>
      </c>
      <c r="AC232" t="n">
        <v>5</v>
      </c>
      <c r="AD232" t="n">
        <v>22</v>
      </c>
      <c r="AE232" t="n">
        <v>25</v>
      </c>
      <c r="AF232" t="n">
        <v>12</v>
      </c>
      <c r="AG232" t="n">
        <v>13</v>
      </c>
      <c r="AH232" t="n">
        <v>2</v>
      </c>
      <c r="AI232" t="n">
        <v>3</v>
      </c>
      <c r="AJ232" t="n">
        <v>11</v>
      </c>
      <c r="AK232" t="n">
        <v>12</v>
      </c>
      <c r="AL232" t="n">
        <v>3</v>
      </c>
      <c r="AM232" t="n">
        <v>3</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HYPERLINK("https://creighton-primo.hosted.exlibrisgroup.com/primo-explore/search?tab=default_tab&amp;search_scope=EVERYTHING&amp;vid=01CRU&amp;lang=en_US&amp;offset=0&amp;query=any,contains,991003302269702656","Catalog Record")</f>
        <v/>
      </c>
      <c r="AT232">
        <f>HYPERLINK("http://www.worldcat.org/oclc/40359467","WorldCat Record")</f>
        <v/>
      </c>
      <c r="AU232" t="inlineStr">
        <is>
          <t>9540294:eng</t>
        </is>
      </c>
      <c r="AV232" t="inlineStr">
        <is>
          <t>40359467</t>
        </is>
      </c>
      <c r="AW232" t="inlineStr">
        <is>
          <t>991003302269702656</t>
        </is>
      </c>
      <c r="AX232" t="inlineStr">
        <is>
          <t>991003302269702656</t>
        </is>
      </c>
      <c r="AY232" t="inlineStr">
        <is>
          <t>2255150290002656</t>
        </is>
      </c>
      <c r="AZ232" t="inlineStr">
        <is>
          <t>BOOK</t>
        </is>
      </c>
      <c r="BB232" t="inlineStr">
        <is>
          <t>9780873718929</t>
        </is>
      </c>
      <c r="BC232" t="inlineStr">
        <is>
          <t>32285003765665</t>
        </is>
      </c>
      <c r="BD232" t="inlineStr">
        <is>
          <t>893518355</t>
        </is>
      </c>
    </row>
    <row r="233">
      <c r="A233" t="inlineStr">
        <is>
          <t>No</t>
        </is>
      </c>
      <c r="B233" t="inlineStr">
        <is>
          <t>GB632 .B36 1989</t>
        </is>
      </c>
      <c r="C233" t="inlineStr">
        <is>
          <t>0                      GB 0632000B  36          1989</t>
        </is>
      </c>
      <c r="D233" t="inlineStr">
        <is>
          <t>Sand dunes / by Jan Gumprecht Bannan.</t>
        </is>
      </c>
      <c r="F233" t="inlineStr">
        <is>
          <t>No</t>
        </is>
      </c>
      <c r="G233" t="inlineStr">
        <is>
          <t>1</t>
        </is>
      </c>
      <c r="H233" t="inlineStr">
        <is>
          <t>No</t>
        </is>
      </c>
      <c r="I233" t="inlineStr">
        <is>
          <t>No</t>
        </is>
      </c>
      <c r="J233" t="inlineStr">
        <is>
          <t>0</t>
        </is>
      </c>
      <c r="K233" t="inlineStr">
        <is>
          <t>Bannan, Jan Gumprecht.</t>
        </is>
      </c>
      <c r="L233" t="inlineStr">
        <is>
          <t>Minneapolis : Carolrhoda Books, c1989.</t>
        </is>
      </c>
      <c r="M233" t="inlineStr">
        <is>
          <t>1989</t>
        </is>
      </c>
      <c r="O233" t="inlineStr">
        <is>
          <t>eng</t>
        </is>
      </c>
      <c r="P233" t="inlineStr">
        <is>
          <t>mnu</t>
        </is>
      </c>
      <c r="R233" t="inlineStr">
        <is>
          <t xml:space="preserve">GB </t>
        </is>
      </c>
      <c r="S233" t="n">
        <v>1</v>
      </c>
      <c r="T233" t="n">
        <v>1</v>
      </c>
      <c r="U233" t="inlineStr">
        <is>
          <t>2000-11-28</t>
        </is>
      </c>
      <c r="V233" t="inlineStr">
        <is>
          <t>2000-11-28</t>
        </is>
      </c>
      <c r="W233" t="inlineStr">
        <is>
          <t>1997-02-18</t>
        </is>
      </c>
      <c r="X233" t="inlineStr">
        <is>
          <t>1997-02-18</t>
        </is>
      </c>
      <c r="Y233" t="n">
        <v>610</v>
      </c>
      <c r="Z233" t="n">
        <v>597</v>
      </c>
      <c r="AA233" t="n">
        <v>618</v>
      </c>
      <c r="AB233" t="n">
        <v>10</v>
      </c>
      <c r="AC233" t="n">
        <v>10</v>
      </c>
      <c r="AD233" t="n">
        <v>1</v>
      </c>
      <c r="AE233" t="n">
        <v>1</v>
      </c>
      <c r="AF233" t="n">
        <v>1</v>
      </c>
      <c r="AG233" t="n">
        <v>1</v>
      </c>
      <c r="AH233" t="n">
        <v>0</v>
      </c>
      <c r="AI233" t="n">
        <v>0</v>
      </c>
      <c r="AJ233" t="n">
        <v>0</v>
      </c>
      <c r="AK233" t="n">
        <v>0</v>
      </c>
      <c r="AL233" t="n">
        <v>0</v>
      </c>
      <c r="AM233" t="n">
        <v>0</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HYPERLINK("https://creighton-primo.hosted.exlibrisgroup.com/primo-explore/search?tab=default_tab&amp;search_scope=EVERYTHING&amp;vid=01CRU&amp;lang=en_US&amp;offset=0&amp;query=any,contains,991004448639702656","Catalog Record")</f>
        <v/>
      </c>
      <c r="AT233">
        <f>HYPERLINK("http://www.worldcat.org/oclc/16901071","WorldCat Record")</f>
        <v/>
      </c>
      <c r="AU233" t="inlineStr">
        <is>
          <t>13087276:eng</t>
        </is>
      </c>
      <c r="AV233" t="inlineStr">
        <is>
          <t>16901071</t>
        </is>
      </c>
      <c r="AW233" t="inlineStr">
        <is>
          <t>991004448639702656</t>
        </is>
      </c>
      <c r="AX233" t="inlineStr">
        <is>
          <t>991004448639702656</t>
        </is>
      </c>
      <c r="AY233" t="inlineStr">
        <is>
          <t>2268363960002656</t>
        </is>
      </c>
      <c r="AZ233" t="inlineStr">
        <is>
          <t>BOOK</t>
        </is>
      </c>
      <c r="BB233" t="inlineStr">
        <is>
          <t>9780876143216</t>
        </is>
      </c>
      <c r="BC233" t="inlineStr">
        <is>
          <t>32285002122165</t>
        </is>
      </c>
      <c r="BD233" t="inlineStr">
        <is>
          <t>893861684</t>
        </is>
      </c>
    </row>
    <row r="234">
      <c r="A234" t="inlineStr">
        <is>
          <t>No</t>
        </is>
      </c>
      <c r="B234" t="inlineStr">
        <is>
          <t>GB656 .B58</t>
        </is>
      </c>
      <c r="C234" t="inlineStr">
        <is>
          <t>0                      GB 0656000B  58</t>
        </is>
      </c>
      <c r="D234" t="inlineStr">
        <is>
          <t>History of hydrology [by] Asit K. Biswas.</t>
        </is>
      </c>
      <c r="F234" t="inlineStr">
        <is>
          <t>No</t>
        </is>
      </c>
      <c r="G234" t="inlineStr">
        <is>
          <t>1</t>
        </is>
      </c>
      <c r="H234" t="inlineStr">
        <is>
          <t>No</t>
        </is>
      </c>
      <c r="I234" t="inlineStr">
        <is>
          <t>No</t>
        </is>
      </c>
      <c r="J234" t="inlineStr">
        <is>
          <t>0</t>
        </is>
      </c>
      <c r="K234" t="inlineStr">
        <is>
          <t>Biswas, Asit K.</t>
        </is>
      </c>
      <c r="L234" t="inlineStr">
        <is>
          <t>Amsterdam, North-Holland Pub. Co.; New York, American Elsevier Pub. Co., 1970.</t>
        </is>
      </c>
      <c r="M234" t="inlineStr">
        <is>
          <t>1970</t>
        </is>
      </c>
      <c r="O234" t="inlineStr">
        <is>
          <t>eng</t>
        </is>
      </c>
      <c r="P234" t="inlineStr">
        <is>
          <t xml:space="preserve">ne </t>
        </is>
      </c>
      <c r="R234" t="inlineStr">
        <is>
          <t xml:space="preserve">GB </t>
        </is>
      </c>
      <c r="S234" t="n">
        <v>4</v>
      </c>
      <c r="T234" t="n">
        <v>4</v>
      </c>
      <c r="U234" t="inlineStr">
        <is>
          <t>2010-03-30</t>
        </is>
      </c>
      <c r="V234" t="inlineStr">
        <is>
          <t>2010-03-30</t>
        </is>
      </c>
      <c r="W234" t="inlineStr">
        <is>
          <t>1997-05-22</t>
        </is>
      </c>
      <c r="X234" t="inlineStr">
        <is>
          <t>1997-05-22</t>
        </is>
      </c>
      <c r="Y234" t="n">
        <v>613</v>
      </c>
      <c r="Z234" t="n">
        <v>458</v>
      </c>
      <c r="AA234" t="n">
        <v>467</v>
      </c>
      <c r="AB234" t="n">
        <v>5</v>
      </c>
      <c r="AC234" t="n">
        <v>5</v>
      </c>
      <c r="AD234" t="n">
        <v>10</v>
      </c>
      <c r="AE234" t="n">
        <v>10</v>
      </c>
      <c r="AF234" t="n">
        <v>2</v>
      </c>
      <c r="AG234" t="n">
        <v>2</v>
      </c>
      <c r="AH234" t="n">
        <v>1</v>
      </c>
      <c r="AI234" t="n">
        <v>1</v>
      </c>
      <c r="AJ234" t="n">
        <v>3</v>
      </c>
      <c r="AK234" t="n">
        <v>3</v>
      </c>
      <c r="AL234" t="n">
        <v>4</v>
      </c>
      <c r="AM234" t="n">
        <v>4</v>
      </c>
      <c r="AN234" t="n">
        <v>0</v>
      </c>
      <c r="AO234" t="n">
        <v>0</v>
      </c>
      <c r="AP234" t="inlineStr">
        <is>
          <t>No</t>
        </is>
      </c>
      <c r="AQ234" t="inlineStr">
        <is>
          <t>Yes</t>
        </is>
      </c>
      <c r="AR234">
        <f>HYPERLINK("http://catalog.hathitrust.org/Record/001273162","HathiTrust Record")</f>
        <v/>
      </c>
      <c r="AS234">
        <f>HYPERLINK("https://creighton-primo.hosted.exlibrisgroup.com/primo-explore/search?tab=default_tab&amp;search_scope=EVERYTHING&amp;vid=01CRU&amp;lang=en_US&amp;offset=0&amp;query=any,contains,991000608899702656","Catalog Record")</f>
        <v/>
      </c>
      <c r="AT234">
        <f>HYPERLINK("http://www.worldcat.org/oclc/100087","WorldCat Record")</f>
        <v/>
      </c>
      <c r="AU234" t="inlineStr">
        <is>
          <t>1166611:eng</t>
        </is>
      </c>
      <c r="AV234" t="inlineStr">
        <is>
          <t>100087</t>
        </is>
      </c>
      <c r="AW234" t="inlineStr">
        <is>
          <t>991000608899702656</t>
        </is>
      </c>
      <c r="AX234" t="inlineStr">
        <is>
          <t>991000608899702656</t>
        </is>
      </c>
      <c r="AY234" t="inlineStr">
        <is>
          <t>2258267490002656</t>
        </is>
      </c>
      <c r="AZ234" t="inlineStr">
        <is>
          <t>BOOK</t>
        </is>
      </c>
      <c r="BC234" t="inlineStr">
        <is>
          <t>32285002693579</t>
        </is>
      </c>
      <c r="BD234" t="inlineStr">
        <is>
          <t>893784380</t>
        </is>
      </c>
    </row>
    <row r="235">
      <c r="A235" t="inlineStr">
        <is>
          <t>No</t>
        </is>
      </c>
      <c r="B235" t="inlineStr">
        <is>
          <t>GB656.2.M33 L35 2001</t>
        </is>
      </c>
      <c r="C235" t="inlineStr">
        <is>
          <t>0                      GB 0656200M  33                 L  35          2001</t>
        </is>
      </c>
      <c r="D235" t="inlineStr">
        <is>
          <t>Land surface hydrology, meteorology, and climate : observations and modeling / Venkataraman Lakshmi, John Albertson, John Schaake, editors.</t>
        </is>
      </c>
      <c r="F235" t="inlineStr">
        <is>
          <t>No</t>
        </is>
      </c>
      <c r="G235" t="inlineStr">
        <is>
          <t>1</t>
        </is>
      </c>
      <c r="H235" t="inlineStr">
        <is>
          <t>No</t>
        </is>
      </c>
      <c r="I235" t="inlineStr">
        <is>
          <t>No</t>
        </is>
      </c>
      <c r="J235" t="inlineStr">
        <is>
          <t>0</t>
        </is>
      </c>
      <c r="L235" t="inlineStr">
        <is>
          <t>Washington, DC : American Geophysical Union, c2001.</t>
        </is>
      </c>
      <c r="M235" t="inlineStr">
        <is>
          <t>2001</t>
        </is>
      </c>
      <c r="O235" t="inlineStr">
        <is>
          <t>eng</t>
        </is>
      </c>
      <c r="P235" t="inlineStr">
        <is>
          <t>dcu</t>
        </is>
      </c>
      <c r="Q235" t="inlineStr">
        <is>
          <t>Water science and application ; 3</t>
        </is>
      </c>
      <c r="R235" t="inlineStr">
        <is>
          <t xml:space="preserve">GB </t>
        </is>
      </c>
      <c r="S235" t="n">
        <v>1</v>
      </c>
      <c r="T235" t="n">
        <v>1</v>
      </c>
      <c r="U235" t="inlineStr">
        <is>
          <t>2006-05-01</t>
        </is>
      </c>
      <c r="V235" t="inlineStr">
        <is>
          <t>2006-05-01</t>
        </is>
      </c>
      <c r="W235" t="inlineStr">
        <is>
          <t>2006-03-07</t>
        </is>
      </c>
      <c r="X235" t="inlineStr">
        <is>
          <t>2006-03-07</t>
        </is>
      </c>
      <c r="Y235" t="n">
        <v>143</v>
      </c>
      <c r="Z235" t="n">
        <v>109</v>
      </c>
      <c r="AA235" t="n">
        <v>168</v>
      </c>
      <c r="AB235" t="n">
        <v>2</v>
      </c>
      <c r="AC235" t="n">
        <v>2</v>
      </c>
      <c r="AD235" t="n">
        <v>2</v>
      </c>
      <c r="AE235" t="n">
        <v>2</v>
      </c>
      <c r="AF235" t="n">
        <v>1</v>
      </c>
      <c r="AG235" t="n">
        <v>1</v>
      </c>
      <c r="AH235" t="n">
        <v>0</v>
      </c>
      <c r="AI235" t="n">
        <v>0</v>
      </c>
      <c r="AJ235" t="n">
        <v>0</v>
      </c>
      <c r="AK235" t="n">
        <v>0</v>
      </c>
      <c r="AL235" t="n">
        <v>1</v>
      </c>
      <c r="AM235" t="n">
        <v>1</v>
      </c>
      <c r="AN235" t="n">
        <v>0</v>
      </c>
      <c r="AO235" t="n">
        <v>0</v>
      </c>
      <c r="AP235" t="inlineStr">
        <is>
          <t>No</t>
        </is>
      </c>
      <c r="AQ235" t="inlineStr">
        <is>
          <t>Yes</t>
        </is>
      </c>
      <c r="AR235">
        <f>HYPERLINK("http://catalog.hathitrust.org/Record/004734090","HathiTrust Record")</f>
        <v/>
      </c>
      <c r="AS235">
        <f>HYPERLINK("https://creighton-primo.hosted.exlibrisgroup.com/primo-explore/search?tab=default_tab&amp;search_scope=EVERYTHING&amp;vid=01CRU&amp;lang=en_US&amp;offset=0&amp;query=any,contains,991004761809702656","Catalog Record")</f>
        <v/>
      </c>
      <c r="AT235">
        <f>HYPERLINK("http://www.worldcat.org/oclc/46619577","WorldCat Record")</f>
        <v/>
      </c>
      <c r="AU235" t="inlineStr">
        <is>
          <t>865318173:eng</t>
        </is>
      </c>
      <c r="AV235" t="inlineStr">
        <is>
          <t>46619577</t>
        </is>
      </c>
      <c r="AW235" t="inlineStr">
        <is>
          <t>991004761809702656</t>
        </is>
      </c>
      <c r="AX235" t="inlineStr">
        <is>
          <t>991004761809702656</t>
        </is>
      </c>
      <c r="AY235" t="inlineStr">
        <is>
          <t>2264978880002656</t>
        </is>
      </c>
      <c r="AZ235" t="inlineStr">
        <is>
          <t>BOOK</t>
        </is>
      </c>
      <c r="BB235" t="inlineStr">
        <is>
          <t>9780875903521</t>
        </is>
      </c>
      <c r="BC235" t="inlineStr">
        <is>
          <t>32285005183867</t>
        </is>
      </c>
      <c r="BD235" t="inlineStr">
        <is>
          <t>893500921</t>
        </is>
      </c>
    </row>
    <row r="236">
      <c r="A236" t="inlineStr">
        <is>
          <t>No</t>
        </is>
      </c>
      <c r="B236" t="inlineStr">
        <is>
          <t>GB656.2.R3 H93 1991</t>
        </is>
      </c>
      <c r="C236" t="inlineStr">
        <is>
          <t>0                      GB 0656200R  3                  H  93          1991</t>
        </is>
      </c>
      <c r="D236" t="inlineStr">
        <is>
          <t>Hydrological applications of weather radar / editors, I.D. Cluckie, C.G. Collier.</t>
        </is>
      </c>
      <c r="F236" t="inlineStr">
        <is>
          <t>No</t>
        </is>
      </c>
      <c r="G236" t="inlineStr">
        <is>
          <t>1</t>
        </is>
      </c>
      <c r="H236" t="inlineStr">
        <is>
          <t>No</t>
        </is>
      </c>
      <c r="I236" t="inlineStr">
        <is>
          <t>No</t>
        </is>
      </c>
      <c r="J236" t="inlineStr">
        <is>
          <t>0</t>
        </is>
      </c>
      <c r="L236" t="inlineStr">
        <is>
          <t>New York : E. Horwood, 1991.</t>
        </is>
      </c>
      <c r="M236" t="inlineStr">
        <is>
          <t>1991</t>
        </is>
      </c>
      <c r="O236" t="inlineStr">
        <is>
          <t>eng</t>
        </is>
      </c>
      <c r="P236" t="inlineStr">
        <is>
          <t>nyu</t>
        </is>
      </c>
      <c r="Q236" t="inlineStr">
        <is>
          <t>Ellis Horwood series in environmental management, science, and technology</t>
        </is>
      </c>
      <c r="R236" t="inlineStr">
        <is>
          <t xml:space="preserve">GB </t>
        </is>
      </c>
      <c r="S236" t="n">
        <v>16</v>
      </c>
      <c r="T236" t="n">
        <v>16</v>
      </c>
      <c r="U236" t="inlineStr">
        <is>
          <t>2002-11-02</t>
        </is>
      </c>
      <c r="V236" t="inlineStr">
        <is>
          <t>2002-11-02</t>
        </is>
      </c>
      <c r="W236" t="inlineStr">
        <is>
          <t>1992-02-21</t>
        </is>
      </c>
      <c r="X236" t="inlineStr">
        <is>
          <t>1992-02-21</t>
        </is>
      </c>
      <c r="Y236" t="n">
        <v>109</v>
      </c>
      <c r="Z236" t="n">
        <v>73</v>
      </c>
      <c r="AA236" t="n">
        <v>76</v>
      </c>
      <c r="AB236" t="n">
        <v>1</v>
      </c>
      <c r="AC236" t="n">
        <v>1</v>
      </c>
      <c r="AD236" t="n">
        <v>2</v>
      </c>
      <c r="AE236" t="n">
        <v>2</v>
      </c>
      <c r="AF236" t="n">
        <v>0</v>
      </c>
      <c r="AG236" t="n">
        <v>0</v>
      </c>
      <c r="AH236" t="n">
        <v>1</v>
      </c>
      <c r="AI236" t="n">
        <v>1</v>
      </c>
      <c r="AJ236" t="n">
        <v>1</v>
      </c>
      <c r="AK236" t="n">
        <v>1</v>
      </c>
      <c r="AL236" t="n">
        <v>0</v>
      </c>
      <c r="AM236" t="n">
        <v>0</v>
      </c>
      <c r="AN236" t="n">
        <v>0</v>
      </c>
      <c r="AO236" t="n">
        <v>0</v>
      </c>
      <c r="AP236" t="inlineStr">
        <is>
          <t>No</t>
        </is>
      </c>
      <c r="AQ236" t="inlineStr">
        <is>
          <t>Yes</t>
        </is>
      </c>
      <c r="AR236">
        <f>HYPERLINK("http://catalog.hathitrust.org/Record/002473933","HathiTrust Record")</f>
        <v/>
      </c>
      <c r="AS236">
        <f>HYPERLINK("https://creighton-primo.hosted.exlibrisgroup.com/primo-explore/search?tab=default_tab&amp;search_scope=EVERYTHING&amp;vid=01CRU&amp;lang=en_US&amp;offset=0&amp;query=any,contains,991001843669702656","Catalog Record")</f>
        <v/>
      </c>
      <c r="AT236">
        <f>HYPERLINK("http://www.worldcat.org/oclc/23144775","WorldCat Record")</f>
        <v/>
      </c>
      <c r="AU236" t="inlineStr">
        <is>
          <t>365409887:eng</t>
        </is>
      </c>
      <c r="AV236" t="inlineStr">
        <is>
          <t>23144775</t>
        </is>
      </c>
      <c r="AW236" t="inlineStr">
        <is>
          <t>991001843669702656</t>
        </is>
      </c>
      <c r="AX236" t="inlineStr">
        <is>
          <t>991001843669702656</t>
        </is>
      </c>
      <c r="AY236" t="inlineStr">
        <is>
          <t>2266154530002656</t>
        </is>
      </c>
      <c r="AZ236" t="inlineStr">
        <is>
          <t>BOOK</t>
        </is>
      </c>
      <c r="BB236" t="inlineStr">
        <is>
          <t>9780134414782</t>
        </is>
      </c>
      <c r="BC236" t="inlineStr">
        <is>
          <t>32285000935659</t>
        </is>
      </c>
      <c r="BD236" t="inlineStr">
        <is>
          <t>893250549</t>
        </is>
      </c>
    </row>
    <row r="237">
      <c r="A237" t="inlineStr">
        <is>
          <t>No</t>
        </is>
      </c>
      <c r="B237" t="inlineStr">
        <is>
          <t>GB656.2.R44 E53 1991</t>
        </is>
      </c>
      <c r="C237" t="inlineStr">
        <is>
          <t>0                      GB 0656200R  44                 E  53          1991</t>
        </is>
      </c>
      <c r="D237" t="inlineStr">
        <is>
          <t>Remote sensing in hydrology / E. T. Engman and R. J. Gurney.</t>
        </is>
      </c>
      <c r="F237" t="inlineStr">
        <is>
          <t>No</t>
        </is>
      </c>
      <c r="G237" t="inlineStr">
        <is>
          <t>1</t>
        </is>
      </c>
      <c r="H237" t="inlineStr">
        <is>
          <t>No</t>
        </is>
      </c>
      <c r="I237" t="inlineStr">
        <is>
          <t>No</t>
        </is>
      </c>
      <c r="J237" t="inlineStr">
        <is>
          <t>0</t>
        </is>
      </c>
      <c r="K237" t="inlineStr">
        <is>
          <t>Engman, E. T.</t>
        </is>
      </c>
      <c r="L237" t="inlineStr">
        <is>
          <t>London : Chapman and Hall, 1991.</t>
        </is>
      </c>
      <c r="M237" t="inlineStr">
        <is>
          <t>1991</t>
        </is>
      </c>
      <c r="N237" t="inlineStr">
        <is>
          <t>1st ed.</t>
        </is>
      </c>
      <c r="O237" t="inlineStr">
        <is>
          <t>eng</t>
        </is>
      </c>
      <c r="P237" t="inlineStr">
        <is>
          <t>enk</t>
        </is>
      </c>
      <c r="Q237" t="inlineStr">
        <is>
          <t>Remote sensing applications</t>
        </is>
      </c>
      <c r="R237" t="inlineStr">
        <is>
          <t xml:space="preserve">GB </t>
        </is>
      </c>
      <c r="S237" t="n">
        <v>5</v>
      </c>
      <c r="T237" t="n">
        <v>5</v>
      </c>
      <c r="U237" t="inlineStr">
        <is>
          <t>2000-05-02</t>
        </is>
      </c>
      <c r="V237" t="inlineStr">
        <is>
          <t>2000-05-02</t>
        </is>
      </c>
      <c r="W237" t="inlineStr">
        <is>
          <t>1991-04-29</t>
        </is>
      </c>
      <c r="X237" t="inlineStr">
        <is>
          <t>1991-04-29</t>
        </is>
      </c>
      <c r="Y237" t="n">
        <v>246</v>
      </c>
      <c r="Z237" t="n">
        <v>126</v>
      </c>
      <c r="AA237" t="n">
        <v>129</v>
      </c>
      <c r="AB237" t="n">
        <v>3</v>
      </c>
      <c r="AC237" t="n">
        <v>3</v>
      </c>
      <c r="AD237" t="n">
        <v>2</v>
      </c>
      <c r="AE237" t="n">
        <v>2</v>
      </c>
      <c r="AF237" t="n">
        <v>0</v>
      </c>
      <c r="AG237" t="n">
        <v>0</v>
      </c>
      <c r="AH237" t="n">
        <v>0</v>
      </c>
      <c r="AI237" t="n">
        <v>0</v>
      </c>
      <c r="AJ237" t="n">
        <v>0</v>
      </c>
      <c r="AK237" t="n">
        <v>0</v>
      </c>
      <c r="AL237" t="n">
        <v>2</v>
      </c>
      <c r="AM237" t="n">
        <v>2</v>
      </c>
      <c r="AN237" t="n">
        <v>0</v>
      </c>
      <c r="AO237" t="n">
        <v>0</v>
      </c>
      <c r="AP237" t="inlineStr">
        <is>
          <t>No</t>
        </is>
      </c>
      <c r="AQ237" t="inlineStr">
        <is>
          <t>Yes</t>
        </is>
      </c>
      <c r="AR237">
        <f>HYPERLINK("http://catalog.hathitrust.org/Record/002476992","HathiTrust Record")</f>
        <v/>
      </c>
      <c r="AS237">
        <f>HYPERLINK("https://creighton-primo.hosted.exlibrisgroup.com/primo-explore/search?tab=default_tab&amp;search_scope=EVERYTHING&amp;vid=01CRU&amp;lang=en_US&amp;offset=0&amp;query=any,contains,991001759669702656","Catalog Record")</f>
        <v/>
      </c>
      <c r="AT237">
        <f>HYPERLINK("http://www.worldcat.org/oclc/26856446","WorldCat Record")</f>
        <v/>
      </c>
      <c r="AU237" t="inlineStr">
        <is>
          <t>3856801979:eng</t>
        </is>
      </c>
      <c r="AV237" t="inlineStr">
        <is>
          <t>26856446</t>
        </is>
      </c>
      <c r="AW237" t="inlineStr">
        <is>
          <t>991001759669702656</t>
        </is>
      </c>
      <c r="AX237" t="inlineStr">
        <is>
          <t>991001759669702656</t>
        </is>
      </c>
      <c r="AY237" t="inlineStr">
        <is>
          <t>2272003080002656</t>
        </is>
      </c>
      <c r="AZ237" t="inlineStr">
        <is>
          <t>BOOK</t>
        </is>
      </c>
      <c r="BB237" t="inlineStr">
        <is>
          <t>9780412244506</t>
        </is>
      </c>
      <c r="BC237" t="inlineStr">
        <is>
          <t>32285000569318</t>
        </is>
      </c>
      <c r="BD237" t="inlineStr">
        <is>
          <t>893891808</t>
        </is>
      </c>
    </row>
    <row r="238">
      <c r="A238" t="inlineStr">
        <is>
          <t>No</t>
        </is>
      </c>
      <c r="B238" t="inlineStr">
        <is>
          <t>GB661.2 .M36 1987</t>
        </is>
      </c>
      <c r="C238" t="inlineStr">
        <is>
          <t>0                      GB 0661200M  36          1987</t>
        </is>
      </c>
      <c r="D238" t="inlineStr">
        <is>
          <t>Applied principles of hydrology / John C. Manning ; illustrated by Natalie J. Weiskal.</t>
        </is>
      </c>
      <c r="F238" t="inlineStr">
        <is>
          <t>No</t>
        </is>
      </c>
      <c r="G238" t="inlineStr">
        <is>
          <t>1</t>
        </is>
      </c>
      <c r="H238" t="inlineStr">
        <is>
          <t>No</t>
        </is>
      </c>
      <c r="I238" t="inlineStr">
        <is>
          <t>No</t>
        </is>
      </c>
      <c r="J238" t="inlineStr">
        <is>
          <t>0</t>
        </is>
      </c>
      <c r="K238" t="inlineStr">
        <is>
          <t>Manning, John C. (John Craige), 1920-</t>
        </is>
      </c>
      <c r="L238" t="inlineStr">
        <is>
          <t>Columbus : Merrill Pub. Co., c1987.</t>
        </is>
      </c>
      <c r="M238" t="inlineStr">
        <is>
          <t>1987</t>
        </is>
      </c>
      <c r="O238" t="inlineStr">
        <is>
          <t>eng</t>
        </is>
      </c>
      <c r="P238" t="inlineStr">
        <is>
          <t>ohu</t>
        </is>
      </c>
      <c r="R238" t="inlineStr">
        <is>
          <t xml:space="preserve">GB </t>
        </is>
      </c>
      <c r="S238" t="n">
        <v>8</v>
      </c>
      <c r="T238" t="n">
        <v>8</v>
      </c>
      <c r="U238" t="inlineStr">
        <is>
          <t>2003-05-07</t>
        </is>
      </c>
      <c r="V238" t="inlineStr">
        <is>
          <t>2003-05-07</t>
        </is>
      </c>
      <c r="W238" t="inlineStr">
        <is>
          <t>1995-02-01</t>
        </is>
      </c>
      <c r="X238" t="inlineStr">
        <is>
          <t>1995-02-01</t>
        </is>
      </c>
      <c r="Y238" t="n">
        <v>149</v>
      </c>
      <c r="Z238" t="n">
        <v>95</v>
      </c>
      <c r="AA238" t="n">
        <v>263</v>
      </c>
      <c r="AB238" t="n">
        <v>1</v>
      </c>
      <c r="AC238" t="n">
        <v>3</v>
      </c>
      <c r="AD238" t="n">
        <v>3</v>
      </c>
      <c r="AE238" t="n">
        <v>7</v>
      </c>
      <c r="AF238" t="n">
        <v>2</v>
      </c>
      <c r="AG238" t="n">
        <v>2</v>
      </c>
      <c r="AH238" t="n">
        <v>1</v>
      </c>
      <c r="AI238" t="n">
        <v>1</v>
      </c>
      <c r="AJ238" t="n">
        <v>1</v>
      </c>
      <c r="AK238" t="n">
        <v>2</v>
      </c>
      <c r="AL238" t="n">
        <v>0</v>
      </c>
      <c r="AM238" t="n">
        <v>2</v>
      </c>
      <c r="AN238" t="n">
        <v>0</v>
      </c>
      <c r="AO238" t="n">
        <v>1</v>
      </c>
      <c r="AP238" t="inlineStr">
        <is>
          <t>No</t>
        </is>
      </c>
      <c r="AQ238" t="inlineStr">
        <is>
          <t>No</t>
        </is>
      </c>
      <c r="AS238">
        <f>HYPERLINK("https://creighton-primo.hosted.exlibrisgroup.com/primo-explore/search?tab=default_tab&amp;search_scope=EVERYTHING&amp;vid=01CRU&amp;lang=en_US&amp;offset=0&amp;query=any,contains,991001056549702656","Catalog Record")</f>
        <v/>
      </c>
      <c r="AT238">
        <f>HYPERLINK("http://www.worldcat.org/oclc/15696702","WorldCat Record")</f>
        <v/>
      </c>
      <c r="AU238" t="inlineStr">
        <is>
          <t>10737957:eng</t>
        </is>
      </c>
      <c r="AV238" t="inlineStr">
        <is>
          <t>15696702</t>
        </is>
      </c>
      <c r="AW238" t="inlineStr">
        <is>
          <t>991001056549702656</t>
        </is>
      </c>
      <c r="AX238" t="inlineStr">
        <is>
          <t>991001056549702656</t>
        </is>
      </c>
      <c r="AY238" t="inlineStr">
        <is>
          <t>2260116440002656</t>
        </is>
      </c>
      <c r="AZ238" t="inlineStr">
        <is>
          <t>BOOK</t>
        </is>
      </c>
      <c r="BB238" t="inlineStr">
        <is>
          <t>9780675207805</t>
        </is>
      </c>
      <c r="BC238" t="inlineStr">
        <is>
          <t>32285002005030</t>
        </is>
      </c>
      <c r="BD238" t="inlineStr">
        <is>
          <t>893778519</t>
        </is>
      </c>
    </row>
    <row r="239">
      <c r="A239" t="inlineStr">
        <is>
          <t>No</t>
        </is>
      </c>
      <c r="B239" t="inlineStr">
        <is>
          <t>GB661.2 .P54 1998</t>
        </is>
      </c>
      <c r="C239" t="inlineStr">
        <is>
          <t>0                      GB 0661200P  54          1998</t>
        </is>
      </c>
      <c r="D239" t="inlineStr">
        <is>
          <t>Fresh water / E.C. Pielou.</t>
        </is>
      </c>
      <c r="F239" t="inlineStr">
        <is>
          <t>No</t>
        </is>
      </c>
      <c r="G239" t="inlineStr">
        <is>
          <t>1</t>
        </is>
      </c>
      <c r="H239" t="inlineStr">
        <is>
          <t>No</t>
        </is>
      </c>
      <c r="I239" t="inlineStr">
        <is>
          <t>No</t>
        </is>
      </c>
      <c r="J239" t="inlineStr">
        <is>
          <t>0</t>
        </is>
      </c>
      <c r="K239" t="inlineStr">
        <is>
          <t>Pielou, E. C., 1924-2016.</t>
        </is>
      </c>
      <c r="L239" t="inlineStr">
        <is>
          <t>Chicago : University of Chicago Press, 1998.</t>
        </is>
      </c>
      <c r="M239" t="inlineStr">
        <is>
          <t>1998</t>
        </is>
      </c>
      <c r="O239" t="inlineStr">
        <is>
          <t>eng</t>
        </is>
      </c>
      <c r="P239" t="inlineStr">
        <is>
          <t>ilu</t>
        </is>
      </c>
      <c r="R239" t="inlineStr">
        <is>
          <t xml:space="preserve">GB </t>
        </is>
      </c>
      <c r="S239" t="n">
        <v>5</v>
      </c>
      <c r="T239" t="n">
        <v>5</v>
      </c>
      <c r="U239" t="inlineStr">
        <is>
          <t>2001-10-02</t>
        </is>
      </c>
      <c r="V239" t="inlineStr">
        <is>
          <t>2001-10-02</t>
        </is>
      </c>
      <c r="W239" t="inlineStr">
        <is>
          <t>1999-09-22</t>
        </is>
      </c>
      <c r="X239" t="inlineStr">
        <is>
          <t>1999-09-22</t>
        </is>
      </c>
      <c r="Y239" t="n">
        <v>1240</v>
      </c>
      <c r="Z239" t="n">
        <v>1102</v>
      </c>
      <c r="AA239" t="n">
        <v>1103</v>
      </c>
      <c r="AB239" t="n">
        <v>10</v>
      </c>
      <c r="AC239" t="n">
        <v>10</v>
      </c>
      <c r="AD239" t="n">
        <v>31</v>
      </c>
      <c r="AE239" t="n">
        <v>31</v>
      </c>
      <c r="AF239" t="n">
        <v>13</v>
      </c>
      <c r="AG239" t="n">
        <v>13</v>
      </c>
      <c r="AH239" t="n">
        <v>6</v>
      </c>
      <c r="AI239" t="n">
        <v>6</v>
      </c>
      <c r="AJ239" t="n">
        <v>11</v>
      </c>
      <c r="AK239" t="n">
        <v>11</v>
      </c>
      <c r="AL239" t="n">
        <v>7</v>
      </c>
      <c r="AM239" t="n">
        <v>7</v>
      </c>
      <c r="AN239" t="n">
        <v>1</v>
      </c>
      <c r="AO239" t="n">
        <v>1</v>
      </c>
      <c r="AP239" t="inlineStr">
        <is>
          <t>No</t>
        </is>
      </c>
      <c r="AQ239" t="inlineStr">
        <is>
          <t>No</t>
        </is>
      </c>
      <c r="AS239">
        <f>HYPERLINK("https://creighton-primo.hosted.exlibrisgroup.com/primo-explore/search?tab=default_tab&amp;search_scope=EVERYTHING&amp;vid=01CRU&amp;lang=en_US&amp;offset=0&amp;query=any,contains,991002895559702656","Catalog Record")</f>
        <v/>
      </c>
      <c r="AT239">
        <f>HYPERLINK("http://www.worldcat.org/oclc/38144385","WorldCat Record")</f>
        <v/>
      </c>
      <c r="AU239" t="inlineStr">
        <is>
          <t>601934:eng</t>
        </is>
      </c>
      <c r="AV239" t="inlineStr">
        <is>
          <t>38144385</t>
        </is>
      </c>
      <c r="AW239" t="inlineStr">
        <is>
          <t>991002895559702656</t>
        </is>
      </c>
      <c r="AX239" t="inlineStr">
        <is>
          <t>991002895559702656</t>
        </is>
      </c>
      <c r="AY239" t="inlineStr">
        <is>
          <t>2263400660002656</t>
        </is>
      </c>
      <c r="AZ239" t="inlineStr">
        <is>
          <t>BOOK</t>
        </is>
      </c>
      <c r="BB239" t="inlineStr">
        <is>
          <t>9780226668154</t>
        </is>
      </c>
      <c r="BC239" t="inlineStr">
        <is>
          <t>32285003590154</t>
        </is>
      </c>
      <c r="BD239" t="inlineStr">
        <is>
          <t>893421922</t>
        </is>
      </c>
    </row>
    <row r="240">
      <c r="A240" t="inlineStr">
        <is>
          <t>No</t>
        </is>
      </c>
      <c r="B240" t="inlineStr">
        <is>
          <t>GB661.2 .S53 1990</t>
        </is>
      </c>
      <c r="C240" t="inlineStr">
        <is>
          <t>0                      GB 0661200S  53          1990</t>
        </is>
      </c>
      <c r="D240" t="inlineStr">
        <is>
          <t>Hydrology in practice / Elizabeth M. Shaw.</t>
        </is>
      </c>
      <c r="F240" t="inlineStr">
        <is>
          <t>No</t>
        </is>
      </c>
      <c r="G240" t="inlineStr">
        <is>
          <t>1</t>
        </is>
      </c>
      <c r="H240" t="inlineStr">
        <is>
          <t>No</t>
        </is>
      </c>
      <c r="I240" t="inlineStr">
        <is>
          <t>No</t>
        </is>
      </c>
      <c r="J240" t="inlineStr">
        <is>
          <t>0</t>
        </is>
      </c>
      <c r="K240" t="inlineStr">
        <is>
          <t>Shaw, Elizabeth M.</t>
        </is>
      </c>
      <c r="L240" t="inlineStr">
        <is>
          <t>London : Chapman and Hall, 1990, c1988.</t>
        </is>
      </c>
      <c r="M240" t="inlineStr">
        <is>
          <t>1990</t>
        </is>
      </c>
      <c r="N240" t="inlineStr">
        <is>
          <t>2nd ed.</t>
        </is>
      </c>
      <c r="O240" t="inlineStr">
        <is>
          <t>eng</t>
        </is>
      </c>
      <c r="P240" t="inlineStr">
        <is>
          <t>enk</t>
        </is>
      </c>
      <c r="R240" t="inlineStr">
        <is>
          <t xml:space="preserve">GB </t>
        </is>
      </c>
      <c r="S240" t="n">
        <v>14</v>
      </c>
      <c r="T240" t="n">
        <v>14</v>
      </c>
      <c r="U240" t="inlineStr">
        <is>
          <t>2003-02-07</t>
        </is>
      </c>
      <c r="V240" t="inlineStr">
        <is>
          <t>2003-02-07</t>
        </is>
      </c>
      <c r="W240" t="inlineStr">
        <is>
          <t>1991-09-17</t>
        </is>
      </c>
      <c r="X240" t="inlineStr">
        <is>
          <t>1991-09-17</t>
        </is>
      </c>
      <c r="Y240" t="n">
        <v>84</v>
      </c>
      <c r="Z240" t="n">
        <v>37</v>
      </c>
      <c r="AA240" t="n">
        <v>680</v>
      </c>
      <c r="AB240" t="n">
        <v>1</v>
      </c>
      <c r="AC240" t="n">
        <v>6</v>
      </c>
      <c r="AD240" t="n">
        <v>0</v>
      </c>
      <c r="AE240" t="n">
        <v>26</v>
      </c>
      <c r="AF240" t="n">
        <v>0</v>
      </c>
      <c r="AG240" t="n">
        <v>9</v>
      </c>
      <c r="AH240" t="n">
        <v>0</v>
      </c>
      <c r="AI240" t="n">
        <v>7</v>
      </c>
      <c r="AJ240" t="n">
        <v>0</v>
      </c>
      <c r="AK240" t="n">
        <v>10</v>
      </c>
      <c r="AL240" t="n">
        <v>0</v>
      </c>
      <c r="AM240" t="n">
        <v>5</v>
      </c>
      <c r="AN240" t="n">
        <v>0</v>
      </c>
      <c r="AO240" t="n">
        <v>1</v>
      </c>
      <c r="AP240" t="inlineStr">
        <is>
          <t>No</t>
        </is>
      </c>
      <c r="AQ240" t="inlineStr">
        <is>
          <t>No</t>
        </is>
      </c>
      <c r="AS240">
        <f>HYPERLINK("https://creighton-primo.hosted.exlibrisgroup.com/primo-explore/search?tab=default_tab&amp;search_scope=EVERYTHING&amp;vid=01CRU&amp;lang=en_US&amp;offset=0&amp;query=any,contains,991001793429702656","Catalog Record")</f>
        <v/>
      </c>
      <c r="AT240">
        <f>HYPERLINK("http://www.worldcat.org/oclc/22579009","WorldCat Record")</f>
        <v/>
      </c>
      <c r="AU240" t="inlineStr">
        <is>
          <t>745615:eng</t>
        </is>
      </c>
      <c r="AV240" t="inlineStr">
        <is>
          <t>22579009</t>
        </is>
      </c>
      <c r="AW240" t="inlineStr">
        <is>
          <t>991001793429702656</t>
        </is>
      </c>
      <c r="AX240" t="inlineStr">
        <is>
          <t>991001793429702656</t>
        </is>
      </c>
      <c r="AY240" t="inlineStr">
        <is>
          <t>2267605960002656</t>
        </is>
      </c>
      <c r="AZ240" t="inlineStr">
        <is>
          <t>BOOK</t>
        </is>
      </c>
      <c r="BB240" t="inlineStr">
        <is>
          <t>9780412375408</t>
        </is>
      </c>
      <c r="BC240" t="inlineStr">
        <is>
          <t>32285000703487</t>
        </is>
      </c>
      <c r="BD240" t="inlineStr">
        <is>
          <t>893439451</t>
        </is>
      </c>
    </row>
    <row r="241">
      <c r="A241" t="inlineStr">
        <is>
          <t>No</t>
        </is>
      </c>
      <c r="B241" t="inlineStr">
        <is>
          <t>GB661.2 .W38 1993</t>
        </is>
      </c>
      <c r="C241" t="inlineStr">
        <is>
          <t>0                      GB 0661200W  38          1993</t>
        </is>
      </c>
      <c r="D241" t="inlineStr">
        <is>
          <t>Hydrology : an environmental approach / Ian Watson, Alister D. Burnett.</t>
        </is>
      </c>
      <c r="F241" t="inlineStr">
        <is>
          <t>No</t>
        </is>
      </c>
      <c r="G241" t="inlineStr">
        <is>
          <t>1</t>
        </is>
      </c>
      <c r="H241" t="inlineStr">
        <is>
          <t>No</t>
        </is>
      </c>
      <c r="I241" t="inlineStr">
        <is>
          <t>No</t>
        </is>
      </c>
      <c r="J241" t="inlineStr">
        <is>
          <t>0</t>
        </is>
      </c>
      <c r="K241" t="inlineStr">
        <is>
          <t>Watson, Ian, 1940-2010.</t>
        </is>
      </c>
      <c r="L241" t="inlineStr">
        <is>
          <t>Cambridge, Ft. Lauderdale : Buchanan Books, [c1993]</t>
        </is>
      </c>
      <c r="M241" t="inlineStr">
        <is>
          <t>1993</t>
        </is>
      </c>
      <c r="O241" t="inlineStr">
        <is>
          <t>eng</t>
        </is>
      </c>
      <c r="P241" t="inlineStr">
        <is>
          <t>flu</t>
        </is>
      </c>
      <c r="R241" t="inlineStr">
        <is>
          <t xml:space="preserve">GB </t>
        </is>
      </c>
      <c r="S241" t="n">
        <v>5</v>
      </c>
      <c r="T241" t="n">
        <v>5</v>
      </c>
      <c r="U241" t="inlineStr">
        <is>
          <t>2003-05-07</t>
        </is>
      </c>
      <c r="V241" t="inlineStr">
        <is>
          <t>2003-05-07</t>
        </is>
      </c>
      <c r="W241" t="inlineStr">
        <is>
          <t>1995-02-01</t>
        </is>
      </c>
      <c r="X241" t="inlineStr">
        <is>
          <t>1995-02-01</t>
        </is>
      </c>
      <c r="Y241" t="n">
        <v>214</v>
      </c>
      <c r="Z241" t="n">
        <v>141</v>
      </c>
      <c r="AA241" t="n">
        <v>307</v>
      </c>
      <c r="AB241" t="n">
        <v>1</v>
      </c>
      <c r="AC241" t="n">
        <v>3</v>
      </c>
      <c r="AD241" t="n">
        <v>1</v>
      </c>
      <c r="AE241" t="n">
        <v>7</v>
      </c>
      <c r="AF241" t="n">
        <v>0</v>
      </c>
      <c r="AG241" t="n">
        <v>3</v>
      </c>
      <c r="AH241" t="n">
        <v>0</v>
      </c>
      <c r="AI241" t="n">
        <v>0</v>
      </c>
      <c r="AJ241" t="n">
        <v>1</v>
      </c>
      <c r="AK241" t="n">
        <v>2</v>
      </c>
      <c r="AL241" t="n">
        <v>0</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HYPERLINK("https://creighton-primo.hosted.exlibrisgroup.com/primo-explore/search?tab=default_tab&amp;search_scope=EVERYTHING&amp;vid=01CRU&amp;lang=en_US&amp;offset=0&amp;query=any,contains,991002283039702656","Catalog Record")</f>
        <v/>
      </c>
      <c r="AT241">
        <f>HYPERLINK("http://www.worldcat.org/oclc/29597386","WorldCat Record")</f>
        <v/>
      </c>
      <c r="AU241" t="inlineStr">
        <is>
          <t>31531270:eng</t>
        </is>
      </c>
      <c r="AV241" t="inlineStr">
        <is>
          <t>29597386</t>
        </is>
      </c>
      <c r="AW241" t="inlineStr">
        <is>
          <t>991002283039702656</t>
        </is>
      </c>
      <c r="AX241" t="inlineStr">
        <is>
          <t>991002283039702656</t>
        </is>
      </c>
      <c r="AY241" t="inlineStr">
        <is>
          <t>2261403040002656</t>
        </is>
      </c>
      <c r="AZ241" t="inlineStr">
        <is>
          <t>BOOK</t>
        </is>
      </c>
      <c r="BB241" t="inlineStr">
        <is>
          <t>9780963603906</t>
        </is>
      </c>
      <c r="BC241" t="inlineStr">
        <is>
          <t>32285002005022</t>
        </is>
      </c>
      <c r="BD241" t="inlineStr">
        <is>
          <t>893804424</t>
        </is>
      </c>
    </row>
    <row r="242">
      <c r="A242" t="inlineStr">
        <is>
          <t>No</t>
        </is>
      </c>
      <c r="B242" t="inlineStr">
        <is>
          <t>GB665 .C65 1983</t>
        </is>
      </c>
      <c r="C242" t="inlineStr">
        <is>
          <t>0                      GB 0665000C  65          1983</t>
        </is>
      </c>
      <c r="D242" t="inlineStr">
        <is>
          <t>Fifth Conference on Hydrometeorology, October 17-19, 1983, Tulsa, Okla. : [preprints] / sponsored by American Meteorological Society.</t>
        </is>
      </c>
      <c r="F242" t="inlineStr">
        <is>
          <t>No</t>
        </is>
      </c>
      <c r="G242" t="inlineStr">
        <is>
          <t>1</t>
        </is>
      </c>
      <c r="H242" t="inlineStr">
        <is>
          <t>No</t>
        </is>
      </c>
      <c r="I242" t="inlineStr">
        <is>
          <t>No</t>
        </is>
      </c>
      <c r="J242" t="inlineStr">
        <is>
          <t>0</t>
        </is>
      </c>
      <c r="K242" t="inlineStr">
        <is>
          <t>Conference on Hydrometeorology (5th : 1983 : Tulsa, Okla.)</t>
        </is>
      </c>
      <c r="L242" t="inlineStr">
        <is>
          <t>Boston, Mass. : American Meteorological Society, 1983.</t>
        </is>
      </c>
      <c r="M242" t="inlineStr">
        <is>
          <t>1983</t>
        </is>
      </c>
      <c r="O242" t="inlineStr">
        <is>
          <t>eng</t>
        </is>
      </c>
      <c r="P242" t="inlineStr">
        <is>
          <t>mau</t>
        </is>
      </c>
      <c r="R242" t="inlineStr">
        <is>
          <t xml:space="preserve">GB </t>
        </is>
      </c>
      <c r="S242" t="n">
        <v>0</v>
      </c>
      <c r="T242" t="n">
        <v>0</v>
      </c>
      <c r="U242" t="inlineStr">
        <is>
          <t>2004-03-31</t>
        </is>
      </c>
      <c r="V242" t="inlineStr">
        <is>
          <t>2004-03-31</t>
        </is>
      </c>
      <c r="W242" t="inlineStr">
        <is>
          <t>1992-01-10</t>
        </is>
      </c>
      <c r="X242" t="inlineStr">
        <is>
          <t>1992-01-10</t>
        </is>
      </c>
      <c r="Y242" t="n">
        <v>28</v>
      </c>
      <c r="Z242" t="n">
        <v>21</v>
      </c>
      <c r="AA242" t="n">
        <v>21</v>
      </c>
      <c r="AB242" t="n">
        <v>1</v>
      </c>
      <c r="AC242" t="n">
        <v>1</v>
      </c>
      <c r="AD242" t="n">
        <v>0</v>
      </c>
      <c r="AE242" t="n">
        <v>0</v>
      </c>
      <c r="AF242" t="n">
        <v>0</v>
      </c>
      <c r="AG242" t="n">
        <v>0</v>
      </c>
      <c r="AH242" t="n">
        <v>0</v>
      </c>
      <c r="AI242" t="n">
        <v>0</v>
      </c>
      <c r="AJ242" t="n">
        <v>0</v>
      </c>
      <c r="AK242" t="n">
        <v>0</v>
      </c>
      <c r="AL242" t="n">
        <v>0</v>
      </c>
      <c r="AM242" t="n">
        <v>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HYPERLINK("https://creighton-primo.hosted.exlibrisgroup.com/primo-explore/search?tab=default_tab&amp;search_scope=EVERYTHING&amp;vid=01CRU&amp;lang=en_US&amp;offset=0&amp;query=any,contains,991000356879702656","Catalog Record")</f>
        <v/>
      </c>
      <c r="AT242">
        <f>HYPERLINK("http://www.worldcat.org/oclc/10341328","WorldCat Record")</f>
        <v/>
      </c>
      <c r="AU242" t="inlineStr">
        <is>
          <t>8906911782:eng</t>
        </is>
      </c>
      <c r="AV242" t="inlineStr">
        <is>
          <t>10341328</t>
        </is>
      </c>
      <c r="AW242" t="inlineStr">
        <is>
          <t>991000356879702656</t>
        </is>
      </c>
      <c r="AX242" t="inlineStr">
        <is>
          <t>991000356879702656</t>
        </is>
      </c>
      <c r="AY242" t="inlineStr">
        <is>
          <t>2257921040002656</t>
        </is>
      </c>
      <c r="AZ242" t="inlineStr">
        <is>
          <t>BOOK</t>
        </is>
      </c>
      <c r="BC242" t="inlineStr">
        <is>
          <t>32285000893221</t>
        </is>
      </c>
      <c r="BD242" t="inlineStr">
        <is>
          <t>893425612</t>
        </is>
      </c>
    </row>
    <row r="243">
      <c r="A243" t="inlineStr">
        <is>
          <t>No</t>
        </is>
      </c>
      <c r="B243" t="inlineStr">
        <is>
          <t>GB665 .C65 1985</t>
        </is>
      </c>
      <c r="C243" t="inlineStr">
        <is>
          <t>0                      GB 0665000C  65          1985</t>
        </is>
      </c>
      <c r="D243" t="inlineStr">
        <is>
          <t>Sixth Conference on Hydrometeorology : Oct. 29-Nov. 1, 1985, Indianapolis, Ind. / sponsored by American Meteorological Society.</t>
        </is>
      </c>
      <c r="F243" t="inlineStr">
        <is>
          <t>No</t>
        </is>
      </c>
      <c r="G243" t="inlineStr">
        <is>
          <t>1</t>
        </is>
      </c>
      <c r="H243" t="inlineStr">
        <is>
          <t>No</t>
        </is>
      </c>
      <c r="I243" t="inlineStr">
        <is>
          <t>No</t>
        </is>
      </c>
      <c r="J243" t="inlineStr">
        <is>
          <t>0</t>
        </is>
      </c>
      <c r="K243" t="inlineStr">
        <is>
          <t>Conference on Hydrometeorology (6th : 1985 : Indianapolis, Ind.)</t>
        </is>
      </c>
      <c r="L243" t="inlineStr">
        <is>
          <t>Boston, Mass. : American Meteorological Society, c1985.</t>
        </is>
      </c>
      <c r="M243" t="inlineStr">
        <is>
          <t>1985</t>
        </is>
      </c>
      <c r="O243" t="inlineStr">
        <is>
          <t>eng</t>
        </is>
      </c>
      <c r="P243" t="inlineStr">
        <is>
          <t>mau</t>
        </is>
      </c>
      <c r="R243" t="inlineStr">
        <is>
          <t xml:space="preserve">GB </t>
        </is>
      </c>
      <c r="S243" t="n">
        <v>2</v>
      </c>
      <c r="T243" t="n">
        <v>2</v>
      </c>
      <c r="U243" t="inlineStr">
        <is>
          <t>1994-03-28</t>
        </is>
      </c>
      <c r="V243" t="inlineStr">
        <is>
          <t>1994-03-28</t>
        </is>
      </c>
      <c r="W243" t="inlineStr">
        <is>
          <t>1992-01-10</t>
        </is>
      </c>
      <c r="X243" t="inlineStr">
        <is>
          <t>1992-01-10</t>
        </is>
      </c>
      <c r="Y243" t="n">
        <v>21</v>
      </c>
      <c r="Z243" t="n">
        <v>16</v>
      </c>
      <c r="AA243" t="n">
        <v>17</v>
      </c>
      <c r="AB243" t="n">
        <v>1</v>
      </c>
      <c r="AC243" t="n">
        <v>1</v>
      </c>
      <c r="AD243" t="n">
        <v>0</v>
      </c>
      <c r="AE243" t="n">
        <v>0</v>
      </c>
      <c r="AF243" t="n">
        <v>0</v>
      </c>
      <c r="AG243" t="n">
        <v>0</v>
      </c>
      <c r="AH243" t="n">
        <v>0</v>
      </c>
      <c r="AI243" t="n">
        <v>0</v>
      </c>
      <c r="AJ243" t="n">
        <v>0</v>
      </c>
      <c r="AK243" t="n">
        <v>0</v>
      </c>
      <c r="AL243" t="n">
        <v>0</v>
      </c>
      <c r="AM243" t="n">
        <v>0</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HYPERLINK("https://creighton-primo.hosted.exlibrisgroup.com/primo-explore/search?tab=default_tab&amp;search_scope=EVERYTHING&amp;vid=01CRU&amp;lang=en_US&amp;offset=0&amp;query=any,contains,991000814919702656","Catalog Record")</f>
        <v/>
      </c>
      <c r="AT243">
        <f>HYPERLINK("http://www.worldcat.org/oclc/13347124","WorldCat Record")</f>
        <v/>
      </c>
      <c r="AU243" t="inlineStr">
        <is>
          <t>3855378711:eng</t>
        </is>
      </c>
      <c r="AV243" t="inlineStr">
        <is>
          <t>13347124</t>
        </is>
      </c>
      <c r="AW243" t="inlineStr">
        <is>
          <t>991000814919702656</t>
        </is>
      </c>
      <c r="AX243" t="inlineStr">
        <is>
          <t>991000814919702656</t>
        </is>
      </c>
      <c r="AY243" t="inlineStr">
        <is>
          <t>2261318780002656</t>
        </is>
      </c>
      <c r="AZ243" t="inlineStr">
        <is>
          <t>BOOK</t>
        </is>
      </c>
      <c r="BC243" t="inlineStr">
        <is>
          <t>32285000893239</t>
        </is>
      </c>
      <c r="BD243" t="inlineStr">
        <is>
          <t>893897245</t>
        </is>
      </c>
    </row>
    <row r="244">
      <c r="A244" t="inlineStr">
        <is>
          <t>No</t>
        </is>
      </c>
      <c r="B244" t="inlineStr">
        <is>
          <t>GB665 .C65 1990</t>
        </is>
      </c>
      <c r="C244" t="inlineStr">
        <is>
          <t>0                      GB 0665000C  65          1990</t>
        </is>
      </c>
      <c r="D244" t="inlineStr">
        <is>
          <t>Eighth Conference on Hydrometeorology, October 22-26, 1990, Kananaskis Park, Alta. Canada / sponsored by American Meteorological Society ; cosponsored by Alberta Research Council, American Geophysical Union, Canadian Meteorological and Oceanographic Society.</t>
        </is>
      </c>
      <c r="F244" t="inlineStr">
        <is>
          <t>No</t>
        </is>
      </c>
      <c r="G244" t="inlineStr">
        <is>
          <t>1</t>
        </is>
      </c>
      <c r="H244" t="inlineStr">
        <is>
          <t>No</t>
        </is>
      </c>
      <c r="I244" t="inlineStr">
        <is>
          <t>No</t>
        </is>
      </c>
      <c r="J244" t="inlineStr">
        <is>
          <t>0</t>
        </is>
      </c>
      <c r="K244" t="inlineStr">
        <is>
          <t>Conference on Hydrometeorology (8th : 1990 : Kananaskis, Alta.)</t>
        </is>
      </c>
      <c r="L244" t="inlineStr">
        <is>
          <t>Boston, Mass. : American Meteorological Society, c1990.</t>
        </is>
      </c>
      <c r="M244" t="inlineStr">
        <is>
          <t>1990</t>
        </is>
      </c>
      <c r="O244" t="inlineStr">
        <is>
          <t>eng</t>
        </is>
      </c>
      <c r="P244" t="inlineStr">
        <is>
          <t>mau</t>
        </is>
      </c>
      <c r="R244" t="inlineStr">
        <is>
          <t xml:space="preserve">GB </t>
        </is>
      </c>
      <c r="S244" t="n">
        <v>4</v>
      </c>
      <c r="T244" t="n">
        <v>4</v>
      </c>
      <c r="U244" t="inlineStr">
        <is>
          <t>2000-05-02</t>
        </is>
      </c>
      <c r="V244" t="inlineStr">
        <is>
          <t>2000-05-02</t>
        </is>
      </c>
      <c r="W244" t="inlineStr">
        <is>
          <t>1991-11-08</t>
        </is>
      </c>
      <c r="X244" t="inlineStr">
        <is>
          <t>1991-11-08</t>
        </is>
      </c>
      <c r="Y244" t="n">
        <v>19</v>
      </c>
      <c r="Z244" t="n">
        <v>13</v>
      </c>
      <c r="AA244" t="n">
        <v>13</v>
      </c>
      <c r="AB244" t="n">
        <v>1</v>
      </c>
      <c r="AC244" t="n">
        <v>1</v>
      </c>
      <c r="AD244" t="n">
        <v>0</v>
      </c>
      <c r="AE244" t="n">
        <v>0</v>
      </c>
      <c r="AF244" t="n">
        <v>0</v>
      </c>
      <c r="AG244" t="n">
        <v>0</v>
      </c>
      <c r="AH244" t="n">
        <v>0</v>
      </c>
      <c r="AI244" t="n">
        <v>0</v>
      </c>
      <c r="AJ244" t="n">
        <v>0</v>
      </c>
      <c r="AK244" t="n">
        <v>0</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HYPERLINK("https://creighton-primo.hosted.exlibrisgroup.com/primo-explore/search?tab=default_tab&amp;search_scope=EVERYTHING&amp;vid=01CRU&amp;lang=en_US&amp;offset=0&amp;query=any,contains,991001839179702656","Catalog Record")</f>
        <v/>
      </c>
      <c r="AT244">
        <f>HYPERLINK("http://www.worldcat.org/oclc/23114008","WorldCat Record")</f>
        <v/>
      </c>
      <c r="AU244" t="inlineStr">
        <is>
          <t>348552279:eng</t>
        </is>
      </c>
      <c r="AV244" t="inlineStr">
        <is>
          <t>23114008</t>
        </is>
      </c>
      <c r="AW244" t="inlineStr">
        <is>
          <t>991001839179702656</t>
        </is>
      </c>
      <c r="AX244" t="inlineStr">
        <is>
          <t>991001839179702656</t>
        </is>
      </c>
      <c r="AY244" t="inlineStr">
        <is>
          <t>2257403680002656</t>
        </is>
      </c>
      <c r="AZ244" t="inlineStr">
        <is>
          <t>BOOK</t>
        </is>
      </c>
      <c r="BC244" t="inlineStr">
        <is>
          <t>32285000815430</t>
        </is>
      </c>
      <c r="BD244" t="inlineStr">
        <is>
          <t>893426910</t>
        </is>
      </c>
    </row>
    <row r="245">
      <c r="A245" t="inlineStr">
        <is>
          <t>No</t>
        </is>
      </c>
      <c r="B245" t="inlineStr">
        <is>
          <t>GB671 .F813 1967b</t>
        </is>
      </c>
      <c r="C245" t="inlineStr">
        <is>
          <t>0                      GB 0671000F  813         1967b</t>
        </is>
      </c>
      <c r="D245" t="inlineStr">
        <is>
          <t>The problem of water : a world study / translated by Paul Barnes.</t>
        </is>
      </c>
      <c r="F245" t="inlineStr">
        <is>
          <t>No</t>
        </is>
      </c>
      <c r="G245" t="inlineStr">
        <is>
          <t>1</t>
        </is>
      </c>
      <c r="H245" t="inlineStr">
        <is>
          <t>No</t>
        </is>
      </c>
      <c r="I245" t="inlineStr">
        <is>
          <t>No</t>
        </is>
      </c>
      <c r="J245" t="inlineStr">
        <is>
          <t>0</t>
        </is>
      </c>
      <c r="K245" t="inlineStr">
        <is>
          <t>Furon, Raymond, 1898-1986.</t>
        </is>
      </c>
      <c r="L245" t="inlineStr">
        <is>
          <t>New York : American Elsevier Pub. Co., [1967]</t>
        </is>
      </c>
      <c r="M245" t="inlineStr">
        <is>
          <t>1967</t>
        </is>
      </c>
      <c r="O245" t="inlineStr">
        <is>
          <t>eng</t>
        </is>
      </c>
      <c r="P245" t="inlineStr">
        <is>
          <t>nyu</t>
        </is>
      </c>
      <c r="R245" t="inlineStr">
        <is>
          <t xml:space="preserve">GB </t>
        </is>
      </c>
      <c r="S245" t="n">
        <v>9</v>
      </c>
      <c r="T245" t="n">
        <v>9</v>
      </c>
      <c r="U245" t="inlineStr">
        <is>
          <t>2001-10-02</t>
        </is>
      </c>
      <c r="V245" t="inlineStr">
        <is>
          <t>2001-10-02</t>
        </is>
      </c>
      <c r="W245" t="inlineStr">
        <is>
          <t>1994-10-28</t>
        </is>
      </c>
      <c r="X245" t="inlineStr">
        <is>
          <t>1994-10-28</t>
        </is>
      </c>
      <c r="Y245" t="n">
        <v>545</v>
      </c>
      <c r="Z245" t="n">
        <v>512</v>
      </c>
      <c r="AA245" t="n">
        <v>597</v>
      </c>
      <c r="AB245" t="n">
        <v>3</v>
      </c>
      <c r="AC245" t="n">
        <v>3</v>
      </c>
      <c r="AD245" t="n">
        <v>18</v>
      </c>
      <c r="AE245" t="n">
        <v>20</v>
      </c>
      <c r="AF245" t="n">
        <v>5</v>
      </c>
      <c r="AG245" t="n">
        <v>6</v>
      </c>
      <c r="AH245" t="n">
        <v>3</v>
      </c>
      <c r="AI245" t="n">
        <v>3</v>
      </c>
      <c r="AJ245" t="n">
        <v>9</v>
      </c>
      <c r="AK245" t="n">
        <v>10</v>
      </c>
      <c r="AL245" t="n">
        <v>2</v>
      </c>
      <c r="AM245" t="n">
        <v>2</v>
      </c>
      <c r="AN245" t="n">
        <v>1</v>
      </c>
      <c r="AO245" t="n">
        <v>1</v>
      </c>
      <c r="AP245" t="inlineStr">
        <is>
          <t>No</t>
        </is>
      </c>
      <c r="AQ245" t="inlineStr">
        <is>
          <t>Yes</t>
        </is>
      </c>
      <c r="AR245">
        <f>HYPERLINK("http://catalog.hathitrust.org/Record/001286365","HathiTrust Record")</f>
        <v/>
      </c>
      <c r="AS245">
        <f>HYPERLINK("https://creighton-primo.hosted.exlibrisgroup.com/primo-explore/search?tab=default_tab&amp;search_scope=EVERYTHING&amp;vid=01CRU&amp;lang=en_US&amp;offset=0&amp;query=any,contains,991001977049702656","Catalog Record")</f>
        <v/>
      </c>
      <c r="AT245">
        <f>HYPERLINK("http://www.worldcat.org/oclc/254376","WorldCat Record")</f>
        <v/>
      </c>
      <c r="AU245" t="inlineStr">
        <is>
          <t>507669:eng</t>
        </is>
      </c>
      <c r="AV245" t="inlineStr">
        <is>
          <t>254376</t>
        </is>
      </c>
      <c r="AW245" t="inlineStr">
        <is>
          <t>991001977049702656</t>
        </is>
      </c>
      <c r="AX245" t="inlineStr">
        <is>
          <t>991001977049702656</t>
        </is>
      </c>
      <c r="AY245" t="inlineStr">
        <is>
          <t>2269440070002656</t>
        </is>
      </c>
      <c r="AZ245" t="inlineStr">
        <is>
          <t>BOOK</t>
        </is>
      </c>
      <c r="BC245" t="inlineStr">
        <is>
          <t>32285001963668</t>
        </is>
      </c>
      <c r="BD245" t="inlineStr">
        <is>
          <t>893244613</t>
        </is>
      </c>
    </row>
    <row r="246">
      <c r="A246" t="inlineStr">
        <is>
          <t>No</t>
        </is>
      </c>
      <c r="B246" t="inlineStr">
        <is>
          <t>GB671 .L39 1974</t>
        </is>
      </c>
      <c r="C246" t="inlineStr">
        <is>
          <t>0                      GB 0671000L  39          1974</t>
        </is>
      </c>
      <c r="D246" t="inlineStr">
        <is>
          <t>Water; a primer [by] Luna B. Leopold.</t>
        </is>
      </c>
      <c r="F246" t="inlineStr">
        <is>
          <t>No</t>
        </is>
      </c>
      <c r="G246" t="inlineStr">
        <is>
          <t>1</t>
        </is>
      </c>
      <c r="H246" t="inlineStr">
        <is>
          <t>No</t>
        </is>
      </c>
      <c r="I246" t="inlineStr">
        <is>
          <t>No</t>
        </is>
      </c>
      <c r="J246" t="inlineStr">
        <is>
          <t>0</t>
        </is>
      </c>
      <c r="K246" t="inlineStr">
        <is>
          <t>Leopold, Luna B. (Luna Bergere), 1915-2006.</t>
        </is>
      </c>
      <c r="L246" t="inlineStr">
        <is>
          <t>San Francisco, W. H. Freeman [1974]</t>
        </is>
      </c>
      <c r="M246" t="inlineStr">
        <is>
          <t>1974</t>
        </is>
      </c>
      <c r="O246" t="inlineStr">
        <is>
          <t>eng</t>
        </is>
      </c>
      <c r="P246" t="inlineStr">
        <is>
          <t>cau</t>
        </is>
      </c>
      <c r="Q246" t="inlineStr">
        <is>
          <t>A Series of books in geology</t>
        </is>
      </c>
      <c r="R246" t="inlineStr">
        <is>
          <t xml:space="preserve">GB </t>
        </is>
      </c>
      <c r="S246" t="n">
        <v>2</v>
      </c>
      <c r="T246" t="n">
        <v>2</v>
      </c>
      <c r="U246" t="inlineStr">
        <is>
          <t>2001-10-02</t>
        </is>
      </c>
      <c r="V246" t="inlineStr">
        <is>
          <t>2001-10-02</t>
        </is>
      </c>
      <c r="W246" t="inlineStr">
        <is>
          <t>1997-05-22</t>
        </is>
      </c>
      <c r="X246" t="inlineStr">
        <is>
          <t>1997-05-22</t>
        </is>
      </c>
      <c r="Y246" t="n">
        <v>874</v>
      </c>
      <c r="Z246" t="n">
        <v>677</v>
      </c>
      <c r="AA246" t="n">
        <v>682</v>
      </c>
      <c r="AB246" t="n">
        <v>6</v>
      </c>
      <c r="AC246" t="n">
        <v>6</v>
      </c>
      <c r="AD246" t="n">
        <v>18</v>
      </c>
      <c r="AE246" t="n">
        <v>18</v>
      </c>
      <c r="AF246" t="n">
        <v>10</v>
      </c>
      <c r="AG246" t="n">
        <v>10</v>
      </c>
      <c r="AH246" t="n">
        <v>2</v>
      </c>
      <c r="AI246" t="n">
        <v>2</v>
      </c>
      <c r="AJ246" t="n">
        <v>6</v>
      </c>
      <c r="AK246" t="n">
        <v>6</v>
      </c>
      <c r="AL246" t="n">
        <v>5</v>
      </c>
      <c r="AM246" t="n">
        <v>5</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HYPERLINK("https://creighton-primo.hosted.exlibrisgroup.com/primo-explore/search?tab=default_tab&amp;search_scope=EVERYTHING&amp;vid=01CRU&amp;lang=en_US&amp;offset=0&amp;query=any,contains,991003225209702656","Catalog Record")</f>
        <v/>
      </c>
      <c r="AT246">
        <f>HYPERLINK("http://www.worldcat.org/oclc/749852","WorldCat Record")</f>
        <v/>
      </c>
      <c r="AU246" t="inlineStr">
        <is>
          <t>3944056829:eng</t>
        </is>
      </c>
      <c r="AV246" t="inlineStr">
        <is>
          <t>749852</t>
        </is>
      </c>
      <c r="AW246" t="inlineStr">
        <is>
          <t>991003225209702656</t>
        </is>
      </c>
      <c r="AX246" t="inlineStr">
        <is>
          <t>991003225209702656</t>
        </is>
      </c>
      <c r="AY246" t="inlineStr">
        <is>
          <t>2255339460002656</t>
        </is>
      </c>
      <c r="AZ246" t="inlineStr">
        <is>
          <t>BOOK</t>
        </is>
      </c>
      <c r="BB246" t="inlineStr">
        <is>
          <t>9780716702641</t>
        </is>
      </c>
      <c r="BC246" t="inlineStr">
        <is>
          <t>32285002693637</t>
        </is>
      </c>
      <c r="BD246" t="inlineStr">
        <is>
          <t>893705032</t>
        </is>
      </c>
    </row>
    <row r="247">
      <c r="A247" t="inlineStr">
        <is>
          <t>No</t>
        </is>
      </c>
      <c r="B247" t="inlineStr">
        <is>
          <t>GB671 .L4</t>
        </is>
      </c>
      <c r="C247" t="inlineStr">
        <is>
          <t>0                      GB 0671000L  4</t>
        </is>
      </c>
      <c r="D247" t="inlineStr">
        <is>
          <t>Water, by Luna B. Leopold, Kenneth S. Davis, and the editors of Life.</t>
        </is>
      </c>
      <c r="F247" t="inlineStr">
        <is>
          <t>No</t>
        </is>
      </c>
      <c r="G247" t="inlineStr">
        <is>
          <t>1</t>
        </is>
      </c>
      <c r="H247" t="inlineStr">
        <is>
          <t>No</t>
        </is>
      </c>
      <c r="I247" t="inlineStr">
        <is>
          <t>No</t>
        </is>
      </c>
      <c r="J247" t="inlineStr">
        <is>
          <t>0</t>
        </is>
      </c>
      <c r="K247" t="inlineStr">
        <is>
          <t>Leopold, Luna B. (Luna Bergere), 1915-2006.</t>
        </is>
      </c>
      <c r="L247" t="inlineStr">
        <is>
          <t>New York, Time, inc. [1966]</t>
        </is>
      </c>
      <c r="M247" t="inlineStr">
        <is>
          <t>1966</t>
        </is>
      </c>
      <c r="O247" t="inlineStr">
        <is>
          <t>eng</t>
        </is>
      </c>
      <c r="P247" t="inlineStr">
        <is>
          <t>nyu</t>
        </is>
      </c>
      <c r="Q247" t="inlineStr">
        <is>
          <t>Life science library</t>
        </is>
      </c>
      <c r="R247" t="inlineStr">
        <is>
          <t xml:space="preserve">GB </t>
        </is>
      </c>
      <c r="S247" t="n">
        <v>5</v>
      </c>
      <c r="T247" t="n">
        <v>5</v>
      </c>
      <c r="U247" t="inlineStr">
        <is>
          <t>2002-10-21</t>
        </is>
      </c>
      <c r="V247" t="inlineStr">
        <is>
          <t>2002-10-21</t>
        </is>
      </c>
      <c r="W247" t="inlineStr">
        <is>
          <t>1997-05-22</t>
        </is>
      </c>
      <c r="X247" t="inlineStr">
        <is>
          <t>1997-05-22</t>
        </is>
      </c>
      <c r="Y247" t="n">
        <v>1137</v>
      </c>
      <c r="Z247" t="n">
        <v>1075</v>
      </c>
      <c r="AA247" t="n">
        <v>1378</v>
      </c>
      <c r="AB247" t="n">
        <v>7</v>
      </c>
      <c r="AC247" t="n">
        <v>9</v>
      </c>
      <c r="AD247" t="n">
        <v>21</v>
      </c>
      <c r="AE247" t="n">
        <v>23</v>
      </c>
      <c r="AF247" t="n">
        <v>10</v>
      </c>
      <c r="AG247" t="n">
        <v>11</v>
      </c>
      <c r="AH247" t="n">
        <v>1</v>
      </c>
      <c r="AI247" t="n">
        <v>2</v>
      </c>
      <c r="AJ247" t="n">
        <v>12</v>
      </c>
      <c r="AK247" t="n">
        <v>13</v>
      </c>
      <c r="AL247" t="n">
        <v>3</v>
      </c>
      <c r="AM247" t="n">
        <v>3</v>
      </c>
      <c r="AN247" t="n">
        <v>2</v>
      </c>
      <c r="AO247" t="n">
        <v>2</v>
      </c>
      <c r="AP247" t="inlineStr">
        <is>
          <t>No</t>
        </is>
      </c>
      <c r="AQ247" t="inlineStr">
        <is>
          <t>Yes</t>
        </is>
      </c>
      <c r="AR247">
        <f>HYPERLINK("http://catalog.hathitrust.org/Record/001273211","HathiTrust Record")</f>
        <v/>
      </c>
      <c r="AS247">
        <f>HYPERLINK("https://creighton-primo.hosted.exlibrisgroup.com/primo-explore/search?tab=default_tab&amp;search_scope=EVERYTHING&amp;vid=01CRU&amp;lang=en_US&amp;offset=0&amp;query=any,contains,991003182529702656","Catalog Record")</f>
        <v/>
      </c>
      <c r="AT247">
        <f>HYPERLINK("http://www.worldcat.org/oclc/712049","WorldCat Record")</f>
        <v/>
      </c>
      <c r="AU247" t="inlineStr">
        <is>
          <t>48524862:eng</t>
        </is>
      </c>
      <c r="AV247" t="inlineStr">
        <is>
          <t>712049</t>
        </is>
      </c>
      <c r="AW247" t="inlineStr">
        <is>
          <t>991003182529702656</t>
        </is>
      </c>
      <c r="AX247" t="inlineStr">
        <is>
          <t>991003182529702656</t>
        </is>
      </c>
      <c r="AY247" t="inlineStr">
        <is>
          <t>2256810480002656</t>
        </is>
      </c>
      <c r="AZ247" t="inlineStr">
        <is>
          <t>BOOK</t>
        </is>
      </c>
      <c r="BC247" t="inlineStr">
        <is>
          <t>32285002693645</t>
        </is>
      </c>
      <c r="BD247" t="inlineStr">
        <is>
          <t>893252120</t>
        </is>
      </c>
    </row>
    <row r="248">
      <c r="A248" t="inlineStr">
        <is>
          <t>No</t>
        </is>
      </c>
      <c r="B248" t="inlineStr">
        <is>
          <t>GB671 .L43 1997</t>
        </is>
      </c>
      <c r="C248" t="inlineStr">
        <is>
          <t>0                      GB 0671000L  43          1997</t>
        </is>
      </c>
      <c r="D248" t="inlineStr">
        <is>
          <t>Water, rivers, and creeks / Luna B. Leopold.</t>
        </is>
      </c>
      <c r="F248" t="inlineStr">
        <is>
          <t>No</t>
        </is>
      </c>
      <c r="G248" t="inlineStr">
        <is>
          <t>1</t>
        </is>
      </c>
      <c r="H248" t="inlineStr">
        <is>
          <t>No</t>
        </is>
      </c>
      <c r="I248" t="inlineStr">
        <is>
          <t>No</t>
        </is>
      </c>
      <c r="J248" t="inlineStr">
        <is>
          <t>0</t>
        </is>
      </c>
      <c r="K248" t="inlineStr">
        <is>
          <t>Leopold, Luna B. (Luna Bergere), 1915-2006.</t>
        </is>
      </c>
      <c r="L248" t="inlineStr">
        <is>
          <t>Sausalito, Calif. : University Science Books, c1997.</t>
        </is>
      </c>
      <c r="M248" t="inlineStr">
        <is>
          <t>1997</t>
        </is>
      </c>
      <c r="O248" t="inlineStr">
        <is>
          <t>eng</t>
        </is>
      </c>
      <c r="P248" t="inlineStr">
        <is>
          <t>cau</t>
        </is>
      </c>
      <c r="R248" t="inlineStr">
        <is>
          <t xml:space="preserve">GB </t>
        </is>
      </c>
      <c r="S248" t="n">
        <v>4</v>
      </c>
      <c r="T248" t="n">
        <v>4</v>
      </c>
      <c r="U248" t="inlineStr">
        <is>
          <t>2002-10-21</t>
        </is>
      </c>
      <c r="V248" t="inlineStr">
        <is>
          <t>2002-10-21</t>
        </is>
      </c>
      <c r="W248" t="inlineStr">
        <is>
          <t>1998-07-09</t>
        </is>
      </c>
      <c r="X248" t="inlineStr">
        <is>
          <t>1998-07-09</t>
        </is>
      </c>
      <c r="Y248" t="n">
        <v>698</v>
      </c>
      <c r="Z248" t="n">
        <v>581</v>
      </c>
      <c r="AA248" t="n">
        <v>584</v>
      </c>
      <c r="AB248" t="n">
        <v>5</v>
      </c>
      <c r="AC248" t="n">
        <v>5</v>
      </c>
      <c r="AD248" t="n">
        <v>15</v>
      </c>
      <c r="AE248" t="n">
        <v>15</v>
      </c>
      <c r="AF248" t="n">
        <v>7</v>
      </c>
      <c r="AG248" t="n">
        <v>7</v>
      </c>
      <c r="AH248" t="n">
        <v>0</v>
      </c>
      <c r="AI248" t="n">
        <v>0</v>
      </c>
      <c r="AJ248" t="n">
        <v>5</v>
      </c>
      <c r="AK248" t="n">
        <v>5</v>
      </c>
      <c r="AL248" t="n">
        <v>3</v>
      </c>
      <c r="AM248" t="n">
        <v>3</v>
      </c>
      <c r="AN248" t="n">
        <v>1</v>
      </c>
      <c r="AO248" t="n">
        <v>1</v>
      </c>
      <c r="AP248" t="inlineStr">
        <is>
          <t>No</t>
        </is>
      </c>
      <c r="AQ248" t="inlineStr">
        <is>
          <t>No</t>
        </is>
      </c>
      <c r="AS248">
        <f>HYPERLINK("https://creighton-primo.hosted.exlibrisgroup.com/primo-explore/search?tab=default_tab&amp;search_scope=EVERYTHING&amp;vid=01CRU&amp;lang=en_US&amp;offset=0&amp;query=any,contains,991002780159702656","Catalog Record")</f>
        <v/>
      </c>
      <c r="AT248">
        <f>HYPERLINK("http://www.worldcat.org/oclc/36499026","WorldCat Record")</f>
        <v/>
      </c>
      <c r="AU248" t="inlineStr">
        <is>
          <t>657571:eng</t>
        </is>
      </c>
      <c r="AV248" t="inlineStr">
        <is>
          <t>36499026</t>
        </is>
      </c>
      <c r="AW248" t="inlineStr">
        <is>
          <t>991002780159702656</t>
        </is>
      </c>
      <c r="AX248" t="inlineStr">
        <is>
          <t>991002780159702656</t>
        </is>
      </c>
      <c r="AY248" t="inlineStr">
        <is>
          <t>2266773500002656</t>
        </is>
      </c>
      <c r="AZ248" t="inlineStr">
        <is>
          <t>BOOK</t>
        </is>
      </c>
      <c r="BB248" t="inlineStr">
        <is>
          <t>9780935702989</t>
        </is>
      </c>
      <c r="BC248" t="inlineStr">
        <is>
          <t>32285003430948</t>
        </is>
      </c>
      <c r="BD248" t="inlineStr">
        <is>
          <t>893880402</t>
        </is>
      </c>
    </row>
    <row r="249">
      <c r="A249" t="inlineStr">
        <is>
          <t>No</t>
        </is>
      </c>
      <c r="B249" t="inlineStr">
        <is>
          <t>GB848 .B47 1987</t>
        </is>
      </c>
      <c r="C249" t="inlineStr">
        <is>
          <t>0                      GB 0848000B  47          1987</t>
        </is>
      </c>
      <c r="D249" t="inlineStr">
        <is>
          <t>The global water cycle : geochemistry and environment / Elizabeth Kay Berner, Robert A. Berner.</t>
        </is>
      </c>
      <c r="F249" t="inlineStr">
        <is>
          <t>No</t>
        </is>
      </c>
      <c r="G249" t="inlineStr">
        <is>
          <t>1</t>
        </is>
      </c>
      <c r="H249" t="inlineStr">
        <is>
          <t>No</t>
        </is>
      </c>
      <c r="I249" t="inlineStr">
        <is>
          <t>No</t>
        </is>
      </c>
      <c r="J249" t="inlineStr">
        <is>
          <t>0</t>
        </is>
      </c>
      <c r="K249" t="inlineStr">
        <is>
          <t>Berner, Elizabeth Kay, 1936-</t>
        </is>
      </c>
      <c r="L249" t="inlineStr">
        <is>
          <t>Englewood Cliffs, N.J. : Prentice-Hall, c1987.</t>
        </is>
      </c>
      <c r="M249" t="inlineStr">
        <is>
          <t>1987</t>
        </is>
      </c>
      <c r="O249" t="inlineStr">
        <is>
          <t>eng</t>
        </is>
      </c>
      <c r="P249" t="inlineStr">
        <is>
          <t>nju</t>
        </is>
      </c>
      <c r="R249" t="inlineStr">
        <is>
          <t xml:space="preserve">GB </t>
        </is>
      </c>
      <c r="S249" t="n">
        <v>8</v>
      </c>
      <c r="T249" t="n">
        <v>8</v>
      </c>
      <c r="U249" t="inlineStr">
        <is>
          <t>2001-02-25</t>
        </is>
      </c>
      <c r="V249" t="inlineStr">
        <is>
          <t>2001-02-25</t>
        </is>
      </c>
      <c r="W249" t="inlineStr">
        <is>
          <t>1992-01-10</t>
        </is>
      </c>
      <c r="X249" t="inlineStr">
        <is>
          <t>1992-01-10</t>
        </is>
      </c>
      <c r="Y249" t="n">
        <v>548</v>
      </c>
      <c r="Z249" t="n">
        <v>403</v>
      </c>
      <c r="AA249" t="n">
        <v>404</v>
      </c>
      <c r="AB249" t="n">
        <v>5</v>
      </c>
      <c r="AC249" t="n">
        <v>5</v>
      </c>
      <c r="AD249" t="n">
        <v>12</v>
      </c>
      <c r="AE249" t="n">
        <v>12</v>
      </c>
      <c r="AF249" t="n">
        <v>2</v>
      </c>
      <c r="AG249" t="n">
        <v>2</v>
      </c>
      <c r="AH249" t="n">
        <v>1</v>
      </c>
      <c r="AI249" t="n">
        <v>1</v>
      </c>
      <c r="AJ249" t="n">
        <v>5</v>
      </c>
      <c r="AK249" t="n">
        <v>5</v>
      </c>
      <c r="AL249" t="n">
        <v>4</v>
      </c>
      <c r="AM249" t="n">
        <v>4</v>
      </c>
      <c r="AN249" t="n">
        <v>0</v>
      </c>
      <c r="AO249" t="n">
        <v>0</v>
      </c>
      <c r="AP249" t="inlineStr">
        <is>
          <t>No</t>
        </is>
      </c>
      <c r="AQ249" t="inlineStr">
        <is>
          <t>Yes</t>
        </is>
      </c>
      <c r="AR249">
        <f>HYPERLINK("http://catalog.hathitrust.org/Record/000807896","HathiTrust Record")</f>
        <v/>
      </c>
      <c r="AS249">
        <f>HYPERLINK("https://creighton-primo.hosted.exlibrisgroup.com/primo-explore/search?tab=default_tab&amp;search_scope=EVERYTHING&amp;vid=01CRU&amp;lang=en_US&amp;offset=0&amp;query=any,contains,991000921939702656","Catalog Record")</f>
        <v/>
      </c>
      <c r="AT249">
        <f>HYPERLINK("http://www.worldcat.org/oclc/14213207","WorldCat Record")</f>
        <v/>
      </c>
      <c r="AU249" t="inlineStr">
        <is>
          <t>836671279:eng</t>
        </is>
      </c>
      <c r="AV249" t="inlineStr">
        <is>
          <t>14213207</t>
        </is>
      </c>
      <c r="AW249" t="inlineStr">
        <is>
          <t>991000921939702656</t>
        </is>
      </c>
      <c r="AX249" t="inlineStr">
        <is>
          <t>991000921939702656</t>
        </is>
      </c>
      <c r="AY249" t="inlineStr">
        <is>
          <t>2269438600002656</t>
        </is>
      </c>
      <c r="AZ249" t="inlineStr">
        <is>
          <t>BOOK</t>
        </is>
      </c>
      <c r="BB249" t="inlineStr">
        <is>
          <t>9780133571950</t>
        </is>
      </c>
      <c r="BC249" t="inlineStr">
        <is>
          <t>32285000893270</t>
        </is>
      </c>
      <c r="BD249" t="inlineStr">
        <is>
          <t>893231534</t>
        </is>
      </c>
    </row>
    <row r="250">
      <c r="A250" t="inlineStr">
        <is>
          <t>No</t>
        </is>
      </c>
      <c r="B250" t="inlineStr">
        <is>
          <t>GB848 .W35 1992</t>
        </is>
      </c>
      <c r="C250" t="inlineStr">
        <is>
          <t>0                      GB 0848000W  35          1992</t>
        </is>
      </c>
      <c r="D250" t="inlineStr">
        <is>
          <t>Water up, water down : the hydrologic cycle / by Sally M. Walker.</t>
        </is>
      </c>
      <c r="F250" t="inlineStr">
        <is>
          <t>No</t>
        </is>
      </c>
      <c r="G250" t="inlineStr">
        <is>
          <t>1</t>
        </is>
      </c>
      <c r="H250" t="inlineStr">
        <is>
          <t>No</t>
        </is>
      </c>
      <c r="I250" t="inlineStr">
        <is>
          <t>No</t>
        </is>
      </c>
      <c r="J250" t="inlineStr">
        <is>
          <t>0</t>
        </is>
      </c>
      <c r="K250" t="inlineStr">
        <is>
          <t>Walker, Sally M.</t>
        </is>
      </c>
      <c r="L250" t="inlineStr">
        <is>
          <t>Minneapolis : Carolrhoda Books, c1992.</t>
        </is>
      </c>
      <c r="M250" t="inlineStr">
        <is>
          <t>1992</t>
        </is>
      </c>
      <c r="O250" t="inlineStr">
        <is>
          <t>eng</t>
        </is>
      </c>
      <c r="P250" t="inlineStr">
        <is>
          <t>mnu</t>
        </is>
      </c>
      <c r="R250" t="inlineStr">
        <is>
          <t xml:space="preserve">GB </t>
        </is>
      </c>
      <c r="S250" t="n">
        <v>11</v>
      </c>
      <c r="T250" t="n">
        <v>11</v>
      </c>
      <c r="U250" t="inlineStr">
        <is>
          <t>2009-02-24</t>
        </is>
      </c>
      <c r="V250" t="inlineStr">
        <is>
          <t>2009-02-24</t>
        </is>
      </c>
      <c r="W250" t="inlineStr">
        <is>
          <t>1994-06-01</t>
        </is>
      </c>
      <c r="X250" t="inlineStr">
        <is>
          <t>1994-06-01</t>
        </is>
      </c>
      <c r="Y250" t="n">
        <v>475</v>
      </c>
      <c r="Z250" t="n">
        <v>440</v>
      </c>
      <c r="AA250" t="n">
        <v>445</v>
      </c>
      <c r="AB250" t="n">
        <v>9</v>
      </c>
      <c r="AC250" t="n">
        <v>9</v>
      </c>
      <c r="AD250" t="n">
        <v>1</v>
      </c>
      <c r="AE250" t="n">
        <v>1</v>
      </c>
      <c r="AF250" t="n">
        <v>0</v>
      </c>
      <c r="AG250" t="n">
        <v>0</v>
      </c>
      <c r="AH250" t="n">
        <v>0</v>
      </c>
      <c r="AI250" t="n">
        <v>0</v>
      </c>
      <c r="AJ250" t="n">
        <v>0</v>
      </c>
      <c r="AK250" t="n">
        <v>0</v>
      </c>
      <c r="AL250" t="n">
        <v>1</v>
      </c>
      <c r="AM250" t="n">
        <v>1</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HYPERLINK("https://creighton-primo.hosted.exlibrisgroup.com/primo-explore/search?tab=default_tab&amp;search_scope=EVERYTHING&amp;vid=01CRU&amp;lang=en_US&amp;offset=0&amp;query=any,contains,991004546019702656","Catalog Record")</f>
        <v/>
      </c>
      <c r="AT250">
        <f>HYPERLINK("http://www.worldcat.org/oclc/24318785","WorldCat Record")</f>
        <v/>
      </c>
      <c r="AU250" t="inlineStr">
        <is>
          <t>5164533190:eng</t>
        </is>
      </c>
      <c r="AV250" t="inlineStr">
        <is>
          <t>24318785</t>
        </is>
      </c>
      <c r="AW250" t="inlineStr">
        <is>
          <t>991004546019702656</t>
        </is>
      </c>
      <c r="AX250" t="inlineStr">
        <is>
          <t>991004546019702656</t>
        </is>
      </c>
      <c r="AY250" t="inlineStr">
        <is>
          <t>2272665000002656</t>
        </is>
      </c>
      <c r="AZ250" t="inlineStr">
        <is>
          <t>BOOK</t>
        </is>
      </c>
      <c r="BB250" t="inlineStr">
        <is>
          <t>9780876146958</t>
        </is>
      </c>
      <c r="BC250" t="inlineStr">
        <is>
          <t>32285001920056</t>
        </is>
      </c>
      <c r="BD250" t="inlineStr">
        <is>
          <t>893311456</t>
        </is>
      </c>
    </row>
    <row r="251">
      <c r="A251" t="inlineStr">
        <is>
          <t>No</t>
        </is>
      </c>
      <c r="B251" t="inlineStr">
        <is>
          <t>GB855 .E83 1985</t>
        </is>
      </c>
      <c r="C251" t="inlineStr">
        <is>
          <t>0                      GB 0855000E  83          1985</t>
        </is>
      </c>
      <c r="D251" t="inlineStr">
        <is>
          <t>Principles and applications of hydrochemistry / Erik Eriksson.</t>
        </is>
      </c>
      <c r="F251" t="inlineStr">
        <is>
          <t>No</t>
        </is>
      </c>
      <c r="G251" t="inlineStr">
        <is>
          <t>1</t>
        </is>
      </c>
      <c r="H251" t="inlineStr">
        <is>
          <t>No</t>
        </is>
      </c>
      <c r="I251" t="inlineStr">
        <is>
          <t>No</t>
        </is>
      </c>
      <c r="J251" t="inlineStr">
        <is>
          <t>0</t>
        </is>
      </c>
      <c r="K251" t="inlineStr">
        <is>
          <t>Eriksson, Erik, 1917-</t>
        </is>
      </c>
      <c r="L251" t="inlineStr">
        <is>
          <t>London ; New York : Chapman and Hall, 1985.</t>
        </is>
      </c>
      <c r="M251" t="inlineStr">
        <is>
          <t>1985</t>
        </is>
      </c>
      <c r="O251" t="inlineStr">
        <is>
          <t>eng</t>
        </is>
      </c>
      <c r="P251" t="inlineStr">
        <is>
          <t>enk</t>
        </is>
      </c>
      <c r="R251" t="inlineStr">
        <is>
          <t xml:space="preserve">GB </t>
        </is>
      </c>
      <c r="S251" t="n">
        <v>4</v>
      </c>
      <c r="T251" t="n">
        <v>4</v>
      </c>
      <c r="U251" t="inlineStr">
        <is>
          <t>1995-11-29</t>
        </is>
      </c>
      <c r="V251" t="inlineStr">
        <is>
          <t>1995-11-29</t>
        </is>
      </c>
      <c r="W251" t="inlineStr">
        <is>
          <t>1992-01-10</t>
        </is>
      </c>
      <c r="X251" t="inlineStr">
        <is>
          <t>1992-01-10</t>
        </is>
      </c>
      <c r="Y251" t="n">
        <v>289</v>
      </c>
      <c r="Z251" t="n">
        <v>179</v>
      </c>
      <c r="AA251" t="n">
        <v>191</v>
      </c>
      <c r="AB251" t="n">
        <v>3</v>
      </c>
      <c r="AC251" t="n">
        <v>3</v>
      </c>
      <c r="AD251" t="n">
        <v>4</v>
      </c>
      <c r="AE251" t="n">
        <v>5</v>
      </c>
      <c r="AF251" t="n">
        <v>0</v>
      </c>
      <c r="AG251" t="n">
        <v>1</v>
      </c>
      <c r="AH251" t="n">
        <v>2</v>
      </c>
      <c r="AI251" t="n">
        <v>2</v>
      </c>
      <c r="AJ251" t="n">
        <v>1</v>
      </c>
      <c r="AK251" t="n">
        <v>2</v>
      </c>
      <c r="AL251" t="n">
        <v>2</v>
      </c>
      <c r="AM251" t="n">
        <v>2</v>
      </c>
      <c r="AN251" t="n">
        <v>0</v>
      </c>
      <c r="AO251" t="n">
        <v>0</v>
      </c>
      <c r="AP251" t="inlineStr">
        <is>
          <t>No</t>
        </is>
      </c>
      <c r="AQ251" t="inlineStr">
        <is>
          <t>Yes</t>
        </is>
      </c>
      <c r="AR251">
        <f>HYPERLINK("http://catalog.hathitrust.org/Record/000584218","HathiTrust Record")</f>
        <v/>
      </c>
      <c r="AS251">
        <f>HYPERLINK("https://creighton-primo.hosted.exlibrisgroup.com/primo-explore/search?tab=default_tab&amp;search_scope=EVERYTHING&amp;vid=01CRU&amp;lang=en_US&amp;offset=0&amp;query=any,contains,991000605179702656","Catalog Record")</f>
        <v/>
      </c>
      <c r="AT251">
        <f>HYPERLINK("http://www.worldcat.org/oclc/11865955","WorldCat Record")</f>
        <v/>
      </c>
      <c r="AU251" t="inlineStr">
        <is>
          <t>4418801:eng</t>
        </is>
      </c>
      <c r="AV251" t="inlineStr">
        <is>
          <t>11865955</t>
        </is>
      </c>
      <c r="AW251" t="inlineStr">
        <is>
          <t>991000605179702656</t>
        </is>
      </c>
      <c r="AX251" t="inlineStr">
        <is>
          <t>991000605179702656</t>
        </is>
      </c>
      <c r="AY251" t="inlineStr">
        <is>
          <t>2264456890002656</t>
        </is>
      </c>
      <c r="AZ251" t="inlineStr">
        <is>
          <t>BOOK</t>
        </is>
      </c>
      <c r="BB251" t="inlineStr">
        <is>
          <t>9780412250408</t>
        </is>
      </c>
      <c r="BC251" t="inlineStr">
        <is>
          <t>32285000893304</t>
        </is>
      </c>
      <c r="BD251" t="inlineStr">
        <is>
          <t>893884567</t>
        </is>
      </c>
    </row>
    <row r="252">
      <c r="A252" t="inlineStr">
        <is>
          <t>No</t>
        </is>
      </c>
      <c r="B252" t="inlineStr">
        <is>
          <t>GB855 .P36 1991</t>
        </is>
      </c>
      <c r="C252" t="inlineStr">
        <is>
          <t>0                      GB 0855000P  36          1991</t>
        </is>
      </c>
      <c r="D252" t="inlineStr">
        <is>
          <t>Aquatic chemistry concepts / James F. Pankow.</t>
        </is>
      </c>
      <c r="F252" t="inlineStr">
        <is>
          <t>No</t>
        </is>
      </c>
      <c r="G252" t="inlineStr">
        <is>
          <t>1</t>
        </is>
      </c>
      <c r="H252" t="inlineStr">
        <is>
          <t>No</t>
        </is>
      </c>
      <c r="I252" t="inlineStr">
        <is>
          <t>No</t>
        </is>
      </c>
      <c r="J252" t="inlineStr">
        <is>
          <t>0</t>
        </is>
      </c>
      <c r="K252" t="inlineStr">
        <is>
          <t>Pankow, James F.</t>
        </is>
      </c>
      <c r="L252" t="inlineStr">
        <is>
          <t>Chelsea, Mich. : Lewis Publishers, c1991.</t>
        </is>
      </c>
      <c r="M252" t="inlineStr">
        <is>
          <t>1991</t>
        </is>
      </c>
      <c r="O252" t="inlineStr">
        <is>
          <t>eng</t>
        </is>
      </c>
      <c r="P252" t="inlineStr">
        <is>
          <t>miu</t>
        </is>
      </c>
      <c r="R252" t="inlineStr">
        <is>
          <t xml:space="preserve">GB </t>
        </is>
      </c>
      <c r="S252" t="n">
        <v>3</v>
      </c>
      <c r="T252" t="n">
        <v>3</v>
      </c>
      <c r="U252" t="inlineStr">
        <is>
          <t>2001-02-05</t>
        </is>
      </c>
      <c r="V252" t="inlineStr">
        <is>
          <t>2001-02-05</t>
        </is>
      </c>
      <c r="W252" t="inlineStr">
        <is>
          <t>1991-12-13</t>
        </is>
      </c>
      <c r="X252" t="inlineStr">
        <is>
          <t>1991-12-13</t>
        </is>
      </c>
      <c r="Y252" t="n">
        <v>441</v>
      </c>
      <c r="Z252" t="n">
        <v>337</v>
      </c>
      <c r="AA252" t="n">
        <v>366</v>
      </c>
      <c r="AB252" t="n">
        <v>3</v>
      </c>
      <c r="AC252" t="n">
        <v>3</v>
      </c>
      <c r="AD252" t="n">
        <v>14</v>
      </c>
      <c r="AE252" t="n">
        <v>15</v>
      </c>
      <c r="AF252" t="n">
        <v>7</v>
      </c>
      <c r="AG252" t="n">
        <v>7</v>
      </c>
      <c r="AH252" t="n">
        <v>1</v>
      </c>
      <c r="AI252" t="n">
        <v>2</v>
      </c>
      <c r="AJ252" t="n">
        <v>7</v>
      </c>
      <c r="AK252" t="n">
        <v>7</v>
      </c>
      <c r="AL252" t="n">
        <v>2</v>
      </c>
      <c r="AM252" t="n">
        <v>2</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HYPERLINK("https://creighton-primo.hosted.exlibrisgroup.com/primo-explore/search?tab=default_tab&amp;search_scope=EVERYTHING&amp;vid=01CRU&amp;lang=en_US&amp;offset=0&amp;query=any,contains,991001881169702656","Catalog Record")</f>
        <v/>
      </c>
      <c r="AT252">
        <f>HYPERLINK("http://www.worldcat.org/oclc/23731955","WorldCat Record")</f>
        <v/>
      </c>
      <c r="AU252" t="inlineStr">
        <is>
          <t>25328587:eng</t>
        </is>
      </c>
      <c r="AV252" t="inlineStr">
        <is>
          <t>23731955</t>
        </is>
      </c>
      <c r="AW252" t="inlineStr">
        <is>
          <t>991001881169702656</t>
        </is>
      </c>
      <c r="AX252" t="inlineStr">
        <is>
          <t>991001881169702656</t>
        </is>
      </c>
      <c r="AY252" t="inlineStr">
        <is>
          <t>2265505520002656</t>
        </is>
      </c>
      <c r="AZ252" t="inlineStr">
        <is>
          <t>BOOK</t>
        </is>
      </c>
      <c r="BB252" t="inlineStr">
        <is>
          <t>9780873711500</t>
        </is>
      </c>
      <c r="BC252" t="inlineStr">
        <is>
          <t>32285000819416</t>
        </is>
      </c>
      <c r="BD252" t="inlineStr">
        <is>
          <t>893885616</t>
        </is>
      </c>
    </row>
    <row r="253">
      <c r="A253" t="inlineStr">
        <is>
          <t>No</t>
        </is>
      </c>
      <c r="B253" t="inlineStr">
        <is>
          <t>GB980 .B57 1996</t>
        </is>
      </c>
      <c r="C253" t="inlineStr">
        <is>
          <t>0                      GB 0980000B  57          1996</t>
        </is>
      </c>
      <c r="D253" t="inlineStr">
        <is>
          <t>Watershed hydrology / Peter E. Black.</t>
        </is>
      </c>
      <c r="F253" t="inlineStr">
        <is>
          <t>No</t>
        </is>
      </c>
      <c r="G253" t="inlineStr">
        <is>
          <t>1</t>
        </is>
      </c>
      <c r="H253" t="inlineStr">
        <is>
          <t>No</t>
        </is>
      </c>
      <c r="I253" t="inlineStr">
        <is>
          <t>No</t>
        </is>
      </c>
      <c r="J253" t="inlineStr">
        <is>
          <t>0</t>
        </is>
      </c>
      <c r="K253" t="inlineStr">
        <is>
          <t>Black, Peter E.</t>
        </is>
      </c>
      <c r="L253" t="inlineStr">
        <is>
          <t>Chelsea, Mich. : Ann Arbor Press, c1996.</t>
        </is>
      </c>
      <c r="M253" t="inlineStr">
        <is>
          <t>1996</t>
        </is>
      </c>
      <c r="N253" t="inlineStr">
        <is>
          <t>2nd ed.</t>
        </is>
      </c>
      <c r="O253" t="inlineStr">
        <is>
          <t>eng</t>
        </is>
      </c>
      <c r="P253" t="inlineStr">
        <is>
          <t>miu</t>
        </is>
      </c>
      <c r="R253" t="inlineStr">
        <is>
          <t xml:space="preserve">GB </t>
        </is>
      </c>
      <c r="S253" t="n">
        <v>0</v>
      </c>
      <c r="T253" t="n">
        <v>0</v>
      </c>
      <c r="U253" t="inlineStr">
        <is>
          <t>2005-12-14</t>
        </is>
      </c>
      <c r="V253" t="inlineStr">
        <is>
          <t>2005-12-14</t>
        </is>
      </c>
      <c r="W253" t="inlineStr">
        <is>
          <t>1998-05-18</t>
        </is>
      </c>
      <c r="X253" t="inlineStr">
        <is>
          <t>1998-05-18</t>
        </is>
      </c>
      <c r="Y253" t="n">
        <v>295</v>
      </c>
      <c r="Z253" t="n">
        <v>233</v>
      </c>
      <c r="AA253" t="n">
        <v>373</v>
      </c>
      <c r="AB253" t="n">
        <v>2</v>
      </c>
      <c r="AC253" t="n">
        <v>3</v>
      </c>
      <c r="AD253" t="n">
        <v>8</v>
      </c>
      <c r="AE253" t="n">
        <v>14</v>
      </c>
      <c r="AF253" t="n">
        <v>4</v>
      </c>
      <c r="AG253" t="n">
        <v>7</v>
      </c>
      <c r="AH253" t="n">
        <v>2</v>
      </c>
      <c r="AI253" t="n">
        <v>2</v>
      </c>
      <c r="AJ253" t="n">
        <v>2</v>
      </c>
      <c r="AK253" t="n">
        <v>5</v>
      </c>
      <c r="AL253" t="n">
        <v>1</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HYPERLINK("https://creighton-primo.hosted.exlibrisgroup.com/primo-explore/search?tab=default_tab&amp;search_scope=EVERYTHING&amp;vid=01CRU&amp;lang=en_US&amp;offset=0&amp;query=any,contains,991002564679702656","Catalog Record")</f>
        <v/>
      </c>
      <c r="AT253">
        <f>HYPERLINK("http://www.worldcat.org/oclc/33335099","WorldCat Record")</f>
        <v/>
      </c>
      <c r="AU253" t="inlineStr">
        <is>
          <t>23290952:eng</t>
        </is>
      </c>
      <c r="AV253" t="inlineStr">
        <is>
          <t>33335099</t>
        </is>
      </c>
      <c r="AW253" t="inlineStr">
        <is>
          <t>991002564679702656</t>
        </is>
      </c>
      <c r="AX253" t="inlineStr">
        <is>
          <t>991002564679702656</t>
        </is>
      </c>
      <c r="AY253" t="inlineStr">
        <is>
          <t>2258593730002656</t>
        </is>
      </c>
      <c r="AZ253" t="inlineStr">
        <is>
          <t>BOOK</t>
        </is>
      </c>
      <c r="BB253" t="inlineStr">
        <is>
          <t>9781575040271</t>
        </is>
      </c>
      <c r="BC253" t="inlineStr">
        <is>
          <t>32285003409504</t>
        </is>
      </c>
      <c r="BD253" t="inlineStr">
        <is>
          <t>893239219</t>
        </is>
      </c>
    </row>
    <row r="254">
      <c r="A254" t="inlineStr">
        <is>
          <t>No</t>
        </is>
      </c>
      <c r="B254" t="inlineStr">
        <is>
          <t>GC10.4.A8 O33 1989</t>
        </is>
      </c>
      <c r="C254" t="inlineStr">
        <is>
          <t>0                      GC 0010400A  8                  O  33          1989</t>
        </is>
      </c>
      <c r="D254" t="inlineStr">
        <is>
          <t>Oceanography from the space shuttle / [executive editor, David C. Honhart].</t>
        </is>
      </c>
      <c r="F254" t="inlineStr">
        <is>
          <t>No</t>
        </is>
      </c>
      <c r="G254" t="inlineStr">
        <is>
          <t>1</t>
        </is>
      </c>
      <c r="H254" t="inlineStr">
        <is>
          <t>No</t>
        </is>
      </c>
      <c r="I254" t="inlineStr">
        <is>
          <t>No</t>
        </is>
      </c>
      <c r="J254" t="inlineStr">
        <is>
          <t>0</t>
        </is>
      </c>
      <c r="L254" t="inlineStr">
        <is>
          <t>[Washington?] : University Corporation for Atmospheric Research and the Office of Naval Research, United States Navy, 1989.</t>
        </is>
      </c>
      <c r="M254" t="inlineStr">
        <is>
          <t>1989</t>
        </is>
      </c>
      <c r="O254" t="inlineStr">
        <is>
          <t>eng</t>
        </is>
      </c>
      <c r="P254" t="inlineStr">
        <is>
          <t>dcu</t>
        </is>
      </c>
      <c r="R254" t="inlineStr">
        <is>
          <t xml:space="preserve">GC </t>
        </is>
      </c>
      <c r="S254" t="n">
        <v>3</v>
      </c>
      <c r="T254" t="n">
        <v>3</v>
      </c>
      <c r="U254" t="inlineStr">
        <is>
          <t>1993-02-14</t>
        </is>
      </c>
      <c r="V254" t="inlineStr">
        <is>
          <t>1993-02-14</t>
        </is>
      </c>
      <c r="W254" t="inlineStr">
        <is>
          <t>1989-12-29</t>
        </is>
      </c>
      <c r="X254" t="inlineStr">
        <is>
          <t>1989-12-29</t>
        </is>
      </c>
      <c r="Y254" t="n">
        <v>87</v>
      </c>
      <c r="Z254" t="n">
        <v>80</v>
      </c>
      <c r="AA254" t="n">
        <v>87</v>
      </c>
      <c r="AB254" t="n">
        <v>2</v>
      </c>
      <c r="AC254" t="n">
        <v>2</v>
      </c>
      <c r="AD254" t="n">
        <v>1</v>
      </c>
      <c r="AE254" t="n">
        <v>1</v>
      </c>
      <c r="AF254" t="n">
        <v>0</v>
      </c>
      <c r="AG254" t="n">
        <v>0</v>
      </c>
      <c r="AH254" t="n">
        <v>0</v>
      </c>
      <c r="AI254" t="n">
        <v>0</v>
      </c>
      <c r="AJ254" t="n">
        <v>0</v>
      </c>
      <c r="AK254" t="n">
        <v>0</v>
      </c>
      <c r="AL254" t="n">
        <v>1</v>
      </c>
      <c r="AM254" t="n">
        <v>1</v>
      </c>
      <c r="AN254" t="n">
        <v>0</v>
      </c>
      <c r="AO254" t="n">
        <v>0</v>
      </c>
      <c r="AP254" t="inlineStr">
        <is>
          <t>Yes</t>
        </is>
      </c>
      <c r="AQ254" t="inlineStr">
        <is>
          <t>No</t>
        </is>
      </c>
      <c r="AR254">
        <f>HYPERLINK("http://catalog.hathitrust.org/Record/001833753","HathiTrust Record")</f>
        <v/>
      </c>
      <c r="AS254">
        <f>HYPERLINK("https://creighton-primo.hosted.exlibrisgroup.com/primo-explore/search?tab=default_tab&amp;search_scope=EVERYTHING&amp;vid=01CRU&amp;lang=en_US&amp;offset=0&amp;query=any,contains,991001603549702656","Catalog Record")</f>
        <v/>
      </c>
      <c r="AT254">
        <f>HYPERLINK("http://www.worldcat.org/oclc/20678174","WorldCat Record")</f>
        <v/>
      </c>
      <c r="AU254" t="inlineStr">
        <is>
          <t>637067793:eng</t>
        </is>
      </c>
      <c r="AV254" t="inlineStr">
        <is>
          <t>20678174</t>
        </is>
      </c>
      <c r="AW254" t="inlineStr">
        <is>
          <t>991001603549702656</t>
        </is>
      </c>
      <c r="AX254" t="inlineStr">
        <is>
          <t>991001603549702656</t>
        </is>
      </c>
      <c r="AY254" t="inlineStr">
        <is>
          <t>2262969230002656</t>
        </is>
      </c>
      <c r="AZ254" t="inlineStr">
        <is>
          <t>BOOK</t>
        </is>
      </c>
      <c r="BC254" t="inlineStr">
        <is>
          <t>32285005139695</t>
        </is>
      </c>
      <c r="BD254" t="inlineStr">
        <is>
          <t>893315883</t>
        </is>
      </c>
    </row>
    <row r="255">
      <c r="A255" t="inlineStr">
        <is>
          <t>No</t>
        </is>
      </c>
      <c r="B255" t="inlineStr">
        <is>
          <t>GC10.4.R4 H97 2000</t>
        </is>
      </c>
      <c r="C255" t="inlineStr">
        <is>
          <t>0                      GC 0010400R  4                  H  97          2000</t>
        </is>
      </c>
      <c r="D255" t="inlineStr">
        <is>
          <t>Hyperspectral remote sensing of the ocean : 9-11 October, 2000, Sendai, Japan / Robert J. Frouin, Hiroshi Kawamura, Motoaki Kishino, chairs/editors ; sponsored and published by SPIE--the International Society for Optical Engineering ; cosponsored by National Space Development Agency of Japan ... [et al.].</t>
        </is>
      </c>
      <c r="F255" t="inlineStr">
        <is>
          <t>No</t>
        </is>
      </c>
      <c r="G255" t="inlineStr">
        <is>
          <t>1</t>
        </is>
      </c>
      <c r="H255" t="inlineStr">
        <is>
          <t>No</t>
        </is>
      </c>
      <c r="I255" t="inlineStr">
        <is>
          <t>No</t>
        </is>
      </c>
      <c r="J255" t="inlineStr">
        <is>
          <t>0</t>
        </is>
      </c>
      <c r="L255" t="inlineStr">
        <is>
          <t>Bellingham, Wash. : SPIE, c2000.</t>
        </is>
      </c>
      <c r="M255" t="inlineStr">
        <is>
          <t>2000</t>
        </is>
      </c>
      <c r="O255" t="inlineStr">
        <is>
          <t>eng</t>
        </is>
      </c>
      <c r="P255" t="inlineStr">
        <is>
          <t>wau</t>
        </is>
      </c>
      <c r="Q255" t="inlineStr">
        <is>
          <t>SPIE proceedings series, 0277-786X ; v. 4154</t>
        </is>
      </c>
      <c r="R255" t="inlineStr">
        <is>
          <t xml:space="preserve">GC </t>
        </is>
      </c>
      <c r="S255" t="n">
        <v>4</v>
      </c>
      <c r="T255" t="n">
        <v>4</v>
      </c>
      <c r="U255" t="inlineStr">
        <is>
          <t>2004-05-03</t>
        </is>
      </c>
      <c r="V255" t="inlineStr">
        <is>
          <t>2004-05-03</t>
        </is>
      </c>
      <c r="W255" t="inlineStr">
        <is>
          <t>2004-05-03</t>
        </is>
      </c>
      <c r="X255" t="inlineStr">
        <is>
          <t>2004-05-03</t>
        </is>
      </c>
      <c r="Y255" t="n">
        <v>69</v>
      </c>
      <c r="Z255" t="n">
        <v>49</v>
      </c>
      <c r="AA255" t="n">
        <v>96</v>
      </c>
      <c r="AB255" t="n">
        <v>1</v>
      </c>
      <c r="AC255" t="n">
        <v>1</v>
      </c>
      <c r="AD255" t="n">
        <v>0</v>
      </c>
      <c r="AE255" t="n">
        <v>0</v>
      </c>
      <c r="AF255" t="n">
        <v>0</v>
      </c>
      <c r="AG255" t="n">
        <v>0</v>
      </c>
      <c r="AH255" t="n">
        <v>0</v>
      </c>
      <c r="AI255" t="n">
        <v>0</v>
      </c>
      <c r="AJ255" t="n">
        <v>0</v>
      </c>
      <c r="AK255" t="n">
        <v>0</v>
      </c>
      <c r="AL255" t="n">
        <v>0</v>
      </c>
      <c r="AM255" t="n">
        <v>0</v>
      </c>
      <c r="AN255" t="n">
        <v>0</v>
      </c>
      <c r="AO255" t="n">
        <v>0</v>
      </c>
      <c r="AP255" t="inlineStr">
        <is>
          <t>No</t>
        </is>
      </c>
      <c r="AQ255" t="inlineStr">
        <is>
          <t>Yes</t>
        </is>
      </c>
      <c r="AR255">
        <f>HYPERLINK("http://catalog.hathitrust.org/Record/003538706","HathiTrust Record")</f>
        <v/>
      </c>
      <c r="AS255">
        <f>HYPERLINK("https://creighton-primo.hosted.exlibrisgroup.com/primo-explore/search?tab=default_tab&amp;search_scope=EVERYTHING&amp;vid=01CRU&amp;lang=en_US&amp;offset=0&amp;query=any,contains,991004257149702656","Catalog Record")</f>
        <v/>
      </c>
      <c r="AT255">
        <f>HYPERLINK("http://www.worldcat.org/oclc/46519969","WorldCat Record")</f>
        <v/>
      </c>
      <c r="AU255" t="inlineStr">
        <is>
          <t>366834104:eng</t>
        </is>
      </c>
      <c r="AV255" t="inlineStr">
        <is>
          <t>46519969</t>
        </is>
      </c>
      <c r="AW255" t="inlineStr">
        <is>
          <t>991004257149702656</t>
        </is>
      </c>
      <c r="AX255" t="inlineStr">
        <is>
          <t>991004257149702656</t>
        </is>
      </c>
      <c r="AY255" t="inlineStr">
        <is>
          <t>2265731070002656</t>
        </is>
      </c>
      <c r="AZ255" t="inlineStr">
        <is>
          <t>BOOK</t>
        </is>
      </c>
      <c r="BB255" t="inlineStr">
        <is>
          <t>9780819438072</t>
        </is>
      </c>
      <c r="BC255" t="inlineStr">
        <is>
          <t>32285004903083</t>
        </is>
      </c>
      <c r="BD255" t="inlineStr">
        <is>
          <t>893794660</t>
        </is>
      </c>
    </row>
    <row r="256">
      <c r="A256" t="inlineStr">
        <is>
          <t>No</t>
        </is>
      </c>
      <c r="B256" t="inlineStr">
        <is>
          <t>GC10.4.R4 M375 2004</t>
        </is>
      </c>
      <c r="C256" t="inlineStr">
        <is>
          <t>0                      GC 0010400R  4                  M  375         2004</t>
        </is>
      </c>
      <c r="D256" t="inlineStr">
        <is>
          <t>An introduction to ocean remote sensing / Seelye Martin.</t>
        </is>
      </c>
      <c r="F256" t="inlineStr">
        <is>
          <t>No</t>
        </is>
      </c>
      <c r="G256" t="inlineStr">
        <is>
          <t>1</t>
        </is>
      </c>
      <c r="H256" t="inlineStr">
        <is>
          <t>No</t>
        </is>
      </c>
      <c r="I256" t="inlineStr">
        <is>
          <t>No</t>
        </is>
      </c>
      <c r="J256" t="inlineStr">
        <is>
          <t>0</t>
        </is>
      </c>
      <c r="K256" t="inlineStr">
        <is>
          <t>Martin, Seelye, 1940-</t>
        </is>
      </c>
      <c r="L256" t="inlineStr">
        <is>
          <t>Cambridge, UK ; New York : Cambridge, 2004.</t>
        </is>
      </c>
      <c r="M256" t="inlineStr">
        <is>
          <t>2004</t>
        </is>
      </c>
      <c r="O256" t="inlineStr">
        <is>
          <t>eng</t>
        </is>
      </c>
      <c r="P256" t="inlineStr">
        <is>
          <t>enk</t>
        </is>
      </c>
      <c r="R256" t="inlineStr">
        <is>
          <t xml:space="preserve">GC </t>
        </is>
      </c>
      <c r="S256" t="n">
        <v>1</v>
      </c>
      <c r="T256" t="n">
        <v>1</v>
      </c>
      <c r="U256" t="inlineStr">
        <is>
          <t>2004-11-15</t>
        </is>
      </c>
      <c r="V256" t="inlineStr">
        <is>
          <t>2004-11-15</t>
        </is>
      </c>
      <c r="W256" t="inlineStr">
        <is>
          <t>2004-11-15</t>
        </is>
      </c>
      <c r="X256" t="inlineStr">
        <is>
          <t>2004-11-15</t>
        </is>
      </c>
      <c r="Y256" t="n">
        <v>285</v>
      </c>
      <c r="Z256" t="n">
        <v>213</v>
      </c>
      <c r="AA256" t="n">
        <v>268</v>
      </c>
      <c r="AB256" t="n">
        <v>2</v>
      </c>
      <c r="AC256" t="n">
        <v>2</v>
      </c>
      <c r="AD256" t="n">
        <v>5</v>
      </c>
      <c r="AE256" t="n">
        <v>5</v>
      </c>
      <c r="AF256" t="n">
        <v>2</v>
      </c>
      <c r="AG256" t="n">
        <v>2</v>
      </c>
      <c r="AH256" t="n">
        <v>1</v>
      </c>
      <c r="AI256" t="n">
        <v>1</v>
      </c>
      <c r="AJ256" t="n">
        <v>1</v>
      </c>
      <c r="AK256" t="n">
        <v>1</v>
      </c>
      <c r="AL256" t="n">
        <v>1</v>
      </c>
      <c r="AM256" t="n">
        <v>1</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HYPERLINK("https://creighton-primo.hosted.exlibrisgroup.com/primo-explore/search?tab=default_tab&amp;search_scope=EVERYTHING&amp;vid=01CRU&amp;lang=en_US&amp;offset=0&amp;query=any,contains,991004397939702656","Catalog Record")</f>
        <v/>
      </c>
      <c r="AT256">
        <f>HYPERLINK("http://www.worldcat.org/oclc/52980567","WorldCat Record")</f>
        <v/>
      </c>
      <c r="AU256" t="inlineStr">
        <is>
          <t>709954:eng</t>
        </is>
      </c>
      <c r="AV256" t="inlineStr">
        <is>
          <t>52980567</t>
        </is>
      </c>
      <c r="AW256" t="inlineStr">
        <is>
          <t>991004397939702656</t>
        </is>
      </c>
      <c r="AX256" t="inlineStr">
        <is>
          <t>991004397939702656</t>
        </is>
      </c>
      <c r="AY256" t="inlineStr">
        <is>
          <t>2268646960002656</t>
        </is>
      </c>
      <c r="AZ256" t="inlineStr">
        <is>
          <t>BOOK</t>
        </is>
      </c>
      <c r="BB256" t="inlineStr">
        <is>
          <t>9780521802802</t>
        </is>
      </c>
      <c r="BC256" t="inlineStr">
        <is>
          <t>32285005009930</t>
        </is>
      </c>
      <c r="BD256" t="inlineStr">
        <is>
          <t>893353381</t>
        </is>
      </c>
    </row>
    <row r="257">
      <c r="A257" t="inlineStr">
        <is>
          <t>No</t>
        </is>
      </c>
      <c r="B257" t="inlineStr">
        <is>
          <t>GC10.4.R4 O3 1995</t>
        </is>
      </c>
      <c r="C257" t="inlineStr">
        <is>
          <t>0                      GC 0010400R  4                  O  3           1995</t>
        </is>
      </c>
      <c r="D257" t="inlineStr">
        <is>
          <t>Oceanographic applications of remote sensing / edited by Motoyoshi Ikeda, Frederic W. Dobson.</t>
        </is>
      </c>
      <c r="F257" t="inlineStr">
        <is>
          <t>No</t>
        </is>
      </c>
      <c r="G257" t="inlineStr">
        <is>
          <t>1</t>
        </is>
      </c>
      <c r="H257" t="inlineStr">
        <is>
          <t>No</t>
        </is>
      </c>
      <c r="I257" t="inlineStr">
        <is>
          <t>No</t>
        </is>
      </c>
      <c r="J257" t="inlineStr">
        <is>
          <t>0</t>
        </is>
      </c>
      <c r="L257" t="inlineStr">
        <is>
          <t>Boca Raton, Fla. : CRC Press, c1995.</t>
        </is>
      </c>
      <c r="M257" t="inlineStr">
        <is>
          <t>1995</t>
        </is>
      </c>
      <c r="O257" t="inlineStr">
        <is>
          <t>eng</t>
        </is>
      </c>
      <c r="P257" t="inlineStr">
        <is>
          <t>flu</t>
        </is>
      </c>
      <c r="R257" t="inlineStr">
        <is>
          <t xml:space="preserve">GC </t>
        </is>
      </c>
      <c r="S257" t="n">
        <v>1</v>
      </c>
      <c r="T257" t="n">
        <v>1</v>
      </c>
      <c r="U257" t="inlineStr">
        <is>
          <t>2009-11-13</t>
        </is>
      </c>
      <c r="V257" t="inlineStr">
        <is>
          <t>2009-11-13</t>
        </is>
      </c>
      <c r="W257" t="inlineStr">
        <is>
          <t>2000-01-04</t>
        </is>
      </c>
      <c r="X257" t="inlineStr">
        <is>
          <t>2000-01-04</t>
        </is>
      </c>
      <c r="Y257" t="n">
        <v>260</v>
      </c>
      <c r="Z257" t="n">
        <v>182</v>
      </c>
      <c r="AA257" t="n">
        <v>182</v>
      </c>
      <c r="AB257" t="n">
        <v>3</v>
      </c>
      <c r="AC257" t="n">
        <v>3</v>
      </c>
      <c r="AD257" t="n">
        <v>4</v>
      </c>
      <c r="AE257" t="n">
        <v>4</v>
      </c>
      <c r="AF257" t="n">
        <v>1</v>
      </c>
      <c r="AG257" t="n">
        <v>1</v>
      </c>
      <c r="AH257" t="n">
        <v>1</v>
      </c>
      <c r="AI257" t="n">
        <v>1</v>
      </c>
      <c r="AJ257" t="n">
        <v>0</v>
      </c>
      <c r="AK257" t="n">
        <v>0</v>
      </c>
      <c r="AL257" t="n">
        <v>2</v>
      </c>
      <c r="AM257" t="n">
        <v>2</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HYPERLINK("https://creighton-primo.hosted.exlibrisgroup.com/primo-explore/search?tab=default_tab&amp;search_scope=EVERYTHING&amp;vid=01CRU&amp;lang=en_US&amp;offset=0&amp;query=any,contains,991002547909702656","Catalog Record")</f>
        <v/>
      </c>
      <c r="AT257">
        <f>HYPERLINK("http://www.worldcat.org/oclc/33102423","WorldCat Record")</f>
        <v/>
      </c>
      <c r="AU257" t="inlineStr">
        <is>
          <t>350427274:eng</t>
        </is>
      </c>
      <c r="AV257" t="inlineStr">
        <is>
          <t>33102423</t>
        </is>
      </c>
      <c r="AW257" t="inlineStr">
        <is>
          <t>991002547909702656</t>
        </is>
      </c>
      <c r="AX257" t="inlineStr">
        <is>
          <t>991002547909702656</t>
        </is>
      </c>
      <c r="AY257" t="inlineStr">
        <is>
          <t>2272148080002656</t>
        </is>
      </c>
      <c r="AZ257" t="inlineStr">
        <is>
          <t>BOOK</t>
        </is>
      </c>
      <c r="BB257" t="inlineStr">
        <is>
          <t>9780849345258</t>
        </is>
      </c>
      <c r="BC257" t="inlineStr">
        <is>
          <t>32285003636239</t>
        </is>
      </c>
      <c r="BD257" t="inlineStr">
        <is>
          <t>893517413</t>
        </is>
      </c>
    </row>
    <row r="258">
      <c r="A258" t="inlineStr">
        <is>
          <t>No</t>
        </is>
      </c>
      <c r="B258" t="inlineStr">
        <is>
          <t>GC100 .D33 1975</t>
        </is>
      </c>
      <c r="C258" t="inlineStr">
        <is>
          <t>0                      GC 0100000D  33          1975</t>
        </is>
      </c>
      <c r="D258" t="inlineStr">
        <is>
          <t>The nature of seawater : report of the Dahlem Workshop on the Nature of Seawater, Berlin 1975, March 10 to 15 / editor, Edward D. Goldberg ; rapporteurs, J. M. Edmond ... [et al.] ; program advisory committee, E. Bayer ... [et al.].</t>
        </is>
      </c>
      <c r="F258" t="inlineStr">
        <is>
          <t>No</t>
        </is>
      </c>
      <c r="G258" t="inlineStr">
        <is>
          <t>1</t>
        </is>
      </c>
      <c r="H258" t="inlineStr">
        <is>
          <t>No</t>
        </is>
      </c>
      <c r="I258" t="inlineStr">
        <is>
          <t>No</t>
        </is>
      </c>
      <c r="J258" t="inlineStr">
        <is>
          <t>0</t>
        </is>
      </c>
      <c r="K258" t="inlineStr">
        <is>
          <t>Dahlem Workshop on the Nature of Seawater (1975 : Berlin, Germany)</t>
        </is>
      </c>
      <c r="L258" t="inlineStr">
        <is>
          <t>Berlin : Dahlem Konferenzen, 1975.</t>
        </is>
      </c>
      <c r="M258" t="inlineStr">
        <is>
          <t>1975</t>
        </is>
      </c>
      <c r="O258" t="inlineStr">
        <is>
          <t>eng</t>
        </is>
      </c>
      <c r="P258" t="inlineStr">
        <is>
          <t xml:space="preserve">gw </t>
        </is>
      </c>
      <c r="Q258" t="inlineStr">
        <is>
          <t>Physical and chemical sciences research report ; 1</t>
        </is>
      </c>
      <c r="R258" t="inlineStr">
        <is>
          <t xml:space="preserve">GC </t>
        </is>
      </c>
      <c r="S258" t="n">
        <v>5</v>
      </c>
      <c r="T258" t="n">
        <v>5</v>
      </c>
      <c r="U258" t="inlineStr">
        <is>
          <t>1998-12-07</t>
        </is>
      </c>
      <c r="V258" t="inlineStr">
        <is>
          <t>1998-12-07</t>
        </is>
      </c>
      <c r="W258" t="inlineStr">
        <is>
          <t>1990-09-13</t>
        </is>
      </c>
      <c r="X258" t="inlineStr">
        <is>
          <t>1990-09-13</t>
        </is>
      </c>
      <c r="Y258" t="n">
        <v>229</v>
      </c>
      <c r="Z258" t="n">
        <v>146</v>
      </c>
      <c r="AA258" t="n">
        <v>148</v>
      </c>
      <c r="AB258" t="n">
        <v>1</v>
      </c>
      <c r="AC258" t="n">
        <v>1</v>
      </c>
      <c r="AD258" t="n">
        <v>1</v>
      </c>
      <c r="AE258" t="n">
        <v>1</v>
      </c>
      <c r="AF258" t="n">
        <v>0</v>
      </c>
      <c r="AG258" t="n">
        <v>0</v>
      </c>
      <c r="AH258" t="n">
        <v>1</v>
      </c>
      <c r="AI258" t="n">
        <v>1</v>
      </c>
      <c r="AJ258" t="n">
        <v>0</v>
      </c>
      <c r="AK258" t="n">
        <v>0</v>
      </c>
      <c r="AL258" t="n">
        <v>0</v>
      </c>
      <c r="AM258" t="n">
        <v>0</v>
      </c>
      <c r="AN258" t="n">
        <v>0</v>
      </c>
      <c r="AO258" t="n">
        <v>0</v>
      </c>
      <c r="AP258" t="inlineStr">
        <is>
          <t>No</t>
        </is>
      </c>
      <c r="AQ258" t="inlineStr">
        <is>
          <t>Yes</t>
        </is>
      </c>
      <c r="AR258">
        <f>HYPERLINK("http://catalog.hathitrust.org/Record/000709755","HathiTrust Record")</f>
        <v/>
      </c>
      <c r="AS258">
        <f>HYPERLINK("https://creighton-primo.hosted.exlibrisgroup.com/primo-explore/search?tab=default_tab&amp;search_scope=EVERYTHING&amp;vid=01CRU&amp;lang=en_US&amp;offset=0&amp;query=any,contains,991003981309702656","Catalog Record")</f>
        <v/>
      </c>
      <c r="AT258">
        <f>HYPERLINK("http://www.worldcat.org/oclc/2020198","WorldCat Record")</f>
        <v/>
      </c>
      <c r="AU258" t="inlineStr">
        <is>
          <t>478607834:eng</t>
        </is>
      </c>
      <c r="AV258" t="inlineStr">
        <is>
          <t>2020198</t>
        </is>
      </c>
      <c r="AW258" t="inlineStr">
        <is>
          <t>991003981309702656</t>
        </is>
      </c>
      <c r="AX258" t="inlineStr">
        <is>
          <t>991003981309702656</t>
        </is>
      </c>
      <c r="AY258" t="inlineStr">
        <is>
          <t>2271482190002656</t>
        </is>
      </c>
      <c r="AZ258" t="inlineStr">
        <is>
          <t>BOOK</t>
        </is>
      </c>
      <c r="BB258" t="inlineStr">
        <is>
          <t>9783820012019</t>
        </is>
      </c>
      <c r="BC258" t="inlineStr">
        <is>
          <t>32285000286624</t>
        </is>
      </c>
      <c r="BD258" t="inlineStr">
        <is>
          <t>893417072</t>
        </is>
      </c>
    </row>
    <row r="259">
      <c r="A259" t="inlineStr">
        <is>
          <t>No</t>
        </is>
      </c>
      <c r="B259" t="inlineStr">
        <is>
          <t>GC1005 .R43</t>
        </is>
      </c>
      <c r="C259" t="inlineStr">
        <is>
          <t>0                      GC 1005000R  43</t>
        </is>
      </c>
      <c r="D259" t="inlineStr">
        <is>
          <t>Regimes for the ocean, outer space, and weather / Seyom Brown ... [et al.].</t>
        </is>
      </c>
      <c r="F259" t="inlineStr">
        <is>
          <t>No</t>
        </is>
      </c>
      <c r="G259" t="inlineStr">
        <is>
          <t>1</t>
        </is>
      </c>
      <c r="H259" t="inlineStr">
        <is>
          <t>No</t>
        </is>
      </c>
      <c r="I259" t="inlineStr">
        <is>
          <t>No</t>
        </is>
      </c>
      <c r="J259" t="inlineStr">
        <is>
          <t>0</t>
        </is>
      </c>
      <c r="L259" t="inlineStr">
        <is>
          <t>Washington : Brookings Institution, c1977.</t>
        </is>
      </c>
      <c r="M259" t="inlineStr">
        <is>
          <t>1977</t>
        </is>
      </c>
      <c r="O259" t="inlineStr">
        <is>
          <t>eng</t>
        </is>
      </c>
      <c r="P259" t="inlineStr">
        <is>
          <t>dcu</t>
        </is>
      </c>
      <c r="R259" t="inlineStr">
        <is>
          <t xml:space="preserve">GC </t>
        </is>
      </c>
      <c r="S259" t="n">
        <v>5</v>
      </c>
      <c r="T259" t="n">
        <v>5</v>
      </c>
      <c r="U259" t="inlineStr">
        <is>
          <t>1998-03-23</t>
        </is>
      </c>
      <c r="V259" t="inlineStr">
        <is>
          <t>1998-03-23</t>
        </is>
      </c>
      <c r="W259" t="inlineStr">
        <is>
          <t>1993-07-13</t>
        </is>
      </c>
      <c r="X259" t="inlineStr">
        <is>
          <t>1993-07-13</t>
        </is>
      </c>
      <c r="Y259" t="n">
        <v>769</v>
      </c>
      <c r="Z259" t="n">
        <v>664</v>
      </c>
      <c r="AA259" t="n">
        <v>670</v>
      </c>
      <c r="AB259" t="n">
        <v>3</v>
      </c>
      <c r="AC259" t="n">
        <v>3</v>
      </c>
      <c r="AD259" t="n">
        <v>33</v>
      </c>
      <c r="AE259" t="n">
        <v>33</v>
      </c>
      <c r="AF259" t="n">
        <v>7</v>
      </c>
      <c r="AG259" t="n">
        <v>7</v>
      </c>
      <c r="AH259" t="n">
        <v>7</v>
      </c>
      <c r="AI259" t="n">
        <v>7</v>
      </c>
      <c r="AJ259" t="n">
        <v>13</v>
      </c>
      <c r="AK259" t="n">
        <v>13</v>
      </c>
      <c r="AL259" t="n">
        <v>2</v>
      </c>
      <c r="AM259" t="n">
        <v>2</v>
      </c>
      <c r="AN259" t="n">
        <v>11</v>
      </c>
      <c r="AO259" t="n">
        <v>11</v>
      </c>
      <c r="AP259" t="inlineStr">
        <is>
          <t>No</t>
        </is>
      </c>
      <c r="AQ259" t="inlineStr">
        <is>
          <t>Yes</t>
        </is>
      </c>
      <c r="AR259">
        <f>HYPERLINK("http://catalog.hathitrust.org/Record/000749218","HathiTrust Record")</f>
        <v/>
      </c>
      <c r="AS259">
        <f>HYPERLINK("https://creighton-primo.hosted.exlibrisgroup.com/primo-explore/search?tab=default_tab&amp;search_scope=EVERYTHING&amp;vid=01CRU&amp;lang=en_US&amp;offset=0&amp;query=any,contains,991004408119702656","Catalog Record")</f>
        <v/>
      </c>
      <c r="AT259">
        <f>HYPERLINK("http://www.worldcat.org/oclc/3328915","WorldCat Record")</f>
        <v/>
      </c>
      <c r="AU259" t="inlineStr">
        <is>
          <t>54183768:eng</t>
        </is>
      </c>
      <c r="AV259" t="inlineStr">
        <is>
          <t>3328915</t>
        </is>
      </c>
      <c r="AW259" t="inlineStr">
        <is>
          <t>991004408119702656</t>
        </is>
      </c>
      <c r="AX259" t="inlineStr">
        <is>
          <t>991004408119702656</t>
        </is>
      </c>
      <c r="AY259" t="inlineStr">
        <is>
          <t>2266664420002656</t>
        </is>
      </c>
      <c r="AZ259" t="inlineStr">
        <is>
          <t>BOOK</t>
        </is>
      </c>
      <c r="BB259" t="inlineStr">
        <is>
          <t>9780815711551</t>
        </is>
      </c>
      <c r="BC259" t="inlineStr">
        <is>
          <t>32285001722254</t>
        </is>
      </c>
      <c r="BD259" t="inlineStr">
        <is>
          <t>893788666</t>
        </is>
      </c>
    </row>
    <row r="260">
      <c r="A260" t="inlineStr">
        <is>
          <t>No</t>
        </is>
      </c>
      <c r="B260" t="inlineStr">
        <is>
          <t>GC101.2 .S4 1989</t>
        </is>
      </c>
      <c r="C260" t="inlineStr">
        <is>
          <t>0                      GC 0101200S  4           1989</t>
        </is>
      </c>
      <c r="D260" t="inlineStr">
        <is>
          <t>Seawater : its composition, properties, and behaviour / prepared by an Open University Course Team.</t>
        </is>
      </c>
      <c r="F260" t="inlineStr">
        <is>
          <t>No</t>
        </is>
      </c>
      <c r="G260" t="inlineStr">
        <is>
          <t>1</t>
        </is>
      </c>
      <c r="H260" t="inlineStr">
        <is>
          <t>No</t>
        </is>
      </c>
      <c r="I260" t="inlineStr">
        <is>
          <t>No</t>
        </is>
      </c>
      <c r="J260" t="inlineStr">
        <is>
          <t>0</t>
        </is>
      </c>
      <c r="L260" t="inlineStr">
        <is>
          <t>Oxford [England] ; New York : Pergamon Press, in association with the Open University, Walton Hall, Milton Keynes, England, 1989.</t>
        </is>
      </c>
      <c r="M260" t="inlineStr">
        <is>
          <t>1989</t>
        </is>
      </c>
      <c r="N260" t="inlineStr">
        <is>
          <t>1st ed.</t>
        </is>
      </c>
      <c r="O260" t="inlineStr">
        <is>
          <t>eng</t>
        </is>
      </c>
      <c r="P260" t="inlineStr">
        <is>
          <t>enk</t>
        </is>
      </c>
      <c r="R260" t="inlineStr">
        <is>
          <t xml:space="preserve">GC </t>
        </is>
      </c>
      <c r="S260" t="n">
        <v>21</v>
      </c>
      <c r="T260" t="n">
        <v>21</v>
      </c>
      <c r="U260" t="inlineStr">
        <is>
          <t>2008-02-02</t>
        </is>
      </c>
      <c r="V260" t="inlineStr">
        <is>
          <t>2008-02-02</t>
        </is>
      </c>
      <c r="W260" t="inlineStr">
        <is>
          <t>1991-06-11</t>
        </is>
      </c>
      <c r="X260" t="inlineStr">
        <is>
          <t>1991-06-11</t>
        </is>
      </c>
      <c r="Y260" t="n">
        <v>389</v>
      </c>
      <c r="Z260" t="n">
        <v>250</v>
      </c>
      <c r="AA260" t="n">
        <v>1223</v>
      </c>
      <c r="AB260" t="n">
        <v>3</v>
      </c>
      <c r="AC260" t="n">
        <v>15</v>
      </c>
      <c r="AD260" t="n">
        <v>8</v>
      </c>
      <c r="AE260" t="n">
        <v>44</v>
      </c>
      <c r="AF260" t="n">
        <v>3</v>
      </c>
      <c r="AG260" t="n">
        <v>14</v>
      </c>
      <c r="AH260" t="n">
        <v>2</v>
      </c>
      <c r="AI260" t="n">
        <v>10</v>
      </c>
      <c r="AJ260" t="n">
        <v>3</v>
      </c>
      <c r="AK260" t="n">
        <v>12</v>
      </c>
      <c r="AL260" t="n">
        <v>2</v>
      </c>
      <c r="AM260" t="n">
        <v>13</v>
      </c>
      <c r="AN260" t="n">
        <v>0</v>
      </c>
      <c r="AO260" t="n">
        <v>2</v>
      </c>
      <c r="AP260" t="inlineStr">
        <is>
          <t>No</t>
        </is>
      </c>
      <c r="AQ260" t="inlineStr">
        <is>
          <t>No</t>
        </is>
      </c>
      <c r="AS260">
        <f>HYPERLINK("https://creighton-primo.hosted.exlibrisgroup.com/primo-explore/search?tab=default_tab&amp;search_scope=EVERYTHING&amp;vid=01CRU&amp;lang=en_US&amp;offset=0&amp;query=any,contains,991001308729702656","Catalog Record")</f>
        <v/>
      </c>
      <c r="AT260">
        <f>HYPERLINK("http://www.worldcat.org/oclc/18135079","WorldCat Record")</f>
        <v/>
      </c>
      <c r="AU260" t="inlineStr">
        <is>
          <t>943526938:eng</t>
        </is>
      </c>
      <c r="AV260" t="inlineStr">
        <is>
          <t>18135079</t>
        </is>
      </c>
      <c r="AW260" t="inlineStr">
        <is>
          <t>991001308729702656</t>
        </is>
      </c>
      <c r="AX260" t="inlineStr">
        <is>
          <t>991001308729702656</t>
        </is>
      </c>
      <c r="AY260" t="inlineStr">
        <is>
          <t>2260503230002656</t>
        </is>
      </c>
      <c r="AZ260" t="inlineStr">
        <is>
          <t>BOOK</t>
        </is>
      </c>
      <c r="BB260" t="inlineStr">
        <is>
          <t>9780080363677</t>
        </is>
      </c>
      <c r="BC260" t="inlineStr">
        <is>
          <t>32285000655414</t>
        </is>
      </c>
      <c r="BD260" t="inlineStr">
        <is>
          <t>893596399</t>
        </is>
      </c>
    </row>
    <row r="261">
      <c r="A261" t="inlineStr">
        <is>
          <t>No</t>
        </is>
      </c>
      <c r="B261" t="inlineStr">
        <is>
          <t>GC1015 .U8</t>
        </is>
      </c>
      <c r="C261" t="inlineStr">
        <is>
          <t>0                      GC 1015000U  8</t>
        </is>
      </c>
      <c r="D261" t="inlineStr">
        <is>
          <t>Uses of the seas / [edited by Edmund A. Gullion]</t>
        </is>
      </c>
      <c r="F261" t="inlineStr">
        <is>
          <t>No</t>
        </is>
      </c>
      <c r="G261" t="inlineStr">
        <is>
          <t>1</t>
        </is>
      </c>
      <c r="H261" t="inlineStr">
        <is>
          <t>No</t>
        </is>
      </c>
      <c r="I261" t="inlineStr">
        <is>
          <t>No</t>
        </is>
      </c>
      <c r="J261" t="inlineStr">
        <is>
          <t>0</t>
        </is>
      </c>
      <c r="L261" t="inlineStr">
        <is>
          <t>Englewood Cliffs, N.J. : Prentice-Hall, [1968]</t>
        </is>
      </c>
      <c r="M261" t="inlineStr">
        <is>
          <t>1968</t>
        </is>
      </c>
      <c r="O261" t="inlineStr">
        <is>
          <t>eng</t>
        </is>
      </c>
      <c r="P261" t="inlineStr">
        <is>
          <t>nju</t>
        </is>
      </c>
      <c r="Q261" t="inlineStr">
        <is>
          <t>A Spectrum book</t>
        </is>
      </c>
      <c r="R261" t="inlineStr">
        <is>
          <t xml:space="preserve">GC </t>
        </is>
      </c>
      <c r="S261" t="n">
        <v>2</v>
      </c>
      <c r="T261" t="n">
        <v>2</v>
      </c>
      <c r="U261" t="inlineStr">
        <is>
          <t>1993-11-09</t>
        </is>
      </c>
      <c r="V261" t="inlineStr">
        <is>
          <t>1993-11-09</t>
        </is>
      </c>
      <c r="W261" t="inlineStr">
        <is>
          <t>1991-05-20</t>
        </is>
      </c>
      <c r="X261" t="inlineStr">
        <is>
          <t>1991-05-20</t>
        </is>
      </c>
      <c r="Y261" t="n">
        <v>806</v>
      </c>
      <c r="Z261" t="n">
        <v>689</v>
      </c>
      <c r="AA261" t="n">
        <v>689</v>
      </c>
      <c r="AB261" t="n">
        <v>6</v>
      </c>
      <c r="AC261" t="n">
        <v>6</v>
      </c>
      <c r="AD261" t="n">
        <v>27</v>
      </c>
      <c r="AE261" t="n">
        <v>27</v>
      </c>
      <c r="AF261" t="n">
        <v>4</v>
      </c>
      <c r="AG261" t="n">
        <v>4</v>
      </c>
      <c r="AH261" t="n">
        <v>5</v>
      </c>
      <c r="AI261" t="n">
        <v>5</v>
      </c>
      <c r="AJ261" t="n">
        <v>10</v>
      </c>
      <c r="AK261" t="n">
        <v>10</v>
      </c>
      <c r="AL261" t="n">
        <v>4</v>
      </c>
      <c r="AM261" t="n">
        <v>4</v>
      </c>
      <c r="AN261" t="n">
        <v>9</v>
      </c>
      <c r="AO261" t="n">
        <v>9</v>
      </c>
      <c r="AP261" t="inlineStr">
        <is>
          <t>No</t>
        </is>
      </c>
      <c r="AQ261" t="inlineStr">
        <is>
          <t>Yes</t>
        </is>
      </c>
      <c r="AR261">
        <f>HYPERLINK("http://catalog.hathitrust.org/Record/001273678","HathiTrust Record")</f>
        <v/>
      </c>
      <c r="AS261">
        <f>HYPERLINK("https://creighton-primo.hosted.exlibrisgroup.com/primo-explore/search?tab=default_tab&amp;search_scope=EVERYTHING&amp;vid=01CRU&amp;lang=en_US&amp;offset=0&amp;query=any,contains,991000090339702656","Catalog Record")</f>
        <v/>
      </c>
      <c r="AT261">
        <f>HYPERLINK("http://www.worldcat.org/oclc/36052","WorldCat Record")</f>
        <v/>
      </c>
      <c r="AU261" t="inlineStr">
        <is>
          <t>10792663775:eng</t>
        </is>
      </c>
      <c r="AV261" t="inlineStr">
        <is>
          <t>36052</t>
        </is>
      </c>
      <c r="AW261" t="inlineStr">
        <is>
          <t>991000090339702656</t>
        </is>
      </c>
      <c r="AX261" t="inlineStr">
        <is>
          <t>991000090339702656</t>
        </is>
      </c>
      <c r="AY261" t="inlineStr">
        <is>
          <t>2264924170002656</t>
        </is>
      </c>
      <c r="AZ261" t="inlineStr">
        <is>
          <t>BOOK</t>
        </is>
      </c>
      <c r="BC261" t="inlineStr">
        <is>
          <t>32285000597541</t>
        </is>
      </c>
      <c r="BD261" t="inlineStr">
        <is>
          <t>893695586</t>
        </is>
      </c>
    </row>
    <row r="262">
      <c r="A262" t="inlineStr">
        <is>
          <t>No</t>
        </is>
      </c>
      <c r="B262" t="inlineStr">
        <is>
          <t>GC1015.2 .M35 1985</t>
        </is>
      </c>
      <c r="C262" t="inlineStr">
        <is>
          <t>0                      GC 1015200M  35          1985</t>
        </is>
      </c>
      <c r="D262" t="inlineStr">
        <is>
          <t>Managing the ocean : resources, research, law / Jacques G. Richardson, editor.</t>
        </is>
      </c>
      <c r="F262" t="inlineStr">
        <is>
          <t>No</t>
        </is>
      </c>
      <c r="G262" t="inlineStr">
        <is>
          <t>1</t>
        </is>
      </c>
      <c r="H262" t="inlineStr">
        <is>
          <t>No</t>
        </is>
      </c>
      <c r="I262" t="inlineStr">
        <is>
          <t>No</t>
        </is>
      </c>
      <c r="J262" t="inlineStr">
        <is>
          <t>0</t>
        </is>
      </c>
      <c r="L262" t="inlineStr">
        <is>
          <t>Mt. Airy, Md. : Lomond Publications, c1985, 1986 printing.</t>
        </is>
      </c>
      <c r="M262" t="inlineStr">
        <is>
          <t>1985</t>
        </is>
      </c>
      <c r="O262" t="inlineStr">
        <is>
          <t>eng</t>
        </is>
      </c>
      <c r="P262" t="inlineStr">
        <is>
          <t>mdu</t>
        </is>
      </c>
      <c r="R262" t="inlineStr">
        <is>
          <t xml:space="preserve">GC </t>
        </is>
      </c>
      <c r="S262" t="n">
        <v>10</v>
      </c>
      <c r="T262" t="n">
        <v>10</v>
      </c>
      <c r="U262" t="inlineStr">
        <is>
          <t>1996-04-08</t>
        </is>
      </c>
      <c r="V262" t="inlineStr">
        <is>
          <t>1996-04-08</t>
        </is>
      </c>
      <c r="W262" t="inlineStr">
        <is>
          <t>1990-09-13</t>
        </is>
      </c>
      <c r="X262" t="inlineStr">
        <is>
          <t>1990-09-13</t>
        </is>
      </c>
      <c r="Y262" t="n">
        <v>441</v>
      </c>
      <c r="Z262" t="n">
        <v>377</v>
      </c>
      <c r="AA262" t="n">
        <v>395</v>
      </c>
      <c r="AB262" t="n">
        <v>4</v>
      </c>
      <c r="AC262" t="n">
        <v>4</v>
      </c>
      <c r="AD262" t="n">
        <v>10</v>
      </c>
      <c r="AE262" t="n">
        <v>13</v>
      </c>
      <c r="AF262" t="n">
        <v>2</v>
      </c>
      <c r="AG262" t="n">
        <v>4</v>
      </c>
      <c r="AH262" t="n">
        <v>3</v>
      </c>
      <c r="AI262" t="n">
        <v>4</v>
      </c>
      <c r="AJ262" t="n">
        <v>2</v>
      </c>
      <c r="AK262" t="n">
        <v>3</v>
      </c>
      <c r="AL262" t="n">
        <v>3</v>
      </c>
      <c r="AM262" t="n">
        <v>3</v>
      </c>
      <c r="AN262" t="n">
        <v>1</v>
      </c>
      <c r="AO262" t="n">
        <v>1</v>
      </c>
      <c r="AP262" t="inlineStr">
        <is>
          <t>No</t>
        </is>
      </c>
      <c r="AQ262" t="inlineStr">
        <is>
          <t>Yes</t>
        </is>
      </c>
      <c r="AR262">
        <f>HYPERLINK("http://catalog.hathitrust.org/Record/000617791","HathiTrust Record")</f>
        <v/>
      </c>
      <c r="AS262">
        <f>HYPERLINK("https://creighton-primo.hosted.exlibrisgroup.com/primo-explore/search?tab=default_tab&amp;search_scope=EVERYTHING&amp;vid=01CRU&amp;lang=en_US&amp;offset=0&amp;query=any,contains,991000803859702656","Catalog Record")</f>
        <v/>
      </c>
      <c r="AT262">
        <f>HYPERLINK("http://www.worldcat.org/oclc/13270041","WorldCat Record")</f>
        <v/>
      </c>
      <c r="AU262" t="inlineStr">
        <is>
          <t>793791095:eng</t>
        </is>
      </c>
      <c r="AV262" t="inlineStr">
        <is>
          <t>13270041</t>
        </is>
      </c>
      <c r="AW262" t="inlineStr">
        <is>
          <t>991000803859702656</t>
        </is>
      </c>
      <c r="AX262" t="inlineStr">
        <is>
          <t>991000803859702656</t>
        </is>
      </c>
      <c r="AY262" t="inlineStr">
        <is>
          <t>2271966620002656</t>
        </is>
      </c>
      <c r="AZ262" t="inlineStr">
        <is>
          <t>BOOK</t>
        </is>
      </c>
      <c r="BB262" t="inlineStr">
        <is>
          <t>9780912338507</t>
        </is>
      </c>
      <c r="BC262" t="inlineStr">
        <is>
          <t>32285000286715</t>
        </is>
      </c>
      <c r="BD262" t="inlineStr">
        <is>
          <t>893778255</t>
        </is>
      </c>
    </row>
    <row r="263">
      <c r="A263" t="inlineStr">
        <is>
          <t>No</t>
        </is>
      </c>
      <c r="B263" t="inlineStr">
        <is>
          <t>GC1015.2 .O24</t>
        </is>
      </c>
      <c r="C263" t="inlineStr">
        <is>
          <t>0                      GC 1015200O  24</t>
        </is>
      </c>
      <c r="D263" t="inlineStr">
        <is>
          <t>The Ocean environment / edited by Jonathan Bartlett.</t>
        </is>
      </c>
      <c r="F263" t="inlineStr">
        <is>
          <t>No</t>
        </is>
      </c>
      <c r="G263" t="inlineStr">
        <is>
          <t>1</t>
        </is>
      </c>
      <c r="H263" t="inlineStr">
        <is>
          <t>No</t>
        </is>
      </c>
      <c r="I263" t="inlineStr">
        <is>
          <t>No</t>
        </is>
      </c>
      <c r="J263" t="inlineStr">
        <is>
          <t>0</t>
        </is>
      </c>
      <c r="L263" t="inlineStr">
        <is>
          <t>New York : H. W. Wilson, 1977.</t>
        </is>
      </c>
      <c r="M263" t="inlineStr">
        <is>
          <t>1977</t>
        </is>
      </c>
      <c r="O263" t="inlineStr">
        <is>
          <t>eng</t>
        </is>
      </c>
      <c r="P263" t="inlineStr">
        <is>
          <t>nyu</t>
        </is>
      </c>
      <c r="Q263" t="inlineStr">
        <is>
          <t>The Reference shelf ; v. 48, no. 6</t>
        </is>
      </c>
      <c r="R263" t="inlineStr">
        <is>
          <t xml:space="preserve">GC </t>
        </is>
      </c>
      <c r="S263" t="n">
        <v>14</v>
      </c>
      <c r="T263" t="n">
        <v>14</v>
      </c>
      <c r="U263" t="inlineStr">
        <is>
          <t>1998-12-07</t>
        </is>
      </c>
      <c r="V263" t="inlineStr">
        <is>
          <t>1998-12-07</t>
        </is>
      </c>
      <c r="W263" t="inlineStr">
        <is>
          <t>1992-05-29</t>
        </is>
      </c>
      <c r="X263" t="inlineStr">
        <is>
          <t>1992-05-29</t>
        </is>
      </c>
      <c r="Y263" t="n">
        <v>1160</v>
      </c>
      <c r="Z263" t="n">
        <v>1118</v>
      </c>
      <c r="AA263" t="n">
        <v>1126</v>
      </c>
      <c r="AB263" t="n">
        <v>10</v>
      </c>
      <c r="AC263" t="n">
        <v>10</v>
      </c>
      <c r="AD263" t="n">
        <v>31</v>
      </c>
      <c r="AE263" t="n">
        <v>31</v>
      </c>
      <c r="AF263" t="n">
        <v>12</v>
      </c>
      <c r="AG263" t="n">
        <v>12</v>
      </c>
      <c r="AH263" t="n">
        <v>4</v>
      </c>
      <c r="AI263" t="n">
        <v>4</v>
      </c>
      <c r="AJ263" t="n">
        <v>14</v>
      </c>
      <c r="AK263" t="n">
        <v>14</v>
      </c>
      <c r="AL263" t="n">
        <v>7</v>
      </c>
      <c r="AM263" t="n">
        <v>7</v>
      </c>
      <c r="AN263" t="n">
        <v>0</v>
      </c>
      <c r="AO263" t="n">
        <v>0</v>
      </c>
      <c r="AP263" t="inlineStr">
        <is>
          <t>No</t>
        </is>
      </c>
      <c r="AQ263" t="inlineStr">
        <is>
          <t>Yes</t>
        </is>
      </c>
      <c r="AR263">
        <f>HYPERLINK("http://catalog.hathitrust.org/Record/000210652","HathiTrust Record")</f>
        <v/>
      </c>
      <c r="AS263">
        <f>HYPERLINK("https://creighton-primo.hosted.exlibrisgroup.com/primo-explore/search?tab=default_tab&amp;search_scope=EVERYTHING&amp;vid=01CRU&amp;lang=en_US&amp;offset=0&amp;query=any,contains,991004254459702656","Catalog Record")</f>
        <v/>
      </c>
      <c r="AT263">
        <f>HYPERLINK("http://www.worldcat.org/oclc/2818780","WorldCat Record")</f>
        <v/>
      </c>
      <c r="AU263" t="inlineStr">
        <is>
          <t>54160972:eng</t>
        </is>
      </c>
      <c r="AV263" t="inlineStr">
        <is>
          <t>2818780</t>
        </is>
      </c>
      <c r="AW263" t="inlineStr">
        <is>
          <t>991004254459702656</t>
        </is>
      </c>
      <c r="AX263" t="inlineStr">
        <is>
          <t>991004254459702656</t>
        </is>
      </c>
      <c r="AY263" t="inlineStr">
        <is>
          <t>2267773110002656</t>
        </is>
      </c>
      <c r="AZ263" t="inlineStr">
        <is>
          <t>BOOK</t>
        </is>
      </c>
      <c r="BB263" t="inlineStr">
        <is>
          <t>9780824206000</t>
        </is>
      </c>
      <c r="BC263" t="inlineStr">
        <is>
          <t>32285001114130</t>
        </is>
      </c>
      <c r="BD263" t="inlineStr">
        <is>
          <t>893411302</t>
        </is>
      </c>
    </row>
    <row r="264">
      <c r="A264" t="inlineStr">
        <is>
          <t>No</t>
        </is>
      </c>
      <c r="B264" t="inlineStr">
        <is>
          <t>GC1015.2 .R67 1980</t>
        </is>
      </c>
      <c r="C264" t="inlineStr">
        <is>
          <t>0                      GC 1015200R  67          1980</t>
        </is>
      </c>
      <c r="D264" t="inlineStr">
        <is>
          <t>Opportunities and uses of the ocean / David A. Ross.</t>
        </is>
      </c>
      <c r="F264" t="inlineStr">
        <is>
          <t>No</t>
        </is>
      </c>
      <c r="G264" t="inlineStr">
        <is>
          <t>1</t>
        </is>
      </c>
      <c r="H264" t="inlineStr">
        <is>
          <t>No</t>
        </is>
      </c>
      <c r="I264" t="inlineStr">
        <is>
          <t>No</t>
        </is>
      </c>
      <c r="J264" t="inlineStr">
        <is>
          <t>0</t>
        </is>
      </c>
      <c r="K264" t="inlineStr">
        <is>
          <t>Ross, David A. (David Alexander), 1936-</t>
        </is>
      </c>
      <c r="L264" t="inlineStr">
        <is>
          <t>New York : Springer Verlag, 1980, c1978.</t>
        </is>
      </c>
      <c r="M264" t="inlineStr">
        <is>
          <t>1980</t>
        </is>
      </c>
      <c r="O264" t="inlineStr">
        <is>
          <t>eng</t>
        </is>
      </c>
      <c r="P264" t="inlineStr">
        <is>
          <t>nyu</t>
        </is>
      </c>
      <c r="R264" t="inlineStr">
        <is>
          <t xml:space="preserve">GC </t>
        </is>
      </c>
      <c r="S264" t="n">
        <v>10</v>
      </c>
      <c r="T264" t="n">
        <v>10</v>
      </c>
      <c r="U264" t="inlineStr">
        <is>
          <t>1995-03-27</t>
        </is>
      </c>
      <c r="V264" t="inlineStr">
        <is>
          <t>1995-03-27</t>
        </is>
      </c>
      <c r="W264" t="inlineStr">
        <is>
          <t>1990-09-13</t>
        </is>
      </c>
      <c r="X264" t="inlineStr">
        <is>
          <t>1990-09-13</t>
        </is>
      </c>
      <c r="Y264" t="n">
        <v>411</v>
      </c>
      <c r="Z264" t="n">
        <v>294</v>
      </c>
      <c r="AA264" t="n">
        <v>317</v>
      </c>
      <c r="AB264" t="n">
        <v>4</v>
      </c>
      <c r="AC264" t="n">
        <v>4</v>
      </c>
      <c r="AD264" t="n">
        <v>6</v>
      </c>
      <c r="AE264" t="n">
        <v>6</v>
      </c>
      <c r="AF264" t="n">
        <v>1</v>
      </c>
      <c r="AG264" t="n">
        <v>1</v>
      </c>
      <c r="AH264" t="n">
        <v>1</v>
      </c>
      <c r="AI264" t="n">
        <v>1</v>
      </c>
      <c r="AJ264" t="n">
        <v>1</v>
      </c>
      <c r="AK264" t="n">
        <v>1</v>
      </c>
      <c r="AL264" t="n">
        <v>3</v>
      </c>
      <c r="AM264" t="n">
        <v>3</v>
      </c>
      <c r="AN264" t="n">
        <v>0</v>
      </c>
      <c r="AO264" t="n">
        <v>0</v>
      </c>
      <c r="AP264" t="inlineStr">
        <is>
          <t>No</t>
        </is>
      </c>
      <c r="AQ264" t="inlineStr">
        <is>
          <t>Yes</t>
        </is>
      </c>
      <c r="AR264">
        <f>HYPERLINK("http://catalog.hathitrust.org/Record/000022136","HathiTrust Record")</f>
        <v/>
      </c>
      <c r="AS264">
        <f>HYPERLINK("https://creighton-primo.hosted.exlibrisgroup.com/primo-explore/search?tab=default_tab&amp;search_scope=EVERYTHING&amp;vid=01CRU&amp;lang=en_US&amp;offset=0&amp;query=any,contains,991004749689702656","Catalog Record")</f>
        <v/>
      </c>
      <c r="AT264">
        <f>HYPERLINK("http://www.worldcat.org/oclc/4933050","WorldCat Record")</f>
        <v/>
      </c>
      <c r="AU264" t="inlineStr">
        <is>
          <t>15211286:eng</t>
        </is>
      </c>
      <c r="AV264" t="inlineStr">
        <is>
          <t>4933050</t>
        </is>
      </c>
      <c r="AW264" t="inlineStr">
        <is>
          <t>991004749689702656</t>
        </is>
      </c>
      <c r="AX264" t="inlineStr">
        <is>
          <t>991004749689702656</t>
        </is>
      </c>
      <c r="AY264" t="inlineStr">
        <is>
          <t>2269025010002656</t>
        </is>
      </c>
      <c r="AZ264" t="inlineStr">
        <is>
          <t>BOOK</t>
        </is>
      </c>
      <c r="BB264" t="inlineStr">
        <is>
          <t>9780387904481</t>
        </is>
      </c>
      <c r="BC264" t="inlineStr">
        <is>
          <t>32285000286723</t>
        </is>
      </c>
      <c r="BD264" t="inlineStr">
        <is>
          <t>893625073</t>
        </is>
      </c>
    </row>
    <row r="265">
      <c r="A265" t="inlineStr">
        <is>
          <t>No</t>
        </is>
      </c>
      <c r="B265" t="inlineStr">
        <is>
          <t>GC1017 .B37</t>
        </is>
      </c>
      <c r="C265" t="inlineStr">
        <is>
          <t>0                      GC 1017000B  37</t>
        </is>
      </c>
      <c r="D265" t="inlineStr">
        <is>
          <t>Deep seabed resources : politics and technology / Jack N. Barkenbus.</t>
        </is>
      </c>
      <c r="F265" t="inlineStr">
        <is>
          <t>No</t>
        </is>
      </c>
      <c r="G265" t="inlineStr">
        <is>
          <t>1</t>
        </is>
      </c>
      <c r="H265" t="inlineStr">
        <is>
          <t>No</t>
        </is>
      </c>
      <c r="I265" t="inlineStr">
        <is>
          <t>No</t>
        </is>
      </c>
      <c r="J265" t="inlineStr">
        <is>
          <t>0</t>
        </is>
      </c>
      <c r="K265" t="inlineStr">
        <is>
          <t>Barkenbus, Jack N.</t>
        </is>
      </c>
      <c r="L265" t="inlineStr">
        <is>
          <t>New York : Free Press, c1979.</t>
        </is>
      </c>
      <c r="M265" t="inlineStr">
        <is>
          <t>1979</t>
        </is>
      </c>
      <c r="O265" t="inlineStr">
        <is>
          <t>eng</t>
        </is>
      </c>
      <c r="P265" t="inlineStr">
        <is>
          <t>nyu</t>
        </is>
      </c>
      <c r="R265" t="inlineStr">
        <is>
          <t xml:space="preserve">GC </t>
        </is>
      </c>
      <c r="S265" t="n">
        <v>3</v>
      </c>
      <c r="T265" t="n">
        <v>3</v>
      </c>
      <c r="U265" t="inlineStr">
        <is>
          <t>1994-11-27</t>
        </is>
      </c>
      <c r="V265" t="inlineStr">
        <is>
          <t>1994-11-27</t>
        </is>
      </c>
      <c r="W265" t="inlineStr">
        <is>
          <t>1990-09-13</t>
        </is>
      </c>
      <c r="X265" t="inlineStr">
        <is>
          <t>1990-09-13</t>
        </is>
      </c>
      <c r="Y265" t="n">
        <v>516</v>
      </c>
      <c r="Z265" t="n">
        <v>412</v>
      </c>
      <c r="AA265" t="n">
        <v>418</v>
      </c>
      <c r="AB265" t="n">
        <v>2</v>
      </c>
      <c r="AC265" t="n">
        <v>2</v>
      </c>
      <c r="AD265" t="n">
        <v>17</v>
      </c>
      <c r="AE265" t="n">
        <v>17</v>
      </c>
      <c r="AF265" t="n">
        <v>2</v>
      </c>
      <c r="AG265" t="n">
        <v>2</v>
      </c>
      <c r="AH265" t="n">
        <v>5</v>
      </c>
      <c r="AI265" t="n">
        <v>5</v>
      </c>
      <c r="AJ265" t="n">
        <v>5</v>
      </c>
      <c r="AK265" t="n">
        <v>5</v>
      </c>
      <c r="AL265" t="n">
        <v>1</v>
      </c>
      <c r="AM265" t="n">
        <v>1</v>
      </c>
      <c r="AN265" t="n">
        <v>9</v>
      </c>
      <c r="AO265" t="n">
        <v>9</v>
      </c>
      <c r="AP265" t="inlineStr">
        <is>
          <t>No</t>
        </is>
      </c>
      <c r="AQ265" t="inlineStr">
        <is>
          <t>Yes</t>
        </is>
      </c>
      <c r="AR265">
        <f>HYPERLINK("http://catalog.hathitrust.org/Record/007159318","HathiTrust Record")</f>
        <v/>
      </c>
      <c r="AS265">
        <f>HYPERLINK("https://creighton-primo.hosted.exlibrisgroup.com/primo-explore/search?tab=default_tab&amp;search_scope=EVERYTHING&amp;vid=01CRU&amp;lang=en_US&amp;offset=0&amp;query=any,contains,991004779759702656","Catalog Record")</f>
        <v/>
      </c>
      <c r="AT265">
        <f>HYPERLINK("http://www.worldcat.org/oclc/5102981","WorldCat Record")</f>
        <v/>
      </c>
      <c r="AU265" t="inlineStr">
        <is>
          <t>365229018:eng</t>
        </is>
      </c>
      <c r="AV265" t="inlineStr">
        <is>
          <t>5102981</t>
        </is>
      </c>
      <c r="AW265" t="inlineStr">
        <is>
          <t>991004779759702656</t>
        </is>
      </c>
      <c r="AX265" t="inlineStr">
        <is>
          <t>991004779759702656</t>
        </is>
      </c>
      <c r="AY265" t="inlineStr">
        <is>
          <t>2269473400002656</t>
        </is>
      </c>
      <c r="AZ265" t="inlineStr">
        <is>
          <t>BOOK</t>
        </is>
      </c>
      <c r="BB265" t="inlineStr">
        <is>
          <t>9780029018309</t>
        </is>
      </c>
      <c r="BC265" t="inlineStr">
        <is>
          <t>32285000286731</t>
        </is>
      </c>
      <c r="BD265" t="inlineStr">
        <is>
          <t>893418009</t>
        </is>
      </c>
    </row>
    <row r="266">
      <c r="A266" t="inlineStr">
        <is>
          <t>No</t>
        </is>
      </c>
      <c r="B266" t="inlineStr">
        <is>
          <t>GC1018 .M315</t>
        </is>
      </c>
      <c r="C266" t="inlineStr">
        <is>
          <t>0                      GC 1018000M  315</t>
        </is>
      </c>
      <c r="D266" t="inlineStr">
        <is>
          <t>The oceans, our last resource / by Wesley Marx.</t>
        </is>
      </c>
      <c r="F266" t="inlineStr">
        <is>
          <t>No</t>
        </is>
      </c>
      <c r="G266" t="inlineStr">
        <is>
          <t>1</t>
        </is>
      </c>
      <c r="H266" t="inlineStr">
        <is>
          <t>No</t>
        </is>
      </c>
      <c r="I266" t="inlineStr">
        <is>
          <t>No</t>
        </is>
      </c>
      <c r="J266" t="inlineStr">
        <is>
          <t>0</t>
        </is>
      </c>
      <c r="K266" t="inlineStr">
        <is>
          <t>Marx, Wesley.</t>
        </is>
      </c>
      <c r="L266" t="inlineStr">
        <is>
          <t>San Francisco, CA : Sierra Club Books, c1981.</t>
        </is>
      </c>
      <c r="M266" t="inlineStr">
        <is>
          <t>1981</t>
        </is>
      </c>
      <c r="O266" t="inlineStr">
        <is>
          <t>eng</t>
        </is>
      </c>
      <c r="P266" t="inlineStr">
        <is>
          <t>cau</t>
        </is>
      </c>
      <c r="R266" t="inlineStr">
        <is>
          <t xml:space="preserve">GC </t>
        </is>
      </c>
      <c r="S266" t="n">
        <v>8</v>
      </c>
      <c r="T266" t="n">
        <v>8</v>
      </c>
      <c r="U266" t="inlineStr">
        <is>
          <t>1997-04-23</t>
        </is>
      </c>
      <c r="V266" t="inlineStr">
        <is>
          <t>1997-04-23</t>
        </is>
      </c>
      <c r="W266" t="inlineStr">
        <is>
          <t>1990-09-13</t>
        </is>
      </c>
      <c r="X266" t="inlineStr">
        <is>
          <t>1990-09-13</t>
        </is>
      </c>
      <c r="Y266" t="n">
        <v>725</v>
      </c>
      <c r="Z266" t="n">
        <v>673</v>
      </c>
      <c r="AA266" t="n">
        <v>690</v>
      </c>
      <c r="AB266" t="n">
        <v>3</v>
      </c>
      <c r="AC266" t="n">
        <v>3</v>
      </c>
      <c r="AD266" t="n">
        <v>12</v>
      </c>
      <c r="AE266" t="n">
        <v>13</v>
      </c>
      <c r="AF266" t="n">
        <v>4</v>
      </c>
      <c r="AG266" t="n">
        <v>5</v>
      </c>
      <c r="AH266" t="n">
        <v>3</v>
      </c>
      <c r="AI266" t="n">
        <v>3</v>
      </c>
      <c r="AJ266" t="n">
        <v>7</v>
      </c>
      <c r="AK266" t="n">
        <v>7</v>
      </c>
      <c r="AL266" t="n">
        <v>1</v>
      </c>
      <c r="AM266" t="n">
        <v>1</v>
      </c>
      <c r="AN266" t="n">
        <v>0</v>
      </c>
      <c r="AO266" t="n">
        <v>0</v>
      </c>
      <c r="AP266" t="inlineStr">
        <is>
          <t>No</t>
        </is>
      </c>
      <c r="AQ266" t="inlineStr">
        <is>
          <t>Yes</t>
        </is>
      </c>
      <c r="AR266">
        <f>HYPERLINK("http://catalog.hathitrust.org/Record/000150575","HathiTrust Record")</f>
        <v/>
      </c>
      <c r="AS266">
        <f>HYPERLINK("https://creighton-primo.hosted.exlibrisgroup.com/primo-explore/search?tab=default_tab&amp;search_scope=EVERYTHING&amp;vid=01CRU&amp;lang=en_US&amp;offset=0&amp;query=any,contains,991005116149702656","Catalog Record")</f>
        <v/>
      </c>
      <c r="AT266">
        <f>HYPERLINK("http://www.worldcat.org/oclc/7462601","WorldCat Record")</f>
        <v/>
      </c>
      <c r="AU266" t="inlineStr">
        <is>
          <t>27334511:eng</t>
        </is>
      </c>
      <c r="AV266" t="inlineStr">
        <is>
          <t>7462601</t>
        </is>
      </c>
      <c r="AW266" t="inlineStr">
        <is>
          <t>991005116149702656</t>
        </is>
      </c>
      <c r="AX266" t="inlineStr">
        <is>
          <t>991005116149702656</t>
        </is>
      </c>
      <c r="AY266" t="inlineStr">
        <is>
          <t>2262864000002656</t>
        </is>
      </c>
      <c r="AZ266" t="inlineStr">
        <is>
          <t>BOOK</t>
        </is>
      </c>
      <c r="BB266" t="inlineStr">
        <is>
          <t>9780871562913</t>
        </is>
      </c>
      <c r="BC266" t="inlineStr">
        <is>
          <t>32285000286749</t>
        </is>
      </c>
      <c r="BD266" t="inlineStr">
        <is>
          <t>893688614</t>
        </is>
      </c>
    </row>
    <row r="267">
      <c r="A267" t="inlineStr">
        <is>
          <t>No</t>
        </is>
      </c>
      <c r="B267" t="inlineStr">
        <is>
          <t>GC1018 .W42 1993</t>
        </is>
      </c>
      <c r="C267" t="inlineStr">
        <is>
          <t>0                      GC 1018000W  42          1993</t>
        </is>
      </c>
      <c r="D267" t="inlineStr">
        <is>
          <t>Abandoned seas : reversing the decline of the oceans / Peter Weber ; Anne Platt, staff researcher ; Ed Ayres, editor.</t>
        </is>
      </c>
      <c r="F267" t="inlineStr">
        <is>
          <t>No</t>
        </is>
      </c>
      <c r="G267" t="inlineStr">
        <is>
          <t>1</t>
        </is>
      </c>
      <c r="H267" t="inlineStr">
        <is>
          <t>No</t>
        </is>
      </c>
      <c r="I267" t="inlineStr">
        <is>
          <t>No</t>
        </is>
      </c>
      <c r="J267" t="inlineStr">
        <is>
          <t>0</t>
        </is>
      </c>
      <c r="K267" t="inlineStr">
        <is>
          <t>Weber, Peter, 1963-</t>
        </is>
      </c>
      <c r="L267" t="inlineStr">
        <is>
          <t>Washington, DC : Worldwatch Institute, c1993.</t>
        </is>
      </c>
      <c r="M267" t="inlineStr">
        <is>
          <t>1993</t>
        </is>
      </c>
      <c r="O267" t="inlineStr">
        <is>
          <t>eng</t>
        </is>
      </c>
      <c r="P267" t="inlineStr">
        <is>
          <t>dcu</t>
        </is>
      </c>
      <c r="Q267" t="inlineStr">
        <is>
          <t>Worldwatch paper ; 116</t>
        </is>
      </c>
      <c r="R267" t="inlineStr">
        <is>
          <t xml:space="preserve">GC </t>
        </is>
      </c>
      <c r="S267" t="n">
        <v>15</v>
      </c>
      <c r="T267" t="n">
        <v>15</v>
      </c>
      <c r="U267" t="inlineStr">
        <is>
          <t>2000-02-20</t>
        </is>
      </c>
      <c r="V267" t="inlineStr">
        <is>
          <t>2000-02-20</t>
        </is>
      </c>
      <c r="W267" t="inlineStr">
        <is>
          <t>1994-04-21</t>
        </is>
      </c>
      <c r="X267" t="inlineStr">
        <is>
          <t>1994-04-21</t>
        </is>
      </c>
      <c r="Y267" t="n">
        <v>566</v>
      </c>
      <c r="Z267" t="n">
        <v>488</v>
      </c>
      <c r="AA267" t="n">
        <v>491</v>
      </c>
      <c r="AB267" t="n">
        <v>6</v>
      </c>
      <c r="AC267" t="n">
        <v>6</v>
      </c>
      <c r="AD267" t="n">
        <v>22</v>
      </c>
      <c r="AE267" t="n">
        <v>22</v>
      </c>
      <c r="AF267" t="n">
        <v>6</v>
      </c>
      <c r="AG267" t="n">
        <v>6</v>
      </c>
      <c r="AH267" t="n">
        <v>4</v>
      </c>
      <c r="AI267" t="n">
        <v>4</v>
      </c>
      <c r="AJ267" t="n">
        <v>11</v>
      </c>
      <c r="AK267" t="n">
        <v>11</v>
      </c>
      <c r="AL267" t="n">
        <v>5</v>
      </c>
      <c r="AM267" t="n">
        <v>5</v>
      </c>
      <c r="AN267" t="n">
        <v>1</v>
      </c>
      <c r="AO267" t="n">
        <v>1</v>
      </c>
      <c r="AP267" t="inlineStr">
        <is>
          <t>No</t>
        </is>
      </c>
      <c r="AQ267" t="inlineStr">
        <is>
          <t>Yes</t>
        </is>
      </c>
      <c r="AR267">
        <f>HYPERLINK("http://catalog.hathitrust.org/Record/002802174","HathiTrust Record")</f>
        <v/>
      </c>
      <c r="AS267">
        <f>HYPERLINK("https://creighton-primo.hosted.exlibrisgroup.com/primo-explore/search?tab=default_tab&amp;search_scope=EVERYTHING&amp;vid=01CRU&amp;lang=en_US&amp;offset=0&amp;query=any,contains,991002264839702656","Catalog Record")</f>
        <v/>
      </c>
      <c r="AT267">
        <f>HYPERLINK("http://www.worldcat.org/oclc/29370414","WorldCat Record")</f>
        <v/>
      </c>
      <c r="AU267" t="inlineStr">
        <is>
          <t>31428123:eng</t>
        </is>
      </c>
      <c r="AV267" t="inlineStr">
        <is>
          <t>29370414</t>
        </is>
      </c>
      <c r="AW267" t="inlineStr">
        <is>
          <t>991002264839702656</t>
        </is>
      </c>
      <c r="AX267" t="inlineStr">
        <is>
          <t>991002264839702656</t>
        </is>
      </c>
      <c r="AY267" t="inlineStr">
        <is>
          <t>2271723710002656</t>
        </is>
      </c>
      <c r="AZ267" t="inlineStr">
        <is>
          <t>BOOK</t>
        </is>
      </c>
      <c r="BB267" t="inlineStr">
        <is>
          <t>9781878071163</t>
        </is>
      </c>
      <c r="BC267" t="inlineStr">
        <is>
          <t>32285001864130</t>
        </is>
      </c>
      <c r="BD267" t="inlineStr">
        <is>
          <t>893792238</t>
        </is>
      </c>
    </row>
    <row r="268">
      <c r="A268" t="inlineStr">
        <is>
          <t>No</t>
        </is>
      </c>
      <c r="B268" t="inlineStr">
        <is>
          <t>GC1018 .W436 1994</t>
        </is>
      </c>
      <c r="C268" t="inlineStr">
        <is>
          <t>0                      GC 1018000W  436         1994</t>
        </is>
      </c>
      <c r="D268" t="inlineStr">
        <is>
          <t>Net loss : fish, jobs, and the marine environment / Peter Weber ; Anne Platt, staff researcher ; Carole Douglis, editor.</t>
        </is>
      </c>
      <c r="F268" t="inlineStr">
        <is>
          <t>No</t>
        </is>
      </c>
      <c r="G268" t="inlineStr">
        <is>
          <t>1</t>
        </is>
      </c>
      <c r="H268" t="inlineStr">
        <is>
          <t>No</t>
        </is>
      </c>
      <c r="I268" t="inlineStr">
        <is>
          <t>No</t>
        </is>
      </c>
      <c r="J268" t="inlineStr">
        <is>
          <t>0</t>
        </is>
      </c>
      <c r="K268" t="inlineStr">
        <is>
          <t>Weber, Peter, 1963-</t>
        </is>
      </c>
      <c r="L268" t="inlineStr">
        <is>
          <t>Washington, DC : Worldwatch Institute, c1994.</t>
        </is>
      </c>
      <c r="M268" t="inlineStr">
        <is>
          <t>1994</t>
        </is>
      </c>
      <c r="O268" t="inlineStr">
        <is>
          <t>eng</t>
        </is>
      </c>
      <c r="P268" t="inlineStr">
        <is>
          <t>dcu</t>
        </is>
      </c>
      <c r="Q268" t="inlineStr">
        <is>
          <t>Worldwatch paper ; 120</t>
        </is>
      </c>
      <c r="R268" t="inlineStr">
        <is>
          <t xml:space="preserve">GC </t>
        </is>
      </c>
      <c r="S268" t="n">
        <v>8</v>
      </c>
      <c r="T268" t="n">
        <v>8</v>
      </c>
      <c r="U268" t="inlineStr">
        <is>
          <t>1996-04-25</t>
        </is>
      </c>
      <c r="V268" t="inlineStr">
        <is>
          <t>1996-04-25</t>
        </is>
      </c>
      <c r="W268" t="inlineStr">
        <is>
          <t>1995-01-23</t>
        </is>
      </c>
      <c r="X268" t="inlineStr">
        <is>
          <t>1995-01-23</t>
        </is>
      </c>
      <c r="Y268" t="n">
        <v>576</v>
      </c>
      <c r="Z268" t="n">
        <v>492</v>
      </c>
      <c r="AA268" t="n">
        <v>494</v>
      </c>
      <c r="AB268" t="n">
        <v>3</v>
      </c>
      <c r="AC268" t="n">
        <v>3</v>
      </c>
      <c r="AD268" t="n">
        <v>19</v>
      </c>
      <c r="AE268" t="n">
        <v>19</v>
      </c>
      <c r="AF268" t="n">
        <v>6</v>
      </c>
      <c r="AG268" t="n">
        <v>6</v>
      </c>
      <c r="AH268" t="n">
        <v>4</v>
      </c>
      <c r="AI268" t="n">
        <v>4</v>
      </c>
      <c r="AJ268" t="n">
        <v>10</v>
      </c>
      <c r="AK268" t="n">
        <v>10</v>
      </c>
      <c r="AL268" t="n">
        <v>2</v>
      </c>
      <c r="AM268" t="n">
        <v>2</v>
      </c>
      <c r="AN268" t="n">
        <v>1</v>
      </c>
      <c r="AO268" t="n">
        <v>1</v>
      </c>
      <c r="AP268" t="inlineStr">
        <is>
          <t>No</t>
        </is>
      </c>
      <c r="AQ268" t="inlineStr">
        <is>
          <t>Yes</t>
        </is>
      </c>
      <c r="AR268">
        <f>HYPERLINK("http://catalog.hathitrust.org/Record/002932823","HathiTrust Record")</f>
        <v/>
      </c>
      <c r="AS268">
        <f>HYPERLINK("https://creighton-primo.hosted.exlibrisgroup.com/primo-explore/search?tab=default_tab&amp;search_scope=EVERYTHING&amp;vid=01CRU&amp;lang=en_US&amp;offset=0&amp;query=any,contains,991002381209702656","Catalog Record")</f>
        <v/>
      </c>
      <c r="AT268">
        <f>HYPERLINK("http://www.worldcat.org/oclc/30953692","WorldCat Record")</f>
        <v/>
      </c>
      <c r="AU268" t="inlineStr">
        <is>
          <t>32621330:eng</t>
        </is>
      </c>
      <c r="AV268" t="inlineStr">
        <is>
          <t>30953692</t>
        </is>
      </c>
      <c r="AW268" t="inlineStr">
        <is>
          <t>991002381209702656</t>
        </is>
      </c>
      <c r="AX268" t="inlineStr">
        <is>
          <t>991002381209702656</t>
        </is>
      </c>
      <c r="AY268" t="inlineStr">
        <is>
          <t>2261743550002656</t>
        </is>
      </c>
      <c r="AZ268" t="inlineStr">
        <is>
          <t>BOOK</t>
        </is>
      </c>
      <c r="BB268" t="inlineStr">
        <is>
          <t>9781878071217</t>
        </is>
      </c>
      <c r="BC268" t="inlineStr">
        <is>
          <t>32285000616572</t>
        </is>
      </c>
      <c r="BD268" t="inlineStr">
        <is>
          <t>893517218</t>
        </is>
      </c>
    </row>
    <row r="269">
      <c r="A269" t="inlineStr">
        <is>
          <t>No</t>
        </is>
      </c>
      <c r="B269" t="inlineStr">
        <is>
          <t>GC1020 .H45 2001</t>
        </is>
      </c>
      <c r="C269" t="inlineStr">
        <is>
          <t>0                      GC 1020000H  45          2001</t>
        </is>
      </c>
      <c r="D269" t="inlineStr">
        <is>
          <t>Blue frontier : saving America's living seas / David Helvard.</t>
        </is>
      </c>
      <c r="F269" t="inlineStr">
        <is>
          <t>No</t>
        </is>
      </c>
      <c r="G269" t="inlineStr">
        <is>
          <t>1</t>
        </is>
      </c>
      <c r="H269" t="inlineStr">
        <is>
          <t>No</t>
        </is>
      </c>
      <c r="I269" t="inlineStr">
        <is>
          <t>No</t>
        </is>
      </c>
      <c r="J269" t="inlineStr">
        <is>
          <t>0</t>
        </is>
      </c>
      <c r="K269" t="inlineStr">
        <is>
          <t>Helvarg, David, 1951-</t>
        </is>
      </c>
      <c r="L269" t="inlineStr">
        <is>
          <t>New York : W.H. Freeman, 2001.</t>
        </is>
      </c>
      <c r="M269" t="inlineStr">
        <is>
          <t>2001</t>
        </is>
      </c>
      <c r="O269" t="inlineStr">
        <is>
          <t>eng</t>
        </is>
      </c>
      <c r="P269" t="inlineStr">
        <is>
          <t>nyu</t>
        </is>
      </c>
      <c r="R269" t="inlineStr">
        <is>
          <t xml:space="preserve">GC </t>
        </is>
      </c>
      <c r="S269" t="n">
        <v>2</v>
      </c>
      <c r="T269" t="n">
        <v>2</v>
      </c>
      <c r="U269" t="inlineStr">
        <is>
          <t>2005-11-22</t>
        </is>
      </c>
      <c r="V269" t="inlineStr">
        <is>
          <t>2005-11-22</t>
        </is>
      </c>
      <c r="W269" t="inlineStr">
        <is>
          <t>2001-09-25</t>
        </is>
      </c>
      <c r="X269" t="inlineStr">
        <is>
          <t>2001-09-25</t>
        </is>
      </c>
      <c r="Y269" t="n">
        <v>681</v>
      </c>
      <c r="Z269" t="n">
        <v>645</v>
      </c>
      <c r="AA269" t="n">
        <v>668</v>
      </c>
      <c r="AB269" t="n">
        <v>2</v>
      </c>
      <c r="AC269" t="n">
        <v>2</v>
      </c>
      <c r="AD269" t="n">
        <v>15</v>
      </c>
      <c r="AE269" t="n">
        <v>15</v>
      </c>
      <c r="AF269" t="n">
        <v>9</v>
      </c>
      <c r="AG269" t="n">
        <v>9</v>
      </c>
      <c r="AH269" t="n">
        <v>4</v>
      </c>
      <c r="AI269" t="n">
        <v>4</v>
      </c>
      <c r="AJ269" t="n">
        <v>5</v>
      </c>
      <c r="AK269" t="n">
        <v>5</v>
      </c>
      <c r="AL269" t="n">
        <v>1</v>
      </c>
      <c r="AM269" t="n">
        <v>1</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HYPERLINK("https://creighton-primo.hosted.exlibrisgroup.com/primo-explore/search?tab=default_tab&amp;search_scope=EVERYTHING&amp;vid=01CRU&amp;lang=en_US&amp;offset=0&amp;query=any,contains,991003617149702656","Catalog Record")</f>
        <v/>
      </c>
      <c r="AT269">
        <f>HYPERLINK("http://www.worldcat.org/oclc/44818591","WorldCat Record")</f>
        <v/>
      </c>
      <c r="AU269" t="inlineStr">
        <is>
          <t>4241404550:eng</t>
        </is>
      </c>
      <c r="AV269" t="inlineStr">
        <is>
          <t>44818591</t>
        </is>
      </c>
      <c r="AW269" t="inlineStr">
        <is>
          <t>991003617149702656</t>
        </is>
      </c>
      <c r="AX269" t="inlineStr">
        <is>
          <t>991003617149702656</t>
        </is>
      </c>
      <c r="AY269" t="inlineStr">
        <is>
          <t>2254785000002656</t>
        </is>
      </c>
      <c r="AZ269" t="inlineStr">
        <is>
          <t>BOOK</t>
        </is>
      </c>
      <c r="BB269" t="inlineStr">
        <is>
          <t>9780716737155</t>
        </is>
      </c>
      <c r="BC269" t="inlineStr">
        <is>
          <t>32285004392899</t>
        </is>
      </c>
      <c r="BD269" t="inlineStr">
        <is>
          <t>893422757</t>
        </is>
      </c>
    </row>
    <row r="270">
      <c r="A270" t="inlineStr">
        <is>
          <t>No</t>
        </is>
      </c>
      <c r="B270" t="inlineStr">
        <is>
          <t>GC1080 .O36</t>
        </is>
      </c>
      <c r="C270" t="inlineStr">
        <is>
          <t>0                      GC 1080000O  36</t>
        </is>
      </c>
      <c r="D270" t="inlineStr">
        <is>
          <t>Oil on the sea : proceedings of a symposium on the scientific and engineering aspects of oil pollution of the sea / edited by David P. Hoult.</t>
        </is>
      </c>
      <c r="F270" t="inlineStr">
        <is>
          <t>No</t>
        </is>
      </c>
      <c r="G270" t="inlineStr">
        <is>
          <t>1</t>
        </is>
      </c>
      <c r="H270" t="inlineStr">
        <is>
          <t>No</t>
        </is>
      </c>
      <c r="I270" t="inlineStr">
        <is>
          <t>No</t>
        </is>
      </c>
      <c r="J270" t="inlineStr">
        <is>
          <t>0</t>
        </is>
      </c>
      <c r="L270" t="inlineStr">
        <is>
          <t>New York : Plenum Press, 1969.</t>
        </is>
      </c>
      <c r="M270" t="inlineStr">
        <is>
          <t>1969</t>
        </is>
      </c>
      <c r="O270" t="inlineStr">
        <is>
          <t>eng</t>
        </is>
      </c>
      <c r="P270" t="inlineStr">
        <is>
          <t>nyu</t>
        </is>
      </c>
      <c r="Q270" t="inlineStr">
        <is>
          <t>Ocean technology</t>
        </is>
      </c>
      <c r="R270" t="inlineStr">
        <is>
          <t xml:space="preserve">GC </t>
        </is>
      </c>
      <c r="S270" t="n">
        <v>10</v>
      </c>
      <c r="T270" t="n">
        <v>10</v>
      </c>
      <c r="U270" t="inlineStr">
        <is>
          <t>2005-11-22</t>
        </is>
      </c>
      <c r="V270" t="inlineStr">
        <is>
          <t>2005-11-22</t>
        </is>
      </c>
      <c r="W270" t="inlineStr">
        <is>
          <t>1992-12-11</t>
        </is>
      </c>
      <c r="X270" t="inlineStr">
        <is>
          <t>1992-12-11</t>
        </is>
      </c>
      <c r="Y270" t="n">
        <v>630</v>
      </c>
      <c r="Z270" t="n">
        <v>527</v>
      </c>
      <c r="AA270" t="n">
        <v>541</v>
      </c>
      <c r="AB270" t="n">
        <v>3</v>
      </c>
      <c r="AC270" t="n">
        <v>3</v>
      </c>
      <c r="AD270" t="n">
        <v>15</v>
      </c>
      <c r="AE270" t="n">
        <v>15</v>
      </c>
      <c r="AF270" t="n">
        <v>5</v>
      </c>
      <c r="AG270" t="n">
        <v>5</v>
      </c>
      <c r="AH270" t="n">
        <v>3</v>
      </c>
      <c r="AI270" t="n">
        <v>3</v>
      </c>
      <c r="AJ270" t="n">
        <v>6</v>
      </c>
      <c r="AK270" t="n">
        <v>6</v>
      </c>
      <c r="AL270" t="n">
        <v>2</v>
      </c>
      <c r="AM270" t="n">
        <v>2</v>
      </c>
      <c r="AN270" t="n">
        <v>2</v>
      </c>
      <c r="AO270" t="n">
        <v>2</v>
      </c>
      <c r="AP270" t="inlineStr">
        <is>
          <t>No</t>
        </is>
      </c>
      <c r="AQ270" t="inlineStr">
        <is>
          <t>Yes</t>
        </is>
      </c>
      <c r="AR270">
        <f>HYPERLINK("http://catalog.hathitrust.org/Record/001273685","HathiTrust Record")</f>
        <v/>
      </c>
      <c r="AS270">
        <f>HYPERLINK("https://creighton-primo.hosted.exlibrisgroup.com/primo-explore/search?tab=default_tab&amp;search_scope=EVERYTHING&amp;vid=01CRU&amp;lang=en_US&amp;offset=0&amp;query=any,contains,991000373749702656","Catalog Record")</f>
        <v/>
      </c>
      <c r="AT270">
        <f>HYPERLINK("http://www.worldcat.org/oclc/71619","WorldCat Record")</f>
        <v/>
      </c>
      <c r="AU270" t="inlineStr">
        <is>
          <t>8912356895:eng</t>
        </is>
      </c>
      <c r="AV270" t="inlineStr">
        <is>
          <t>71619</t>
        </is>
      </c>
      <c r="AW270" t="inlineStr">
        <is>
          <t>991000373749702656</t>
        </is>
      </c>
      <c r="AX270" t="inlineStr">
        <is>
          <t>991000373749702656</t>
        </is>
      </c>
      <c r="AY270" t="inlineStr">
        <is>
          <t>2270934430002656</t>
        </is>
      </c>
      <c r="AZ270" t="inlineStr">
        <is>
          <t>BOOK</t>
        </is>
      </c>
      <c r="BC270" t="inlineStr">
        <is>
          <t>32285001440949</t>
        </is>
      </c>
      <c r="BD270" t="inlineStr">
        <is>
          <t>893407121</t>
        </is>
      </c>
    </row>
    <row r="271">
      <c r="A271" t="inlineStr">
        <is>
          <t>No</t>
        </is>
      </c>
      <c r="B271" t="inlineStr">
        <is>
          <t>GC1085 .C5 1992</t>
        </is>
      </c>
      <c r="C271" t="inlineStr">
        <is>
          <t>0                      GC 1085000C  5           1992</t>
        </is>
      </c>
      <c r="D271" t="inlineStr">
        <is>
          <t>Marine pollution / R.B. Clark.</t>
        </is>
      </c>
      <c r="F271" t="inlineStr">
        <is>
          <t>No</t>
        </is>
      </c>
      <c r="G271" t="inlineStr">
        <is>
          <t>1</t>
        </is>
      </c>
      <c r="H271" t="inlineStr">
        <is>
          <t>No</t>
        </is>
      </c>
      <c r="I271" t="inlineStr">
        <is>
          <t>No</t>
        </is>
      </c>
      <c r="J271" t="inlineStr">
        <is>
          <t>0</t>
        </is>
      </c>
      <c r="K271" t="inlineStr">
        <is>
          <t>Clark, R. B. (Robert Bernard), 1923-</t>
        </is>
      </c>
      <c r="L271" t="inlineStr">
        <is>
          <t>Oxford [England] ; New York : Oxford University Press, 1992.</t>
        </is>
      </c>
      <c r="M271" t="inlineStr">
        <is>
          <t>1992</t>
        </is>
      </c>
      <c r="N271" t="inlineStr">
        <is>
          <t>3rd ed.</t>
        </is>
      </c>
      <c r="O271" t="inlineStr">
        <is>
          <t>eng</t>
        </is>
      </c>
      <c r="P271" t="inlineStr">
        <is>
          <t>enk</t>
        </is>
      </c>
      <c r="R271" t="inlineStr">
        <is>
          <t xml:space="preserve">GC </t>
        </is>
      </c>
      <c r="S271" t="n">
        <v>22</v>
      </c>
      <c r="T271" t="n">
        <v>22</v>
      </c>
      <c r="U271" t="inlineStr">
        <is>
          <t>2009-02-03</t>
        </is>
      </c>
      <c r="V271" t="inlineStr">
        <is>
          <t>2009-02-03</t>
        </is>
      </c>
      <c r="W271" t="inlineStr">
        <is>
          <t>1994-07-25</t>
        </is>
      </c>
      <c r="X271" t="inlineStr">
        <is>
          <t>1994-07-25</t>
        </is>
      </c>
      <c r="Y271" t="n">
        <v>323</v>
      </c>
      <c r="Z271" t="n">
        <v>186</v>
      </c>
      <c r="AA271" t="n">
        <v>589</v>
      </c>
      <c r="AB271" t="n">
        <v>2</v>
      </c>
      <c r="AC271" t="n">
        <v>3</v>
      </c>
      <c r="AD271" t="n">
        <v>6</v>
      </c>
      <c r="AE271" t="n">
        <v>16</v>
      </c>
      <c r="AF271" t="n">
        <v>2</v>
      </c>
      <c r="AG271" t="n">
        <v>7</v>
      </c>
      <c r="AH271" t="n">
        <v>2</v>
      </c>
      <c r="AI271" t="n">
        <v>3</v>
      </c>
      <c r="AJ271" t="n">
        <v>3</v>
      </c>
      <c r="AK271" t="n">
        <v>7</v>
      </c>
      <c r="AL271" t="n">
        <v>1</v>
      </c>
      <c r="AM271" t="n">
        <v>2</v>
      </c>
      <c r="AN271" t="n">
        <v>0</v>
      </c>
      <c r="AO271" t="n">
        <v>2</v>
      </c>
      <c r="AP271" t="inlineStr">
        <is>
          <t>No</t>
        </is>
      </c>
      <c r="AQ271" t="inlineStr">
        <is>
          <t>Yes</t>
        </is>
      </c>
      <c r="AR271">
        <f>HYPERLINK("http://catalog.hathitrust.org/Record/002584263","HathiTrust Record")</f>
        <v/>
      </c>
      <c r="AS271">
        <f>HYPERLINK("https://creighton-primo.hosted.exlibrisgroup.com/primo-explore/search?tab=default_tab&amp;search_scope=EVERYTHING&amp;vid=01CRU&amp;lang=en_US&amp;offset=0&amp;query=any,contains,991001954319702656","Catalog Record")</f>
        <v/>
      </c>
      <c r="AT271">
        <f>HYPERLINK("http://www.worldcat.org/oclc/24700576","WorldCat Record")</f>
        <v/>
      </c>
      <c r="AU271" t="inlineStr">
        <is>
          <t>599169:eng</t>
        </is>
      </c>
      <c r="AV271" t="inlineStr">
        <is>
          <t>24700576</t>
        </is>
      </c>
      <c r="AW271" t="inlineStr">
        <is>
          <t>991001954319702656</t>
        </is>
      </c>
      <c r="AX271" t="inlineStr">
        <is>
          <t>991001954319702656</t>
        </is>
      </c>
      <c r="AY271" t="inlineStr">
        <is>
          <t>2270674580002656</t>
        </is>
      </c>
      <c r="AZ271" t="inlineStr">
        <is>
          <t>BOOK</t>
        </is>
      </c>
      <c r="BB271" t="inlineStr">
        <is>
          <t>9780198546856</t>
        </is>
      </c>
      <c r="BC271" t="inlineStr">
        <is>
          <t>32285001932887</t>
        </is>
      </c>
      <c r="BD271" t="inlineStr">
        <is>
          <t>893684793</t>
        </is>
      </c>
    </row>
    <row r="272">
      <c r="A272" t="inlineStr">
        <is>
          <t>No</t>
        </is>
      </c>
      <c r="B272" t="inlineStr">
        <is>
          <t>GC1085 .G67 1993</t>
        </is>
      </c>
      <c r="C272" t="inlineStr">
        <is>
          <t>0                      GC 1085000G  67          1993</t>
        </is>
      </c>
      <c r="D272" t="inlineStr">
        <is>
          <t>Environmental hazards : marine pollution ; a reference handbook / Martha Gorman.</t>
        </is>
      </c>
      <c r="F272" t="inlineStr">
        <is>
          <t>No</t>
        </is>
      </c>
      <c r="G272" t="inlineStr">
        <is>
          <t>1</t>
        </is>
      </c>
      <c r="H272" t="inlineStr">
        <is>
          <t>No</t>
        </is>
      </c>
      <c r="I272" t="inlineStr">
        <is>
          <t>No</t>
        </is>
      </c>
      <c r="J272" t="inlineStr">
        <is>
          <t>0</t>
        </is>
      </c>
      <c r="K272" t="inlineStr">
        <is>
          <t>Gorman, Martha, 1952-</t>
        </is>
      </c>
      <c r="L272" t="inlineStr">
        <is>
          <t>Santa Barbara, Calif. : ABC-CLIO, 1993.</t>
        </is>
      </c>
      <c r="M272" t="inlineStr">
        <is>
          <t>1993</t>
        </is>
      </c>
      <c r="O272" t="inlineStr">
        <is>
          <t>eng</t>
        </is>
      </c>
      <c r="P272" t="inlineStr">
        <is>
          <t>cau</t>
        </is>
      </c>
      <c r="Q272" t="inlineStr">
        <is>
          <t>Contemporary world issues</t>
        </is>
      </c>
      <c r="R272" t="inlineStr">
        <is>
          <t xml:space="preserve">GC </t>
        </is>
      </c>
      <c r="S272" t="n">
        <v>3</v>
      </c>
      <c r="T272" t="n">
        <v>3</v>
      </c>
      <c r="U272" t="inlineStr">
        <is>
          <t>2009-02-03</t>
        </is>
      </c>
      <c r="V272" t="inlineStr">
        <is>
          <t>2009-02-03</t>
        </is>
      </c>
      <c r="W272" t="inlineStr">
        <is>
          <t>1994-01-11</t>
        </is>
      </c>
      <c r="X272" t="inlineStr">
        <is>
          <t>1994-01-11</t>
        </is>
      </c>
      <c r="Y272" t="n">
        <v>721</v>
      </c>
      <c r="Z272" t="n">
        <v>652</v>
      </c>
      <c r="AA272" t="n">
        <v>1333</v>
      </c>
      <c r="AB272" t="n">
        <v>3</v>
      </c>
      <c r="AC272" t="n">
        <v>7</v>
      </c>
      <c r="AD272" t="n">
        <v>20</v>
      </c>
      <c r="AE272" t="n">
        <v>35</v>
      </c>
      <c r="AF272" t="n">
        <v>9</v>
      </c>
      <c r="AG272" t="n">
        <v>16</v>
      </c>
      <c r="AH272" t="n">
        <v>4</v>
      </c>
      <c r="AI272" t="n">
        <v>8</v>
      </c>
      <c r="AJ272" t="n">
        <v>7</v>
      </c>
      <c r="AK272" t="n">
        <v>14</v>
      </c>
      <c r="AL272" t="n">
        <v>2</v>
      </c>
      <c r="AM272" t="n">
        <v>5</v>
      </c>
      <c r="AN272" t="n">
        <v>2</v>
      </c>
      <c r="AO272" t="n">
        <v>2</v>
      </c>
      <c r="AP272" t="inlineStr">
        <is>
          <t>No</t>
        </is>
      </c>
      <c r="AQ272" t="inlineStr">
        <is>
          <t>Yes</t>
        </is>
      </c>
      <c r="AR272">
        <f>HYPERLINK("http://catalog.hathitrust.org/Record/002786432","HathiTrust Record")</f>
        <v/>
      </c>
      <c r="AS272">
        <f>HYPERLINK("https://creighton-primo.hosted.exlibrisgroup.com/primo-explore/search?tab=default_tab&amp;search_scope=EVERYTHING&amp;vid=01CRU&amp;lang=en_US&amp;offset=0&amp;query=any,contains,991002525059702656","Catalog Record")</f>
        <v/>
      </c>
      <c r="AT272">
        <f>HYPERLINK("http://www.worldcat.org/oclc/29218818","WorldCat Record")</f>
        <v/>
      </c>
      <c r="AU272" t="inlineStr">
        <is>
          <t>799649851:eng</t>
        </is>
      </c>
      <c r="AV272" t="inlineStr">
        <is>
          <t>29218818</t>
        </is>
      </c>
      <c r="AW272" t="inlineStr">
        <is>
          <t>991002525059702656</t>
        </is>
      </c>
      <c r="AX272" t="inlineStr">
        <is>
          <t>991002525059702656</t>
        </is>
      </c>
      <c r="AY272" t="inlineStr">
        <is>
          <t>2258443390002656</t>
        </is>
      </c>
      <c r="AZ272" t="inlineStr">
        <is>
          <t>BOOK</t>
        </is>
      </c>
      <c r="BB272" t="inlineStr">
        <is>
          <t>9780874366419</t>
        </is>
      </c>
      <c r="BC272" t="inlineStr">
        <is>
          <t>32285001804193</t>
        </is>
      </c>
      <c r="BD272" t="inlineStr">
        <is>
          <t>893257413</t>
        </is>
      </c>
    </row>
    <row r="273">
      <c r="A273" t="inlineStr">
        <is>
          <t>No</t>
        </is>
      </c>
      <c r="B273" t="inlineStr">
        <is>
          <t>GC1085 .H66</t>
        </is>
      </c>
      <c r="C273" t="inlineStr">
        <is>
          <t>0                      GC 1085000H  66</t>
        </is>
      </c>
      <c r="D273" t="inlineStr">
        <is>
          <t>Impingement of man on the oceans / edited by Donald W. Hood.</t>
        </is>
      </c>
      <c r="F273" t="inlineStr">
        <is>
          <t>No</t>
        </is>
      </c>
      <c r="G273" t="inlineStr">
        <is>
          <t>1</t>
        </is>
      </c>
      <c r="H273" t="inlineStr">
        <is>
          <t>No</t>
        </is>
      </c>
      <c r="I273" t="inlineStr">
        <is>
          <t>No</t>
        </is>
      </c>
      <c r="J273" t="inlineStr">
        <is>
          <t>0</t>
        </is>
      </c>
      <c r="K273" t="inlineStr">
        <is>
          <t>Hood, D. W. (Donald Wilbur), 1918-</t>
        </is>
      </c>
      <c r="L273" t="inlineStr">
        <is>
          <t>New York : Wiley-Interscience, [1971]</t>
        </is>
      </c>
      <c r="M273" t="inlineStr">
        <is>
          <t>1971</t>
        </is>
      </c>
      <c r="O273" t="inlineStr">
        <is>
          <t>eng</t>
        </is>
      </c>
      <c r="P273" t="inlineStr">
        <is>
          <t>nyu</t>
        </is>
      </c>
      <c r="R273" t="inlineStr">
        <is>
          <t xml:space="preserve">GC </t>
        </is>
      </c>
      <c r="S273" t="n">
        <v>9</v>
      </c>
      <c r="T273" t="n">
        <v>9</v>
      </c>
      <c r="U273" t="inlineStr">
        <is>
          <t>2009-02-03</t>
        </is>
      </c>
      <c r="V273" t="inlineStr">
        <is>
          <t>2009-02-03</t>
        </is>
      </c>
      <c r="W273" t="inlineStr">
        <is>
          <t>1992-04-02</t>
        </is>
      </c>
      <c r="X273" t="inlineStr">
        <is>
          <t>1992-04-02</t>
        </is>
      </c>
      <c r="Y273" t="n">
        <v>650</v>
      </c>
      <c r="Z273" t="n">
        <v>499</v>
      </c>
      <c r="AA273" t="n">
        <v>505</v>
      </c>
      <c r="AB273" t="n">
        <v>6</v>
      </c>
      <c r="AC273" t="n">
        <v>6</v>
      </c>
      <c r="AD273" t="n">
        <v>20</v>
      </c>
      <c r="AE273" t="n">
        <v>20</v>
      </c>
      <c r="AF273" t="n">
        <v>6</v>
      </c>
      <c r="AG273" t="n">
        <v>6</v>
      </c>
      <c r="AH273" t="n">
        <v>3</v>
      </c>
      <c r="AI273" t="n">
        <v>3</v>
      </c>
      <c r="AJ273" t="n">
        <v>9</v>
      </c>
      <c r="AK273" t="n">
        <v>9</v>
      </c>
      <c r="AL273" t="n">
        <v>5</v>
      </c>
      <c r="AM273" t="n">
        <v>5</v>
      </c>
      <c r="AN273" t="n">
        <v>0</v>
      </c>
      <c r="AO273" t="n">
        <v>0</v>
      </c>
      <c r="AP273" t="inlineStr">
        <is>
          <t>No</t>
        </is>
      </c>
      <c r="AQ273" t="inlineStr">
        <is>
          <t>Yes</t>
        </is>
      </c>
      <c r="AR273">
        <f>HYPERLINK("http://catalog.hathitrust.org/Record/001273688","HathiTrust Record")</f>
        <v/>
      </c>
      <c r="AS273">
        <f>HYPERLINK("https://creighton-primo.hosted.exlibrisgroup.com/primo-explore/search?tab=default_tab&amp;search_scope=EVERYTHING&amp;vid=01CRU&amp;lang=en_US&amp;offset=0&amp;query=any,contains,991001047839702656","Catalog Record")</f>
        <v/>
      </c>
      <c r="AT273">
        <f>HYPERLINK("http://www.worldcat.org/oclc/176609","WorldCat Record")</f>
        <v/>
      </c>
      <c r="AU273" t="inlineStr">
        <is>
          <t>1311767:eng</t>
        </is>
      </c>
      <c r="AV273" t="inlineStr">
        <is>
          <t>176609</t>
        </is>
      </c>
      <c r="AW273" t="inlineStr">
        <is>
          <t>991001047839702656</t>
        </is>
      </c>
      <c r="AX273" t="inlineStr">
        <is>
          <t>991001047839702656</t>
        </is>
      </c>
      <c r="AY273" t="inlineStr">
        <is>
          <t>2267935330002656</t>
        </is>
      </c>
      <c r="AZ273" t="inlineStr">
        <is>
          <t>BOOK</t>
        </is>
      </c>
      <c r="BB273" t="inlineStr">
        <is>
          <t>9780471408703</t>
        </is>
      </c>
      <c r="BC273" t="inlineStr">
        <is>
          <t>32285001032886</t>
        </is>
      </c>
      <c r="BD273" t="inlineStr">
        <is>
          <t>893420011</t>
        </is>
      </c>
    </row>
    <row r="274">
      <c r="A274" t="inlineStr">
        <is>
          <t>No</t>
        </is>
      </c>
      <c r="B274" t="inlineStr">
        <is>
          <t>GC11 .K5</t>
        </is>
      </c>
      <c r="C274" t="inlineStr">
        <is>
          <t>0                      GC 0011000K  5</t>
        </is>
      </c>
      <c r="D274" t="inlineStr">
        <is>
          <t>An introduction to oceanography.</t>
        </is>
      </c>
      <c r="F274" t="inlineStr">
        <is>
          <t>No</t>
        </is>
      </c>
      <c r="G274" t="inlineStr">
        <is>
          <t>1</t>
        </is>
      </c>
      <c r="H274" t="inlineStr">
        <is>
          <t>No</t>
        </is>
      </c>
      <c r="I274" t="inlineStr">
        <is>
          <t>No</t>
        </is>
      </c>
      <c r="J274" t="inlineStr">
        <is>
          <t>0</t>
        </is>
      </c>
      <c r="K274" t="inlineStr">
        <is>
          <t>King, Cuchlaine A. M.</t>
        </is>
      </c>
      <c r="L274" t="inlineStr">
        <is>
          <t>New York : McGraw-Hill, 1966 [c1962]</t>
        </is>
      </c>
      <c r="M274" t="inlineStr">
        <is>
          <t>1966</t>
        </is>
      </c>
      <c r="O274" t="inlineStr">
        <is>
          <t>eng</t>
        </is>
      </c>
      <c r="P274" t="inlineStr">
        <is>
          <t xml:space="preserve">xx </t>
        </is>
      </c>
      <c r="R274" t="inlineStr">
        <is>
          <t xml:space="preserve">GC </t>
        </is>
      </c>
      <c r="S274" t="n">
        <v>3</v>
      </c>
      <c r="T274" t="n">
        <v>3</v>
      </c>
      <c r="U274" t="inlineStr">
        <is>
          <t>1998-11-29</t>
        </is>
      </c>
      <c r="V274" t="inlineStr">
        <is>
          <t>1998-11-29</t>
        </is>
      </c>
      <c r="W274" t="inlineStr">
        <is>
          <t>1993-01-15</t>
        </is>
      </c>
      <c r="X274" t="inlineStr">
        <is>
          <t>1993-01-15</t>
        </is>
      </c>
      <c r="Y274" t="n">
        <v>55</v>
      </c>
      <c r="Z274" t="n">
        <v>48</v>
      </c>
      <c r="AA274" t="n">
        <v>481</v>
      </c>
      <c r="AB274" t="n">
        <v>1</v>
      </c>
      <c r="AC274" t="n">
        <v>3</v>
      </c>
      <c r="AD274" t="n">
        <v>2</v>
      </c>
      <c r="AE274" t="n">
        <v>13</v>
      </c>
      <c r="AF274" t="n">
        <v>0</v>
      </c>
      <c r="AG274" t="n">
        <v>5</v>
      </c>
      <c r="AH274" t="n">
        <v>0</v>
      </c>
      <c r="AI274" t="n">
        <v>3</v>
      </c>
      <c r="AJ274" t="n">
        <v>2</v>
      </c>
      <c r="AK274" t="n">
        <v>5</v>
      </c>
      <c r="AL274" t="n">
        <v>0</v>
      </c>
      <c r="AM274" t="n">
        <v>2</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HYPERLINK("https://creighton-primo.hosted.exlibrisgroup.com/primo-explore/search?tab=default_tab&amp;search_scope=EVERYTHING&amp;vid=01CRU&amp;lang=en_US&amp;offset=0&amp;query=any,contains,991002856199702656","Catalog Record")</f>
        <v/>
      </c>
      <c r="AT274">
        <f>HYPERLINK("http://www.worldcat.org/oclc/489990","WorldCat Record")</f>
        <v/>
      </c>
      <c r="AU274" t="inlineStr">
        <is>
          <t>3372806512:eng</t>
        </is>
      </c>
      <c r="AV274" t="inlineStr">
        <is>
          <t>489990</t>
        </is>
      </c>
      <c r="AW274" t="inlineStr">
        <is>
          <t>991002856199702656</t>
        </is>
      </c>
      <c r="AX274" t="inlineStr">
        <is>
          <t>991002856199702656</t>
        </is>
      </c>
      <c r="AY274" t="inlineStr">
        <is>
          <t>2255649370002656</t>
        </is>
      </c>
      <c r="AZ274" t="inlineStr">
        <is>
          <t>BOOK</t>
        </is>
      </c>
      <c r="BC274" t="inlineStr">
        <is>
          <t>32285001475150</t>
        </is>
      </c>
      <c r="BD274" t="inlineStr">
        <is>
          <t>893685866</t>
        </is>
      </c>
    </row>
    <row r="275">
      <c r="A275" t="inlineStr">
        <is>
          <t>No</t>
        </is>
      </c>
      <c r="B275" t="inlineStr">
        <is>
          <t>GC11 .S4 v. 15</t>
        </is>
      </c>
      <c r="C275" t="inlineStr">
        <is>
          <t>0                      GC 0011000S  4                                                       v. 15</t>
        </is>
      </c>
      <c r="D275" t="inlineStr">
        <is>
          <t>Tsunamis / edited by Eddie N. Bernard and Allan R. Robinson.</t>
        </is>
      </c>
      <c r="E275" t="inlineStr">
        <is>
          <t>V. 15</t>
        </is>
      </c>
      <c r="F275" t="inlineStr">
        <is>
          <t>No</t>
        </is>
      </c>
      <c r="G275" t="inlineStr">
        <is>
          <t>1</t>
        </is>
      </c>
      <c r="H275" t="inlineStr">
        <is>
          <t>No</t>
        </is>
      </c>
      <c r="I275" t="inlineStr">
        <is>
          <t>No</t>
        </is>
      </c>
      <c r="J275" t="inlineStr">
        <is>
          <t>0</t>
        </is>
      </c>
      <c r="L275" t="inlineStr">
        <is>
          <t>Cambridge, MA : Harvard University Press, 2009.</t>
        </is>
      </c>
      <c r="M275" t="inlineStr">
        <is>
          <t>2009</t>
        </is>
      </c>
      <c r="N275" t="inlineStr">
        <is>
          <t>1st ed.</t>
        </is>
      </c>
      <c r="O275" t="inlineStr">
        <is>
          <t>eng</t>
        </is>
      </c>
      <c r="P275" t="inlineStr">
        <is>
          <t>mau</t>
        </is>
      </c>
      <c r="Q275" t="inlineStr">
        <is>
          <t>The sea, ideas and observations on progress in the study of the seas ; v. 15</t>
        </is>
      </c>
      <c r="R275" t="inlineStr">
        <is>
          <t xml:space="preserve">GC </t>
        </is>
      </c>
      <c r="S275" t="n">
        <v>1</v>
      </c>
      <c r="T275" t="n">
        <v>1</v>
      </c>
      <c r="U275" t="inlineStr">
        <is>
          <t>2009-03-25</t>
        </is>
      </c>
      <c r="V275" t="inlineStr">
        <is>
          <t>2009-03-25</t>
        </is>
      </c>
      <c r="W275" t="inlineStr">
        <is>
          <t>2009-03-25</t>
        </is>
      </c>
      <c r="X275" t="inlineStr">
        <is>
          <t>2009-03-25</t>
        </is>
      </c>
      <c r="Y275" t="n">
        <v>209</v>
      </c>
      <c r="Z275" t="n">
        <v>160</v>
      </c>
      <c r="AA275" t="n">
        <v>161</v>
      </c>
      <c r="AB275" t="n">
        <v>1</v>
      </c>
      <c r="AC275" t="n">
        <v>1</v>
      </c>
      <c r="AD275" t="n">
        <v>7</v>
      </c>
      <c r="AE275" t="n">
        <v>7</v>
      </c>
      <c r="AF275" t="n">
        <v>4</v>
      </c>
      <c r="AG275" t="n">
        <v>4</v>
      </c>
      <c r="AH275" t="n">
        <v>2</v>
      </c>
      <c r="AI275" t="n">
        <v>2</v>
      </c>
      <c r="AJ275" t="n">
        <v>3</v>
      </c>
      <c r="AK275" t="n">
        <v>3</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HYPERLINK("https://creighton-primo.hosted.exlibrisgroup.com/primo-explore/search?tab=default_tab&amp;search_scope=EVERYTHING&amp;vid=01CRU&amp;lang=en_US&amp;offset=0&amp;query=any,contains,991005299569702656","Catalog Record")</f>
        <v/>
      </c>
      <c r="AT275">
        <f>HYPERLINK("http://www.worldcat.org/oclc/225874241","WorldCat Record")</f>
        <v/>
      </c>
      <c r="AU275" t="inlineStr">
        <is>
          <t>351863366:eng</t>
        </is>
      </c>
      <c r="AV275" t="inlineStr">
        <is>
          <t>225874241</t>
        </is>
      </c>
      <c r="AW275" t="inlineStr">
        <is>
          <t>991005299569702656</t>
        </is>
      </c>
      <c r="AX275" t="inlineStr">
        <is>
          <t>991005299569702656</t>
        </is>
      </c>
      <c r="AY275" t="inlineStr">
        <is>
          <t>2267929690002656</t>
        </is>
      </c>
      <c r="AZ275" t="inlineStr">
        <is>
          <t>BOOK</t>
        </is>
      </c>
      <c r="BB275" t="inlineStr">
        <is>
          <t>9780674031739</t>
        </is>
      </c>
      <c r="BC275" t="inlineStr">
        <is>
          <t>32285005510085</t>
        </is>
      </c>
      <c r="BD275" t="inlineStr">
        <is>
          <t>893883643</t>
        </is>
      </c>
    </row>
    <row r="276">
      <c r="A276" t="inlineStr">
        <is>
          <t>No</t>
        </is>
      </c>
      <c r="B276" t="inlineStr">
        <is>
          <t>GC11 .S85</t>
        </is>
      </c>
      <c r="C276" t="inlineStr">
        <is>
          <t>0                      GC 0011000S  85</t>
        </is>
      </c>
      <c r="D276" t="inlineStr">
        <is>
          <t>The oceans : their physics, chemistry, and general biology / by H. U. Sverdrup, Martin W. Johnson and Richard H. Fleming.</t>
        </is>
      </c>
      <c r="F276" t="inlineStr">
        <is>
          <t>No</t>
        </is>
      </c>
      <c r="G276" t="inlineStr">
        <is>
          <t>1</t>
        </is>
      </c>
      <c r="H276" t="inlineStr">
        <is>
          <t>No</t>
        </is>
      </c>
      <c r="I276" t="inlineStr">
        <is>
          <t>No</t>
        </is>
      </c>
      <c r="J276" t="inlineStr">
        <is>
          <t>0</t>
        </is>
      </c>
      <c r="K276" t="inlineStr">
        <is>
          <t>Sverdrup, H. U. (Harald Ulrik), 1888-1957.</t>
        </is>
      </c>
      <c r="L276" t="inlineStr">
        <is>
          <t>New York : Prentice-Hall, inc., 1942.</t>
        </is>
      </c>
      <c r="M276" t="inlineStr">
        <is>
          <t>1942</t>
        </is>
      </c>
      <c r="O276" t="inlineStr">
        <is>
          <t>eng</t>
        </is>
      </c>
      <c r="P276" t="inlineStr">
        <is>
          <t>nyu</t>
        </is>
      </c>
      <c r="R276" t="inlineStr">
        <is>
          <t xml:space="preserve">GC </t>
        </is>
      </c>
      <c r="S276" t="n">
        <v>17</v>
      </c>
      <c r="T276" t="n">
        <v>17</v>
      </c>
      <c r="U276" t="inlineStr">
        <is>
          <t>1998-12-10</t>
        </is>
      </c>
      <c r="V276" t="inlineStr">
        <is>
          <t>1998-12-10</t>
        </is>
      </c>
      <c r="W276" t="inlineStr">
        <is>
          <t>1993-12-15</t>
        </is>
      </c>
      <c r="X276" t="inlineStr">
        <is>
          <t>1993-12-15</t>
        </is>
      </c>
      <c r="Y276" t="n">
        <v>972</v>
      </c>
      <c r="Z276" t="n">
        <v>796</v>
      </c>
      <c r="AA276" t="n">
        <v>897</v>
      </c>
      <c r="AB276" t="n">
        <v>6</v>
      </c>
      <c r="AC276" t="n">
        <v>6</v>
      </c>
      <c r="AD276" t="n">
        <v>29</v>
      </c>
      <c r="AE276" t="n">
        <v>31</v>
      </c>
      <c r="AF276" t="n">
        <v>13</v>
      </c>
      <c r="AG276" t="n">
        <v>14</v>
      </c>
      <c r="AH276" t="n">
        <v>4</v>
      </c>
      <c r="AI276" t="n">
        <v>4</v>
      </c>
      <c r="AJ276" t="n">
        <v>13</v>
      </c>
      <c r="AK276" t="n">
        <v>15</v>
      </c>
      <c r="AL276" t="n">
        <v>5</v>
      </c>
      <c r="AM276" t="n">
        <v>5</v>
      </c>
      <c r="AN276" t="n">
        <v>0</v>
      </c>
      <c r="AO276" t="n">
        <v>0</v>
      </c>
      <c r="AP276" t="inlineStr">
        <is>
          <t>No</t>
        </is>
      </c>
      <c r="AQ276" t="inlineStr">
        <is>
          <t>Yes</t>
        </is>
      </c>
      <c r="AR276">
        <f>HYPERLINK("http://catalog.hathitrust.org/Record/001273451","HathiTrust Record")</f>
        <v/>
      </c>
      <c r="AS276">
        <f>HYPERLINK("https://creighton-primo.hosted.exlibrisgroup.com/primo-explore/search?tab=default_tab&amp;search_scope=EVERYTHING&amp;vid=01CRU&amp;lang=en_US&amp;offset=0&amp;query=any,contains,991002856059702656","Catalog Record")</f>
        <v/>
      </c>
      <c r="AT276">
        <f>HYPERLINK("http://www.worldcat.org/oclc/489967","WorldCat Record")</f>
        <v/>
      </c>
      <c r="AU276" t="inlineStr">
        <is>
          <t>197064484:eng</t>
        </is>
      </c>
      <c r="AV276" t="inlineStr">
        <is>
          <t>489967</t>
        </is>
      </c>
      <c r="AW276" t="inlineStr">
        <is>
          <t>991002856059702656</t>
        </is>
      </c>
      <c r="AX276" t="inlineStr">
        <is>
          <t>991002856059702656</t>
        </is>
      </c>
      <c r="AY276" t="inlineStr">
        <is>
          <t>2255677700002656</t>
        </is>
      </c>
      <c r="AZ276" t="inlineStr">
        <is>
          <t>BOOK</t>
        </is>
      </c>
      <c r="BC276" t="inlineStr">
        <is>
          <t>32285004295357</t>
        </is>
      </c>
      <c r="BD276" t="inlineStr">
        <is>
          <t>893409634</t>
        </is>
      </c>
    </row>
    <row r="277">
      <c r="A277" t="inlineStr">
        <is>
          <t>No</t>
        </is>
      </c>
      <c r="B277" t="inlineStr">
        <is>
          <t>GC11 .W47</t>
        </is>
      </c>
      <c r="C277" t="inlineStr">
        <is>
          <t>0                      GC 0011000W  47</t>
        </is>
      </c>
      <c r="D277" t="inlineStr">
        <is>
          <t>Oceanography : an introduction to the marine environment / [by] Peter K. Weyl.</t>
        </is>
      </c>
      <c r="F277" t="inlineStr">
        <is>
          <t>No</t>
        </is>
      </c>
      <c r="G277" t="inlineStr">
        <is>
          <t>1</t>
        </is>
      </c>
      <c r="H277" t="inlineStr">
        <is>
          <t>No</t>
        </is>
      </c>
      <c r="I277" t="inlineStr">
        <is>
          <t>No</t>
        </is>
      </c>
      <c r="J277" t="inlineStr">
        <is>
          <t>0</t>
        </is>
      </c>
      <c r="K277" t="inlineStr">
        <is>
          <t>Weyl, Peter K., 1924-</t>
        </is>
      </c>
      <c r="L277" t="inlineStr">
        <is>
          <t>New York : Wiley, [1969, c1970]</t>
        </is>
      </c>
      <c r="M277" t="inlineStr">
        <is>
          <t>1969</t>
        </is>
      </c>
      <c r="O277" t="inlineStr">
        <is>
          <t>eng</t>
        </is>
      </c>
      <c r="P277" t="inlineStr">
        <is>
          <t>nyu</t>
        </is>
      </c>
      <c r="R277" t="inlineStr">
        <is>
          <t xml:space="preserve">GC </t>
        </is>
      </c>
      <c r="S277" t="n">
        <v>13</v>
      </c>
      <c r="T277" t="n">
        <v>13</v>
      </c>
      <c r="U277" t="inlineStr">
        <is>
          <t>1998-12-10</t>
        </is>
      </c>
      <c r="V277" t="inlineStr">
        <is>
          <t>1998-12-10</t>
        </is>
      </c>
      <c r="W277" t="inlineStr">
        <is>
          <t>1993-01-15</t>
        </is>
      </c>
      <c r="X277" t="inlineStr">
        <is>
          <t>1993-01-15</t>
        </is>
      </c>
      <c r="Y277" t="n">
        <v>689</v>
      </c>
      <c r="Z277" t="n">
        <v>562</v>
      </c>
      <c r="AA277" t="n">
        <v>590</v>
      </c>
      <c r="AB277" t="n">
        <v>5</v>
      </c>
      <c r="AC277" t="n">
        <v>5</v>
      </c>
      <c r="AD277" t="n">
        <v>14</v>
      </c>
      <c r="AE277" t="n">
        <v>16</v>
      </c>
      <c r="AF277" t="n">
        <v>7</v>
      </c>
      <c r="AG277" t="n">
        <v>8</v>
      </c>
      <c r="AH277" t="n">
        <v>1</v>
      </c>
      <c r="AI277" t="n">
        <v>2</v>
      </c>
      <c r="AJ277" t="n">
        <v>6</v>
      </c>
      <c r="AK277" t="n">
        <v>6</v>
      </c>
      <c r="AL277" t="n">
        <v>3</v>
      </c>
      <c r="AM277" t="n">
        <v>3</v>
      </c>
      <c r="AN277" t="n">
        <v>0</v>
      </c>
      <c r="AO277" t="n">
        <v>0</v>
      </c>
      <c r="AP277" t="inlineStr">
        <is>
          <t>No</t>
        </is>
      </c>
      <c r="AQ277" t="inlineStr">
        <is>
          <t>Yes</t>
        </is>
      </c>
      <c r="AR277">
        <f>HYPERLINK("http://catalog.hathitrust.org/Record/001273453","HathiTrust Record")</f>
        <v/>
      </c>
      <c r="AS277">
        <f>HYPERLINK("https://creighton-primo.hosted.exlibrisgroup.com/primo-explore/search?tab=default_tab&amp;search_scope=EVERYTHING&amp;vid=01CRU&amp;lang=en_US&amp;offset=0&amp;query=any,contains,991000131979702656","Catalog Record")</f>
        <v/>
      </c>
      <c r="AT277">
        <f>HYPERLINK("http://www.worldcat.org/oclc/54536","WorldCat Record")</f>
        <v/>
      </c>
      <c r="AU277" t="inlineStr">
        <is>
          <t>3857275296:eng</t>
        </is>
      </c>
      <c r="AV277" t="inlineStr">
        <is>
          <t>54536</t>
        </is>
      </c>
      <c r="AW277" t="inlineStr">
        <is>
          <t>991000131979702656</t>
        </is>
      </c>
      <c r="AX277" t="inlineStr">
        <is>
          <t>991000131979702656</t>
        </is>
      </c>
      <c r="AY277" t="inlineStr">
        <is>
          <t>2258097940002656</t>
        </is>
      </c>
      <c r="AZ277" t="inlineStr">
        <is>
          <t>BOOK</t>
        </is>
      </c>
      <c r="BB277" t="inlineStr">
        <is>
          <t>9780471937449</t>
        </is>
      </c>
      <c r="BC277" t="inlineStr">
        <is>
          <t>32285001475135</t>
        </is>
      </c>
      <c r="BD277" t="inlineStr">
        <is>
          <t>893607650</t>
        </is>
      </c>
    </row>
    <row r="278">
      <c r="A278" t="inlineStr">
        <is>
          <t>No</t>
        </is>
      </c>
      <c r="B278" t="inlineStr">
        <is>
          <t>GC11.2 .D89 1989</t>
        </is>
      </c>
      <c r="C278" t="inlineStr">
        <is>
          <t>0                      GC 0011200D  89          1989</t>
        </is>
      </c>
      <c r="D278" t="inlineStr">
        <is>
          <t>An introduction to the world's oceans / Alyn C. Duxbury, Alison B. Duxbury ; ill. by Tasa Graphic Arts, Inc.</t>
        </is>
      </c>
      <c r="F278" t="inlineStr">
        <is>
          <t>No</t>
        </is>
      </c>
      <c r="G278" t="inlineStr">
        <is>
          <t>1</t>
        </is>
      </c>
      <c r="H278" t="inlineStr">
        <is>
          <t>No</t>
        </is>
      </c>
      <c r="I278" t="inlineStr">
        <is>
          <t>No</t>
        </is>
      </c>
      <c r="J278" t="inlineStr">
        <is>
          <t>0</t>
        </is>
      </c>
      <c r="K278" t="inlineStr">
        <is>
          <t>Duxbury, Alyn C., 1932-</t>
        </is>
      </c>
      <c r="L278" t="inlineStr">
        <is>
          <t>Dubuque, Iowa : W.C. Brown, c1989.</t>
        </is>
      </c>
      <c r="M278" t="inlineStr">
        <is>
          <t>1989</t>
        </is>
      </c>
      <c r="N278" t="inlineStr">
        <is>
          <t>2nd ed.</t>
        </is>
      </c>
      <c r="O278" t="inlineStr">
        <is>
          <t>eng</t>
        </is>
      </c>
      <c r="P278" t="inlineStr">
        <is>
          <t>iau</t>
        </is>
      </c>
      <c r="R278" t="inlineStr">
        <is>
          <t xml:space="preserve">GC </t>
        </is>
      </c>
      <c r="S278" t="n">
        <v>17</v>
      </c>
      <c r="T278" t="n">
        <v>17</v>
      </c>
      <c r="U278" t="inlineStr">
        <is>
          <t>2008-02-02</t>
        </is>
      </c>
      <c r="V278" t="inlineStr">
        <is>
          <t>2008-02-02</t>
        </is>
      </c>
      <c r="W278" t="inlineStr">
        <is>
          <t>1990-09-13</t>
        </is>
      </c>
      <c r="X278" t="inlineStr">
        <is>
          <t>1990-09-13</t>
        </is>
      </c>
      <c r="Y278" t="n">
        <v>91</v>
      </c>
      <c r="Z278" t="n">
        <v>78</v>
      </c>
      <c r="AA278" t="n">
        <v>492</v>
      </c>
      <c r="AB278" t="n">
        <v>1</v>
      </c>
      <c r="AC278" t="n">
        <v>3</v>
      </c>
      <c r="AD278" t="n">
        <v>0</v>
      </c>
      <c r="AE278" t="n">
        <v>9</v>
      </c>
      <c r="AF278" t="n">
        <v>0</v>
      </c>
      <c r="AG278" t="n">
        <v>3</v>
      </c>
      <c r="AH278" t="n">
        <v>0</v>
      </c>
      <c r="AI278" t="n">
        <v>3</v>
      </c>
      <c r="AJ278" t="n">
        <v>0</v>
      </c>
      <c r="AK278" t="n">
        <v>3</v>
      </c>
      <c r="AL278" t="n">
        <v>0</v>
      </c>
      <c r="AM278" t="n">
        <v>2</v>
      </c>
      <c r="AN278" t="n">
        <v>0</v>
      </c>
      <c r="AO278" t="n">
        <v>0</v>
      </c>
      <c r="AP278" t="inlineStr">
        <is>
          <t>No</t>
        </is>
      </c>
      <c r="AQ278" t="inlineStr">
        <is>
          <t>Yes</t>
        </is>
      </c>
      <c r="AR278">
        <f>HYPERLINK("http://catalog.hathitrust.org/Record/007107695","HathiTrust Record")</f>
        <v/>
      </c>
      <c r="AS278">
        <f>HYPERLINK("https://creighton-primo.hosted.exlibrisgroup.com/primo-explore/search?tab=default_tab&amp;search_scope=EVERYTHING&amp;vid=01CRU&amp;lang=en_US&amp;offset=0&amp;query=any,contains,991001429779702656","Catalog Record")</f>
        <v/>
      </c>
      <c r="AT278">
        <f>HYPERLINK("http://www.worldcat.org/oclc/19081987","WorldCat Record")</f>
        <v/>
      </c>
      <c r="AU278" t="inlineStr">
        <is>
          <t>1096805:eng</t>
        </is>
      </c>
      <c r="AV278" t="inlineStr">
        <is>
          <t>19081987</t>
        </is>
      </c>
      <c r="AW278" t="inlineStr">
        <is>
          <t>991001429779702656</t>
        </is>
      </c>
      <c r="AX278" t="inlineStr">
        <is>
          <t>991001429779702656</t>
        </is>
      </c>
      <c r="AY278" t="inlineStr">
        <is>
          <t>2266120570002656</t>
        </is>
      </c>
      <c r="AZ278" t="inlineStr">
        <is>
          <t>BOOK</t>
        </is>
      </c>
      <c r="BB278" t="inlineStr">
        <is>
          <t>9780697042729</t>
        </is>
      </c>
      <c r="BC278" t="inlineStr">
        <is>
          <t>32285000286558</t>
        </is>
      </c>
      <c r="BD278" t="inlineStr">
        <is>
          <t>893439138</t>
        </is>
      </c>
    </row>
    <row r="279">
      <c r="A279" t="inlineStr">
        <is>
          <t>No</t>
        </is>
      </c>
      <c r="B279" t="inlineStr">
        <is>
          <t>GC11.2 .P73 1994</t>
        </is>
      </c>
      <c r="C279" t="inlineStr">
        <is>
          <t>0                      GC 0011200P  73          1994</t>
        </is>
      </c>
      <c r="D279" t="inlineStr">
        <is>
          <t>Practical handbook of marine science / edited by Michael J. Kennish.</t>
        </is>
      </c>
      <c r="F279" t="inlineStr">
        <is>
          <t>No</t>
        </is>
      </c>
      <c r="G279" t="inlineStr">
        <is>
          <t>1</t>
        </is>
      </c>
      <c r="H279" t="inlineStr">
        <is>
          <t>No</t>
        </is>
      </c>
      <c r="I279" t="inlineStr">
        <is>
          <t>No</t>
        </is>
      </c>
      <c r="J279" t="inlineStr">
        <is>
          <t>0</t>
        </is>
      </c>
      <c r="L279" t="inlineStr">
        <is>
          <t>Boca Raton, Fla. : CRC Press, c1994.</t>
        </is>
      </c>
      <c r="M279" t="inlineStr">
        <is>
          <t>1994</t>
        </is>
      </c>
      <c r="N279" t="inlineStr">
        <is>
          <t>2nd ed.</t>
        </is>
      </c>
      <c r="O279" t="inlineStr">
        <is>
          <t>eng</t>
        </is>
      </c>
      <c r="P279" t="inlineStr">
        <is>
          <t>flu</t>
        </is>
      </c>
      <c r="Q279" t="inlineStr">
        <is>
          <t>CRC marine science series</t>
        </is>
      </c>
      <c r="R279" t="inlineStr">
        <is>
          <t xml:space="preserve">GC </t>
        </is>
      </c>
      <c r="S279" t="n">
        <v>16</v>
      </c>
      <c r="T279" t="n">
        <v>16</v>
      </c>
      <c r="U279" t="inlineStr">
        <is>
          <t>2005-04-22</t>
        </is>
      </c>
      <c r="V279" t="inlineStr">
        <is>
          <t>2005-04-22</t>
        </is>
      </c>
      <c r="W279" t="inlineStr">
        <is>
          <t>1995-11-27</t>
        </is>
      </c>
      <c r="X279" t="inlineStr">
        <is>
          <t>1995-11-27</t>
        </is>
      </c>
      <c r="Y279" t="n">
        <v>382</v>
      </c>
      <c r="Z279" t="n">
        <v>279</v>
      </c>
      <c r="AA279" t="n">
        <v>675</v>
      </c>
      <c r="AB279" t="n">
        <v>1</v>
      </c>
      <c r="AC279" t="n">
        <v>4</v>
      </c>
      <c r="AD279" t="n">
        <v>4</v>
      </c>
      <c r="AE279" t="n">
        <v>14</v>
      </c>
      <c r="AF279" t="n">
        <v>1</v>
      </c>
      <c r="AG279" t="n">
        <v>4</v>
      </c>
      <c r="AH279" t="n">
        <v>0</v>
      </c>
      <c r="AI279" t="n">
        <v>2</v>
      </c>
      <c r="AJ279" t="n">
        <v>4</v>
      </c>
      <c r="AK279" t="n">
        <v>10</v>
      </c>
      <c r="AL279" t="n">
        <v>0</v>
      </c>
      <c r="AM279" t="n">
        <v>2</v>
      </c>
      <c r="AN279" t="n">
        <v>0</v>
      </c>
      <c r="AO279" t="n">
        <v>0</v>
      </c>
      <c r="AP279" t="inlineStr">
        <is>
          <t>No</t>
        </is>
      </c>
      <c r="AQ279" t="inlineStr">
        <is>
          <t>Yes</t>
        </is>
      </c>
      <c r="AR279">
        <f>HYPERLINK("http://catalog.hathitrust.org/Record/002868695","HathiTrust Record")</f>
        <v/>
      </c>
      <c r="AS279">
        <f>HYPERLINK("https://creighton-primo.hosted.exlibrisgroup.com/primo-explore/search?tab=default_tab&amp;search_scope=EVERYTHING&amp;vid=01CRU&amp;lang=en_US&amp;offset=0&amp;query=any,contains,991002157229702656","Catalog Record")</f>
        <v/>
      </c>
      <c r="AT279">
        <f>HYPERLINK("http://www.worldcat.org/oclc/27810342","WorldCat Record")</f>
        <v/>
      </c>
      <c r="AU279" t="inlineStr">
        <is>
          <t>766881372:eng</t>
        </is>
      </c>
      <c r="AV279" t="inlineStr">
        <is>
          <t>27810342</t>
        </is>
      </c>
      <c r="AW279" t="inlineStr">
        <is>
          <t>991002157229702656</t>
        </is>
      </c>
      <c r="AX279" t="inlineStr">
        <is>
          <t>991002157229702656</t>
        </is>
      </c>
      <c r="AY279" t="inlineStr">
        <is>
          <t>2259395700002656</t>
        </is>
      </c>
      <c r="AZ279" t="inlineStr">
        <is>
          <t>BOOK</t>
        </is>
      </c>
      <c r="BB279" t="inlineStr">
        <is>
          <t>9780849337123</t>
        </is>
      </c>
      <c r="BC279" t="inlineStr">
        <is>
          <t>32285002106580</t>
        </is>
      </c>
      <c r="BD279" t="inlineStr">
        <is>
          <t>893414884</t>
        </is>
      </c>
    </row>
    <row r="280">
      <c r="A280" t="inlineStr">
        <is>
          <t>No</t>
        </is>
      </c>
      <c r="B280" t="inlineStr">
        <is>
          <t>GC11.2 .S74 2001</t>
        </is>
      </c>
      <c r="C280" t="inlineStr">
        <is>
          <t>0                      GC 0011200S  74          2001</t>
        </is>
      </c>
      <c r="D280" t="inlineStr">
        <is>
          <t>The social construction of the ocean / Philip E. Steinberg.</t>
        </is>
      </c>
      <c r="F280" t="inlineStr">
        <is>
          <t>No</t>
        </is>
      </c>
      <c r="G280" t="inlineStr">
        <is>
          <t>1</t>
        </is>
      </c>
      <c r="H280" t="inlineStr">
        <is>
          <t>No</t>
        </is>
      </c>
      <c r="I280" t="inlineStr">
        <is>
          <t>No</t>
        </is>
      </c>
      <c r="J280" t="inlineStr">
        <is>
          <t>0</t>
        </is>
      </c>
      <c r="K280" t="inlineStr">
        <is>
          <t>Steinberg, Philip E.</t>
        </is>
      </c>
      <c r="L280" t="inlineStr">
        <is>
          <t>Cambridge ; New York : Cambridge University Press, 2001.</t>
        </is>
      </c>
      <c r="M280" t="inlineStr">
        <is>
          <t>2001</t>
        </is>
      </c>
      <c r="O280" t="inlineStr">
        <is>
          <t>eng</t>
        </is>
      </c>
      <c r="P280" t="inlineStr">
        <is>
          <t>nyu</t>
        </is>
      </c>
      <c r="Q280" t="inlineStr">
        <is>
          <t>Cambridge studies in international relations ; 78</t>
        </is>
      </c>
      <c r="R280" t="inlineStr">
        <is>
          <t xml:space="preserve">GC </t>
        </is>
      </c>
      <c r="S280" t="n">
        <v>1</v>
      </c>
      <c r="T280" t="n">
        <v>1</v>
      </c>
      <c r="U280" t="inlineStr">
        <is>
          <t>2003-01-13</t>
        </is>
      </c>
      <c r="V280" t="inlineStr">
        <is>
          <t>2003-01-13</t>
        </is>
      </c>
      <c r="W280" t="inlineStr">
        <is>
          <t>2003-01-13</t>
        </is>
      </c>
      <c r="X280" t="inlineStr">
        <is>
          <t>2003-01-13</t>
        </is>
      </c>
      <c r="Y280" t="n">
        <v>324</v>
      </c>
      <c r="Z280" t="n">
        <v>200</v>
      </c>
      <c r="AA280" t="n">
        <v>201</v>
      </c>
      <c r="AB280" t="n">
        <v>1</v>
      </c>
      <c r="AC280" t="n">
        <v>1</v>
      </c>
      <c r="AD280" t="n">
        <v>8</v>
      </c>
      <c r="AE280" t="n">
        <v>8</v>
      </c>
      <c r="AF280" t="n">
        <v>2</v>
      </c>
      <c r="AG280" t="n">
        <v>2</v>
      </c>
      <c r="AH280" t="n">
        <v>2</v>
      </c>
      <c r="AI280" t="n">
        <v>2</v>
      </c>
      <c r="AJ280" t="n">
        <v>5</v>
      </c>
      <c r="AK280" t="n">
        <v>5</v>
      </c>
      <c r="AL280" t="n">
        <v>0</v>
      </c>
      <c r="AM280" t="n">
        <v>0</v>
      </c>
      <c r="AN280" t="n">
        <v>2</v>
      </c>
      <c r="AO280" t="n">
        <v>2</v>
      </c>
      <c r="AP280" t="inlineStr">
        <is>
          <t>No</t>
        </is>
      </c>
      <c r="AQ280" t="inlineStr">
        <is>
          <t>No</t>
        </is>
      </c>
      <c r="AS280">
        <f>HYPERLINK("https://creighton-primo.hosted.exlibrisgroup.com/primo-explore/search?tab=default_tab&amp;search_scope=EVERYTHING&amp;vid=01CRU&amp;lang=en_US&amp;offset=0&amp;query=any,contains,991003942269702656","Catalog Record")</f>
        <v/>
      </c>
      <c r="AT280">
        <f>HYPERLINK("http://www.worldcat.org/oclc/47767200","WorldCat Record")</f>
        <v/>
      </c>
      <c r="AU280" t="inlineStr">
        <is>
          <t>20846619:eng</t>
        </is>
      </c>
      <c r="AV280" t="inlineStr">
        <is>
          <t>47767200</t>
        </is>
      </c>
      <c r="AW280" t="inlineStr">
        <is>
          <t>991003942269702656</t>
        </is>
      </c>
      <c r="AX280" t="inlineStr">
        <is>
          <t>991003942269702656</t>
        </is>
      </c>
      <c r="AY280" t="inlineStr">
        <is>
          <t>2254953620002656</t>
        </is>
      </c>
      <c r="AZ280" t="inlineStr">
        <is>
          <t>BOOK</t>
        </is>
      </c>
      <c r="BB280" t="inlineStr">
        <is>
          <t>9780521010573</t>
        </is>
      </c>
      <c r="BC280" t="inlineStr">
        <is>
          <t>32285004693783</t>
        </is>
      </c>
      <c r="BD280" t="inlineStr">
        <is>
          <t>893525459</t>
        </is>
      </c>
    </row>
    <row r="281">
      <c r="A281" t="inlineStr">
        <is>
          <t>No</t>
        </is>
      </c>
      <c r="B281" t="inlineStr">
        <is>
          <t>GC111.2 .M37</t>
        </is>
      </c>
      <c r="C281" t="inlineStr">
        <is>
          <t>0                      GC 0111200M  37</t>
        </is>
      </c>
      <c r="D281" t="inlineStr">
        <is>
          <t>Marine chemistry in the coastal environment : a special symposium sponsored by the Middle Atlantic Region at the 169th meeting of the American Chemical Society, Philadelphia, Penn., April 8-10, 1975 / Thomas M. Church, editor.</t>
        </is>
      </c>
      <c r="F281" t="inlineStr">
        <is>
          <t>No</t>
        </is>
      </c>
      <c r="G281" t="inlineStr">
        <is>
          <t>1</t>
        </is>
      </c>
      <c r="H281" t="inlineStr">
        <is>
          <t>No</t>
        </is>
      </c>
      <c r="I281" t="inlineStr">
        <is>
          <t>No</t>
        </is>
      </c>
      <c r="J281" t="inlineStr">
        <is>
          <t>0</t>
        </is>
      </c>
      <c r="L281" t="inlineStr">
        <is>
          <t>Washington : The Society, 1975.</t>
        </is>
      </c>
      <c r="M281" t="inlineStr">
        <is>
          <t>1975</t>
        </is>
      </c>
      <c r="O281" t="inlineStr">
        <is>
          <t>eng</t>
        </is>
      </c>
      <c r="P281" t="inlineStr">
        <is>
          <t>dcu</t>
        </is>
      </c>
      <c r="Q281" t="inlineStr">
        <is>
          <t>ACS symposium series, 0097-6156 ; 18</t>
        </is>
      </c>
      <c r="R281" t="inlineStr">
        <is>
          <t xml:space="preserve">GC </t>
        </is>
      </c>
      <c r="S281" t="n">
        <v>10</v>
      </c>
      <c r="T281" t="n">
        <v>10</v>
      </c>
      <c r="U281" t="inlineStr">
        <is>
          <t>2005-04-08</t>
        </is>
      </c>
      <c r="V281" t="inlineStr">
        <is>
          <t>2005-04-08</t>
        </is>
      </c>
      <c r="W281" t="inlineStr">
        <is>
          <t>1990-09-13</t>
        </is>
      </c>
      <c r="X281" t="inlineStr">
        <is>
          <t>1990-09-13</t>
        </is>
      </c>
      <c r="Y281" t="n">
        <v>395</v>
      </c>
      <c r="Z281" t="n">
        <v>295</v>
      </c>
      <c r="AA281" t="n">
        <v>334</v>
      </c>
      <c r="AB281" t="n">
        <v>1</v>
      </c>
      <c r="AC281" t="n">
        <v>1</v>
      </c>
      <c r="AD281" t="n">
        <v>7</v>
      </c>
      <c r="AE281" t="n">
        <v>7</v>
      </c>
      <c r="AF281" t="n">
        <v>5</v>
      </c>
      <c r="AG281" t="n">
        <v>5</v>
      </c>
      <c r="AH281" t="n">
        <v>1</v>
      </c>
      <c r="AI281" t="n">
        <v>1</v>
      </c>
      <c r="AJ281" t="n">
        <v>3</v>
      </c>
      <c r="AK281" t="n">
        <v>3</v>
      </c>
      <c r="AL281" t="n">
        <v>0</v>
      </c>
      <c r="AM281" t="n">
        <v>0</v>
      </c>
      <c r="AN281" t="n">
        <v>0</v>
      </c>
      <c r="AO281" t="n">
        <v>0</v>
      </c>
      <c r="AP281" t="inlineStr">
        <is>
          <t>No</t>
        </is>
      </c>
      <c r="AQ281" t="inlineStr">
        <is>
          <t>Yes</t>
        </is>
      </c>
      <c r="AR281">
        <f>HYPERLINK("http://catalog.hathitrust.org/Record/000021738","HathiTrust Record")</f>
        <v/>
      </c>
      <c r="AS281">
        <f>HYPERLINK("https://creighton-primo.hosted.exlibrisgroup.com/primo-explore/search?tab=default_tab&amp;search_scope=EVERYTHING&amp;vid=01CRU&amp;lang=en_US&amp;offset=0&amp;query=any,contains,991003843499702656","Catalog Record")</f>
        <v/>
      </c>
      <c r="AT281">
        <f>HYPERLINK("http://www.worldcat.org/oclc/1622256","WorldCat Record")</f>
        <v/>
      </c>
      <c r="AU281" t="inlineStr">
        <is>
          <t>365902452:eng</t>
        </is>
      </c>
      <c r="AV281" t="inlineStr">
        <is>
          <t>1622256</t>
        </is>
      </c>
      <c r="AW281" t="inlineStr">
        <is>
          <t>991003843499702656</t>
        </is>
      </c>
      <c r="AX281" t="inlineStr">
        <is>
          <t>991003843499702656</t>
        </is>
      </c>
      <c r="AY281" t="inlineStr">
        <is>
          <t>2270610250002656</t>
        </is>
      </c>
      <c r="AZ281" t="inlineStr">
        <is>
          <t>BOOK</t>
        </is>
      </c>
      <c r="BB281" t="inlineStr">
        <is>
          <t>9780841203006</t>
        </is>
      </c>
      <c r="BC281" t="inlineStr">
        <is>
          <t>32285000286632</t>
        </is>
      </c>
      <c r="BD281" t="inlineStr">
        <is>
          <t>893881615</t>
        </is>
      </c>
    </row>
    <row r="282">
      <c r="A282" t="inlineStr">
        <is>
          <t>No</t>
        </is>
      </c>
      <c r="B282" t="inlineStr">
        <is>
          <t>GC111.2 .M55 1996</t>
        </is>
      </c>
      <c r="C282" t="inlineStr">
        <is>
          <t>0                      GC 0111200M  55          1996</t>
        </is>
      </c>
      <c r="D282" t="inlineStr">
        <is>
          <t>Chemical oceanography.</t>
        </is>
      </c>
      <c r="F282" t="inlineStr">
        <is>
          <t>No</t>
        </is>
      </c>
      <c r="G282" t="inlineStr">
        <is>
          <t>1</t>
        </is>
      </c>
      <c r="H282" t="inlineStr">
        <is>
          <t>No</t>
        </is>
      </c>
      <c r="I282" t="inlineStr">
        <is>
          <t>No</t>
        </is>
      </c>
      <c r="J282" t="inlineStr">
        <is>
          <t>0</t>
        </is>
      </c>
      <c r="K282" t="inlineStr">
        <is>
          <t>Millero, Frank J.</t>
        </is>
      </c>
      <c r="L282" t="inlineStr">
        <is>
          <t>Boca Raton : CRC Press, c1996.</t>
        </is>
      </c>
      <c r="M282" t="inlineStr">
        <is>
          <t>1996</t>
        </is>
      </c>
      <c r="N282" t="inlineStr">
        <is>
          <t>2nd ed. / Frank J. Millero.</t>
        </is>
      </c>
      <c r="O282" t="inlineStr">
        <is>
          <t>eng</t>
        </is>
      </c>
      <c r="P282" t="inlineStr">
        <is>
          <t>flu</t>
        </is>
      </c>
      <c r="Q282" t="inlineStr">
        <is>
          <t>Marine science series</t>
        </is>
      </c>
      <c r="R282" t="inlineStr">
        <is>
          <t xml:space="preserve">GC </t>
        </is>
      </c>
      <c r="S282" t="n">
        <v>12</v>
      </c>
      <c r="T282" t="n">
        <v>12</v>
      </c>
      <c r="U282" t="inlineStr">
        <is>
          <t>2005-04-22</t>
        </is>
      </c>
      <c r="V282" t="inlineStr">
        <is>
          <t>2005-04-22</t>
        </is>
      </c>
      <c r="W282" t="inlineStr">
        <is>
          <t>1997-06-17</t>
        </is>
      </c>
      <c r="X282" t="inlineStr">
        <is>
          <t>1997-06-17</t>
        </is>
      </c>
      <c r="Y282" t="n">
        <v>244</v>
      </c>
      <c r="Z282" t="n">
        <v>189</v>
      </c>
      <c r="AA282" t="n">
        <v>323</v>
      </c>
      <c r="AB282" t="n">
        <v>1</v>
      </c>
      <c r="AC282" t="n">
        <v>1</v>
      </c>
      <c r="AD282" t="n">
        <v>4</v>
      </c>
      <c r="AE282" t="n">
        <v>10</v>
      </c>
      <c r="AF282" t="n">
        <v>3</v>
      </c>
      <c r="AG282" t="n">
        <v>6</v>
      </c>
      <c r="AH282" t="n">
        <v>1</v>
      </c>
      <c r="AI282" t="n">
        <v>3</v>
      </c>
      <c r="AJ282" t="n">
        <v>1</v>
      </c>
      <c r="AK282" t="n">
        <v>4</v>
      </c>
      <c r="AL282" t="n">
        <v>0</v>
      </c>
      <c r="AM282" t="n">
        <v>0</v>
      </c>
      <c r="AN282" t="n">
        <v>0</v>
      </c>
      <c r="AO282" t="n">
        <v>0</v>
      </c>
      <c r="AP282" t="inlineStr">
        <is>
          <t>No</t>
        </is>
      </c>
      <c r="AQ282" t="inlineStr">
        <is>
          <t>Yes</t>
        </is>
      </c>
      <c r="AR282">
        <f>HYPERLINK("http://catalog.hathitrust.org/Record/003118126","HathiTrust Record")</f>
        <v/>
      </c>
      <c r="AS282">
        <f>HYPERLINK("https://creighton-primo.hosted.exlibrisgroup.com/primo-explore/search?tab=default_tab&amp;search_scope=EVERYTHING&amp;vid=01CRU&amp;lang=en_US&amp;offset=0&amp;query=any,contains,991002596729702656","Catalog Record")</f>
        <v/>
      </c>
      <c r="AT282">
        <f>HYPERLINK("http://www.worldcat.org/oclc/34024676","WorldCat Record")</f>
        <v/>
      </c>
      <c r="AU282" t="inlineStr">
        <is>
          <t>927624:eng</t>
        </is>
      </c>
      <c r="AV282" t="inlineStr">
        <is>
          <t>34024676</t>
        </is>
      </c>
      <c r="AW282" t="inlineStr">
        <is>
          <t>991002596729702656</t>
        </is>
      </c>
      <c r="AX282" t="inlineStr">
        <is>
          <t>991002596729702656</t>
        </is>
      </c>
      <c r="AY282" t="inlineStr">
        <is>
          <t>2258317740002656</t>
        </is>
      </c>
      <c r="AZ282" t="inlineStr">
        <is>
          <t>BOOK</t>
        </is>
      </c>
      <c r="BB282" t="inlineStr">
        <is>
          <t>9780849384233</t>
        </is>
      </c>
      <c r="BC282" t="inlineStr">
        <is>
          <t>32285002752110</t>
        </is>
      </c>
      <c r="BD282" t="inlineStr">
        <is>
          <t>893409290</t>
        </is>
      </c>
    </row>
    <row r="283">
      <c r="A283" t="inlineStr">
        <is>
          <t>No</t>
        </is>
      </c>
      <c r="B283" t="inlineStr">
        <is>
          <t>GC111.2 .O34 1989</t>
        </is>
      </c>
      <c r="C283" t="inlineStr">
        <is>
          <t>0                      GC 0111200O  34          1989</t>
        </is>
      </c>
      <c r="D283" t="inlineStr">
        <is>
          <t>Ocean chemistry and deep-sea sediments / prepared by an Open University course team.</t>
        </is>
      </c>
      <c r="F283" t="inlineStr">
        <is>
          <t>No</t>
        </is>
      </c>
      <c r="G283" t="inlineStr">
        <is>
          <t>1</t>
        </is>
      </c>
      <c r="H283" t="inlineStr">
        <is>
          <t>No</t>
        </is>
      </c>
      <c r="I283" t="inlineStr">
        <is>
          <t>No</t>
        </is>
      </c>
      <c r="J283" t="inlineStr">
        <is>
          <t>0</t>
        </is>
      </c>
      <c r="L283" t="inlineStr">
        <is>
          <t>Oxford, England ; New York : Pergamon Press ; Milton Keynes, England : Open University, 1989.</t>
        </is>
      </c>
      <c r="M283" t="inlineStr">
        <is>
          <t>1989</t>
        </is>
      </c>
      <c r="N283" t="inlineStr">
        <is>
          <t>1st ed.</t>
        </is>
      </c>
      <c r="O283" t="inlineStr">
        <is>
          <t>eng</t>
        </is>
      </c>
      <c r="P283" t="inlineStr">
        <is>
          <t>enk</t>
        </is>
      </c>
      <c r="R283" t="inlineStr">
        <is>
          <t xml:space="preserve">GC </t>
        </is>
      </c>
      <c r="S283" t="n">
        <v>4</v>
      </c>
      <c r="T283" t="n">
        <v>4</v>
      </c>
      <c r="U283" t="inlineStr">
        <is>
          <t>1993-11-23</t>
        </is>
      </c>
      <c r="V283" t="inlineStr">
        <is>
          <t>1993-11-23</t>
        </is>
      </c>
      <c r="W283" t="inlineStr">
        <is>
          <t>1990-07-16</t>
        </is>
      </c>
      <c r="X283" t="inlineStr">
        <is>
          <t>1990-07-16</t>
        </is>
      </c>
      <c r="Y283" t="n">
        <v>369</v>
      </c>
      <c r="Z283" t="n">
        <v>218</v>
      </c>
      <c r="AA283" t="n">
        <v>241</v>
      </c>
      <c r="AB283" t="n">
        <v>3</v>
      </c>
      <c r="AC283" t="n">
        <v>3</v>
      </c>
      <c r="AD283" t="n">
        <v>7</v>
      </c>
      <c r="AE283" t="n">
        <v>7</v>
      </c>
      <c r="AF283" t="n">
        <v>2</v>
      </c>
      <c r="AG283" t="n">
        <v>2</v>
      </c>
      <c r="AH283" t="n">
        <v>2</v>
      </c>
      <c r="AI283" t="n">
        <v>2</v>
      </c>
      <c r="AJ283" t="n">
        <v>3</v>
      </c>
      <c r="AK283" t="n">
        <v>3</v>
      </c>
      <c r="AL283" t="n">
        <v>2</v>
      </c>
      <c r="AM283" t="n">
        <v>2</v>
      </c>
      <c r="AN283" t="n">
        <v>0</v>
      </c>
      <c r="AO283" t="n">
        <v>0</v>
      </c>
      <c r="AP283" t="inlineStr">
        <is>
          <t>No</t>
        </is>
      </c>
      <c r="AQ283" t="inlineStr">
        <is>
          <t>Yes</t>
        </is>
      </c>
      <c r="AR283">
        <f>HYPERLINK("http://catalog.hathitrust.org/Record/002164194","HathiTrust Record")</f>
        <v/>
      </c>
      <c r="AS283">
        <f>HYPERLINK("https://creighton-primo.hosted.exlibrisgroup.com/primo-explore/search?tab=default_tab&amp;search_scope=EVERYTHING&amp;vid=01CRU&amp;lang=en_US&amp;offset=0&amp;query=any,contains,991001482889702656","Catalog Record")</f>
        <v/>
      </c>
      <c r="AT283">
        <f>HYPERLINK("http://www.worldcat.org/oclc/19628706","WorldCat Record")</f>
        <v/>
      </c>
      <c r="AU283" t="inlineStr">
        <is>
          <t>504962404:eng</t>
        </is>
      </c>
      <c r="AV283" t="inlineStr">
        <is>
          <t>19628706</t>
        </is>
      </c>
      <c r="AW283" t="inlineStr">
        <is>
          <t>991001482889702656</t>
        </is>
      </c>
      <c r="AX283" t="inlineStr">
        <is>
          <t>991001482889702656</t>
        </is>
      </c>
      <c r="AY283" t="inlineStr">
        <is>
          <t>2265697940002656</t>
        </is>
      </c>
      <c r="AZ283" t="inlineStr">
        <is>
          <t>BOOK</t>
        </is>
      </c>
      <c r="BB283" t="inlineStr">
        <is>
          <t>9780080363738</t>
        </is>
      </c>
      <c r="BC283" t="inlineStr">
        <is>
          <t>32285000208339</t>
        </is>
      </c>
      <c r="BD283" t="inlineStr">
        <is>
          <t>893615159</t>
        </is>
      </c>
    </row>
    <row r="284">
      <c r="A284" t="inlineStr">
        <is>
          <t>No</t>
        </is>
      </c>
      <c r="B284" t="inlineStr">
        <is>
          <t>GC1311 .M37</t>
        </is>
      </c>
      <c r="C284" t="inlineStr">
        <is>
          <t>0                      GC 1311000M  37</t>
        </is>
      </c>
      <c r="D284" t="inlineStr">
        <is>
          <t>"Torrey Canyon" pollution and marine life: a report by the Plymouth Laboratory of the Marine Biological Association of the United Kingdom, under the general editorship of J. E. Smith.</t>
        </is>
      </c>
      <c r="F284" t="inlineStr">
        <is>
          <t>No</t>
        </is>
      </c>
      <c r="G284" t="inlineStr">
        <is>
          <t>1</t>
        </is>
      </c>
      <c r="H284" t="inlineStr">
        <is>
          <t>No</t>
        </is>
      </c>
      <c r="I284" t="inlineStr">
        <is>
          <t>No</t>
        </is>
      </c>
      <c r="J284" t="inlineStr">
        <is>
          <t>0</t>
        </is>
      </c>
      <c r="K284" t="inlineStr">
        <is>
          <t>Marine Biological Association of the United Kingdom. Plymouth Laboratory.</t>
        </is>
      </c>
      <c r="L284" t="inlineStr">
        <is>
          <t>London, published for the Marine Biological Association of the United Kingdom [by] Cambridge U.P., 1968.</t>
        </is>
      </c>
      <c r="M284" t="inlineStr">
        <is>
          <t>1968</t>
        </is>
      </c>
      <c r="O284" t="inlineStr">
        <is>
          <t>eng</t>
        </is>
      </c>
      <c r="P284" t="inlineStr">
        <is>
          <t>enk</t>
        </is>
      </c>
      <c r="R284" t="inlineStr">
        <is>
          <t xml:space="preserve">GC </t>
        </is>
      </c>
      <c r="S284" t="n">
        <v>1</v>
      </c>
      <c r="T284" t="n">
        <v>1</v>
      </c>
      <c r="U284" t="inlineStr">
        <is>
          <t>2005-11-22</t>
        </is>
      </c>
      <c r="V284" t="inlineStr">
        <is>
          <t>2005-11-22</t>
        </is>
      </c>
      <c r="W284" t="inlineStr">
        <is>
          <t>1997-05-27</t>
        </is>
      </c>
      <c r="X284" t="inlineStr">
        <is>
          <t>1997-05-27</t>
        </is>
      </c>
      <c r="Y284" t="n">
        <v>773</v>
      </c>
      <c r="Z284" t="n">
        <v>627</v>
      </c>
      <c r="AA284" t="n">
        <v>635</v>
      </c>
      <c r="AB284" t="n">
        <v>4</v>
      </c>
      <c r="AC284" t="n">
        <v>4</v>
      </c>
      <c r="AD284" t="n">
        <v>23</v>
      </c>
      <c r="AE284" t="n">
        <v>23</v>
      </c>
      <c r="AF284" t="n">
        <v>12</v>
      </c>
      <c r="AG284" t="n">
        <v>12</v>
      </c>
      <c r="AH284" t="n">
        <v>3</v>
      </c>
      <c r="AI284" t="n">
        <v>3</v>
      </c>
      <c r="AJ284" t="n">
        <v>8</v>
      </c>
      <c r="AK284" t="n">
        <v>8</v>
      </c>
      <c r="AL284" t="n">
        <v>3</v>
      </c>
      <c r="AM284" t="n">
        <v>3</v>
      </c>
      <c r="AN284" t="n">
        <v>1</v>
      </c>
      <c r="AO284" t="n">
        <v>1</v>
      </c>
      <c r="AP284" t="inlineStr">
        <is>
          <t>No</t>
        </is>
      </c>
      <c r="AQ284" t="inlineStr">
        <is>
          <t>Yes</t>
        </is>
      </c>
      <c r="AR284">
        <f>HYPERLINK("http://catalog.hathitrust.org/Record/000004602","HathiTrust Record")</f>
        <v/>
      </c>
      <c r="AS284">
        <f>HYPERLINK("https://creighton-primo.hosted.exlibrisgroup.com/primo-explore/search?tab=default_tab&amp;search_scope=EVERYTHING&amp;vid=01CRU&amp;lang=en_US&amp;offset=0&amp;query=any,contains,991001933159702656","Catalog Record")</f>
        <v/>
      </c>
      <c r="AT284">
        <f>HYPERLINK("http://www.worldcat.org/oclc/249687","WorldCat Record")</f>
        <v/>
      </c>
      <c r="AU284" t="inlineStr">
        <is>
          <t>497079276:eng</t>
        </is>
      </c>
      <c r="AV284" t="inlineStr">
        <is>
          <t>249687</t>
        </is>
      </c>
      <c r="AW284" t="inlineStr">
        <is>
          <t>991001933159702656</t>
        </is>
      </c>
      <c r="AX284" t="inlineStr">
        <is>
          <t>991001933159702656</t>
        </is>
      </c>
      <c r="AY284" t="inlineStr">
        <is>
          <t>2256380830002656</t>
        </is>
      </c>
      <c r="AZ284" t="inlineStr">
        <is>
          <t>BOOK</t>
        </is>
      </c>
      <c r="BB284" t="inlineStr">
        <is>
          <t>9780521071444</t>
        </is>
      </c>
      <c r="BC284" t="inlineStr">
        <is>
          <t>32285002693918</t>
        </is>
      </c>
      <c r="BD284" t="inlineStr">
        <is>
          <t>893439573</t>
        </is>
      </c>
    </row>
    <row r="285">
      <c r="A285" t="inlineStr">
        <is>
          <t>No</t>
        </is>
      </c>
      <c r="B285" t="inlineStr">
        <is>
          <t>GC150.5 .A54 1988</t>
        </is>
      </c>
      <c r="C285" t="inlineStr">
        <is>
          <t>0                      GC 0150500A  54          1988</t>
        </is>
      </c>
      <c r="D285" t="inlineStr">
        <is>
          <t>Principles of ocean physics / John R. Apel.</t>
        </is>
      </c>
      <c r="F285" t="inlineStr">
        <is>
          <t>No</t>
        </is>
      </c>
      <c r="G285" t="inlineStr">
        <is>
          <t>1</t>
        </is>
      </c>
      <c r="H285" t="inlineStr">
        <is>
          <t>No</t>
        </is>
      </c>
      <c r="I285" t="inlineStr">
        <is>
          <t>No</t>
        </is>
      </c>
      <c r="J285" t="inlineStr">
        <is>
          <t>0</t>
        </is>
      </c>
      <c r="K285" t="inlineStr">
        <is>
          <t>Apel, John R.</t>
        </is>
      </c>
      <c r="L285" t="inlineStr">
        <is>
          <t>London : Academic Press, 1988, c1987.</t>
        </is>
      </c>
      <c r="M285" t="inlineStr">
        <is>
          <t>1988</t>
        </is>
      </c>
      <c r="N285" t="inlineStr">
        <is>
          <t>[Rev. ed.]</t>
        </is>
      </c>
      <c r="O285" t="inlineStr">
        <is>
          <t>eng</t>
        </is>
      </c>
      <c r="P285" t="inlineStr">
        <is>
          <t>enk</t>
        </is>
      </c>
      <c r="Q285" t="inlineStr">
        <is>
          <t>International geophysics series ; v. 38</t>
        </is>
      </c>
      <c r="R285" t="inlineStr">
        <is>
          <t xml:space="preserve">GC </t>
        </is>
      </c>
      <c r="S285" t="n">
        <v>11</v>
      </c>
      <c r="T285" t="n">
        <v>11</v>
      </c>
      <c r="U285" t="inlineStr">
        <is>
          <t>1995-10-18</t>
        </is>
      </c>
      <c r="V285" t="inlineStr">
        <is>
          <t>1995-10-18</t>
        </is>
      </c>
      <c r="W285" t="inlineStr">
        <is>
          <t>1990-09-13</t>
        </is>
      </c>
      <c r="X285" t="inlineStr">
        <is>
          <t>1990-09-13</t>
        </is>
      </c>
      <c r="Y285" t="n">
        <v>27</v>
      </c>
      <c r="Z285" t="n">
        <v>17</v>
      </c>
      <c r="AA285" t="n">
        <v>955</v>
      </c>
      <c r="AB285" t="n">
        <v>1</v>
      </c>
      <c r="AC285" t="n">
        <v>14</v>
      </c>
      <c r="AD285" t="n">
        <v>0</v>
      </c>
      <c r="AE285" t="n">
        <v>34</v>
      </c>
      <c r="AF285" t="n">
        <v>0</v>
      </c>
      <c r="AG285" t="n">
        <v>8</v>
      </c>
      <c r="AH285" t="n">
        <v>0</v>
      </c>
      <c r="AI285" t="n">
        <v>6</v>
      </c>
      <c r="AJ285" t="n">
        <v>0</v>
      </c>
      <c r="AK285" t="n">
        <v>11</v>
      </c>
      <c r="AL285" t="n">
        <v>0</v>
      </c>
      <c r="AM285" t="n">
        <v>12</v>
      </c>
      <c r="AN285" t="n">
        <v>0</v>
      </c>
      <c r="AO285" t="n">
        <v>1</v>
      </c>
      <c r="AP285" t="inlineStr">
        <is>
          <t>No</t>
        </is>
      </c>
      <c r="AQ285" t="inlineStr">
        <is>
          <t>No</t>
        </is>
      </c>
      <c r="AS285">
        <f>HYPERLINK("https://creighton-primo.hosted.exlibrisgroup.com/primo-explore/search?tab=default_tab&amp;search_scope=EVERYTHING&amp;vid=01CRU&amp;lang=en_US&amp;offset=0&amp;query=any,contains,991001479649702656","Catalog Record")</f>
        <v/>
      </c>
      <c r="AT285">
        <f>HYPERLINK("http://www.worldcat.org/oclc/19618709","WorldCat Record")</f>
        <v/>
      </c>
      <c r="AU285" t="inlineStr">
        <is>
          <t>9845936358:eng</t>
        </is>
      </c>
      <c r="AV285" t="inlineStr">
        <is>
          <t>19618709</t>
        </is>
      </c>
      <c r="AW285" t="inlineStr">
        <is>
          <t>991001479649702656</t>
        </is>
      </c>
      <c r="AX285" t="inlineStr">
        <is>
          <t>991001479649702656</t>
        </is>
      </c>
      <c r="AY285" t="inlineStr">
        <is>
          <t>2258642470002656</t>
        </is>
      </c>
      <c r="AZ285" t="inlineStr">
        <is>
          <t>BOOK</t>
        </is>
      </c>
      <c r="BB285" t="inlineStr">
        <is>
          <t>9780120588664</t>
        </is>
      </c>
      <c r="BC285" t="inlineStr">
        <is>
          <t>32285000286640</t>
        </is>
      </c>
      <c r="BD285" t="inlineStr">
        <is>
          <t>893891594</t>
        </is>
      </c>
    </row>
    <row r="286">
      <c r="A286" t="inlineStr">
        <is>
          <t>No</t>
        </is>
      </c>
      <c r="B286" t="inlineStr">
        <is>
          <t>GC150.5 .P52 1975</t>
        </is>
      </c>
      <c r="C286" t="inlineStr">
        <is>
          <t>0                      GC 0150500P  52          1975</t>
        </is>
      </c>
      <c r="D286" t="inlineStr">
        <is>
          <t>Descriptive physical oceanography : an introduction / by George L. Pickard.</t>
        </is>
      </c>
      <c r="F286" t="inlineStr">
        <is>
          <t>No</t>
        </is>
      </c>
      <c r="G286" t="inlineStr">
        <is>
          <t>1</t>
        </is>
      </c>
      <c r="H286" t="inlineStr">
        <is>
          <t>No</t>
        </is>
      </c>
      <c r="I286" t="inlineStr">
        <is>
          <t>No</t>
        </is>
      </c>
      <c r="J286" t="inlineStr">
        <is>
          <t>0</t>
        </is>
      </c>
      <c r="K286" t="inlineStr">
        <is>
          <t>Pickard, George L.</t>
        </is>
      </c>
      <c r="L286" t="inlineStr">
        <is>
          <t>Oxford ; New York : Pergamon Press, 1975.</t>
        </is>
      </c>
      <c r="M286" t="inlineStr">
        <is>
          <t>1975</t>
        </is>
      </c>
      <c r="N286" t="inlineStr">
        <is>
          <t>2d ed.</t>
        </is>
      </c>
      <c r="O286" t="inlineStr">
        <is>
          <t>eng</t>
        </is>
      </c>
      <c r="P286" t="inlineStr">
        <is>
          <t>enk</t>
        </is>
      </c>
      <c r="Q286" t="inlineStr">
        <is>
          <t>Pergamon international library of science, technology, engineering, and social studies</t>
        </is>
      </c>
      <c r="R286" t="inlineStr">
        <is>
          <t xml:space="preserve">GC </t>
        </is>
      </c>
      <c r="S286" t="n">
        <v>4</v>
      </c>
      <c r="T286" t="n">
        <v>4</v>
      </c>
      <c r="U286" t="inlineStr">
        <is>
          <t>1998-12-07</t>
        </is>
      </c>
      <c r="V286" t="inlineStr">
        <is>
          <t>1998-12-07</t>
        </is>
      </c>
      <c r="W286" t="inlineStr">
        <is>
          <t>1994-01-27</t>
        </is>
      </c>
      <c r="X286" t="inlineStr">
        <is>
          <t>1994-01-27</t>
        </is>
      </c>
      <c r="Y286" t="n">
        <v>228</v>
      </c>
      <c r="Z286" t="n">
        <v>161</v>
      </c>
      <c r="AA286" t="n">
        <v>723</v>
      </c>
      <c r="AB286" t="n">
        <v>2</v>
      </c>
      <c r="AC286" t="n">
        <v>6</v>
      </c>
      <c r="AD286" t="n">
        <v>3</v>
      </c>
      <c r="AE286" t="n">
        <v>22</v>
      </c>
      <c r="AF286" t="n">
        <v>2</v>
      </c>
      <c r="AG286" t="n">
        <v>11</v>
      </c>
      <c r="AH286" t="n">
        <v>0</v>
      </c>
      <c r="AI286" t="n">
        <v>4</v>
      </c>
      <c r="AJ286" t="n">
        <v>0</v>
      </c>
      <c r="AK286" t="n">
        <v>8</v>
      </c>
      <c r="AL286" t="n">
        <v>1</v>
      </c>
      <c r="AM286" t="n">
        <v>4</v>
      </c>
      <c r="AN286" t="n">
        <v>0</v>
      </c>
      <c r="AO286" t="n">
        <v>0</v>
      </c>
      <c r="AP286" t="inlineStr">
        <is>
          <t>No</t>
        </is>
      </c>
      <c r="AQ286" t="inlineStr">
        <is>
          <t>Yes</t>
        </is>
      </c>
      <c r="AR286">
        <f>HYPERLINK("http://catalog.hathitrust.org/Record/001286419","HathiTrust Record")</f>
        <v/>
      </c>
      <c r="AS286">
        <f>HYPERLINK("https://creighton-primo.hosted.exlibrisgroup.com/primo-explore/search?tab=default_tab&amp;search_scope=EVERYTHING&amp;vid=01CRU&amp;lang=en_US&amp;offset=0&amp;query=any,contains,991003827429702656","Catalog Record")</f>
        <v/>
      </c>
      <c r="AT286">
        <f>HYPERLINK("http://www.worldcat.org/oclc/1580489","WorldCat Record")</f>
        <v/>
      </c>
      <c r="AU286" t="inlineStr">
        <is>
          <t>1579965:eng</t>
        </is>
      </c>
      <c r="AV286" t="inlineStr">
        <is>
          <t>1580489</t>
        </is>
      </c>
      <c r="AW286" t="inlineStr">
        <is>
          <t>991003827429702656</t>
        </is>
      </c>
      <c r="AX286" t="inlineStr">
        <is>
          <t>991003827429702656</t>
        </is>
      </c>
      <c r="AY286" t="inlineStr">
        <is>
          <t>2267199700002656</t>
        </is>
      </c>
      <c r="AZ286" t="inlineStr">
        <is>
          <t>BOOK</t>
        </is>
      </c>
      <c r="BB286" t="inlineStr">
        <is>
          <t>9780080181592</t>
        </is>
      </c>
      <c r="BC286" t="inlineStr">
        <is>
          <t>32285001836450</t>
        </is>
      </c>
      <c r="BD286" t="inlineStr">
        <is>
          <t>893623964</t>
        </is>
      </c>
    </row>
    <row r="287">
      <c r="A287" t="inlineStr">
        <is>
          <t>No</t>
        </is>
      </c>
      <c r="B287" t="inlineStr">
        <is>
          <t>GC1556 .S74</t>
        </is>
      </c>
      <c r="C287" t="inlineStr">
        <is>
          <t>0                      GC 1556000S  74</t>
        </is>
      </c>
      <c r="D287" t="inlineStr">
        <is>
          <t>Blowout; a case study of the Santa Barbara oil spill, by Carol E. Steinhart and John S. Steinhart. With a foreword by Walter J. Hickel.</t>
        </is>
      </c>
      <c r="F287" t="inlineStr">
        <is>
          <t>No</t>
        </is>
      </c>
      <c r="G287" t="inlineStr">
        <is>
          <t>1</t>
        </is>
      </c>
      <c r="H287" t="inlineStr">
        <is>
          <t>No</t>
        </is>
      </c>
      <c r="I287" t="inlineStr">
        <is>
          <t>No</t>
        </is>
      </c>
      <c r="J287" t="inlineStr">
        <is>
          <t>0</t>
        </is>
      </c>
      <c r="K287" t="inlineStr">
        <is>
          <t>Steinhart, Carol E.</t>
        </is>
      </c>
      <c r="L287" t="inlineStr">
        <is>
          <t>North Scituate, Mass., Duxbury Press [1972]</t>
        </is>
      </c>
      <c r="M287" t="inlineStr">
        <is>
          <t>1972</t>
        </is>
      </c>
      <c r="O287" t="inlineStr">
        <is>
          <t>eng</t>
        </is>
      </c>
      <c r="P287" t="inlineStr">
        <is>
          <t>mau</t>
        </is>
      </c>
      <c r="R287" t="inlineStr">
        <is>
          <t xml:space="preserve">GC </t>
        </is>
      </c>
      <c r="S287" t="n">
        <v>6</v>
      </c>
      <c r="T287" t="n">
        <v>6</v>
      </c>
      <c r="U287" t="inlineStr">
        <is>
          <t>2000-11-10</t>
        </is>
      </c>
      <c r="V287" t="inlineStr">
        <is>
          <t>2000-11-10</t>
        </is>
      </c>
      <c r="W287" t="inlineStr">
        <is>
          <t>1991-12-12</t>
        </is>
      </c>
      <c r="X287" t="inlineStr">
        <is>
          <t>1991-12-12</t>
        </is>
      </c>
      <c r="Y287" t="n">
        <v>516</v>
      </c>
      <c r="Z287" t="n">
        <v>463</v>
      </c>
      <c r="AA287" t="n">
        <v>470</v>
      </c>
      <c r="AB287" t="n">
        <v>7</v>
      </c>
      <c r="AC287" t="n">
        <v>7</v>
      </c>
      <c r="AD287" t="n">
        <v>18</v>
      </c>
      <c r="AE287" t="n">
        <v>18</v>
      </c>
      <c r="AF287" t="n">
        <v>6</v>
      </c>
      <c r="AG287" t="n">
        <v>6</v>
      </c>
      <c r="AH287" t="n">
        <v>2</v>
      </c>
      <c r="AI287" t="n">
        <v>2</v>
      </c>
      <c r="AJ287" t="n">
        <v>6</v>
      </c>
      <c r="AK287" t="n">
        <v>6</v>
      </c>
      <c r="AL287" t="n">
        <v>6</v>
      </c>
      <c r="AM287" t="n">
        <v>6</v>
      </c>
      <c r="AN287" t="n">
        <v>0</v>
      </c>
      <c r="AO287" t="n">
        <v>0</v>
      </c>
      <c r="AP287" t="inlineStr">
        <is>
          <t>No</t>
        </is>
      </c>
      <c r="AQ287" t="inlineStr">
        <is>
          <t>Yes</t>
        </is>
      </c>
      <c r="AR287">
        <f>HYPERLINK("http://catalog.hathitrust.org/Record/001273699","HathiTrust Record")</f>
        <v/>
      </c>
      <c r="AS287">
        <f>HYPERLINK("https://creighton-primo.hosted.exlibrisgroup.com/primo-explore/search?tab=default_tab&amp;search_scope=EVERYTHING&amp;vid=01CRU&amp;lang=en_US&amp;offset=0&amp;query=any,contains,991002615319702656","Catalog Record")</f>
        <v/>
      </c>
      <c r="AT287">
        <f>HYPERLINK("http://www.worldcat.org/oclc/379466","WorldCat Record")</f>
        <v/>
      </c>
      <c r="AU287" t="inlineStr">
        <is>
          <t>308102519:eng</t>
        </is>
      </c>
      <c r="AV287" t="inlineStr">
        <is>
          <t>379466</t>
        </is>
      </c>
      <c r="AW287" t="inlineStr">
        <is>
          <t>991002615319702656</t>
        </is>
      </c>
      <c r="AX287" t="inlineStr">
        <is>
          <t>991002615319702656</t>
        </is>
      </c>
      <c r="AY287" t="inlineStr">
        <is>
          <t>2265089180002656</t>
        </is>
      </c>
      <c r="AZ287" t="inlineStr">
        <is>
          <t>BOOK</t>
        </is>
      </c>
      <c r="BB287" t="inlineStr">
        <is>
          <t>9780878720378</t>
        </is>
      </c>
      <c r="BC287" t="inlineStr">
        <is>
          <t>32285000900646</t>
        </is>
      </c>
      <c r="BD287" t="inlineStr">
        <is>
          <t>893892774</t>
        </is>
      </c>
    </row>
    <row r="288">
      <c r="A288" t="inlineStr">
        <is>
          <t>No</t>
        </is>
      </c>
      <c r="B288" t="inlineStr">
        <is>
          <t>GC16 .G7</t>
        </is>
      </c>
      <c r="C288" t="inlineStr">
        <is>
          <t>0                      GC 0016000G  7</t>
        </is>
      </c>
      <c r="D288" t="inlineStr">
        <is>
          <t>Oceanography : a view of the earth / [by] M. Grant Gross. Illustrated by Roger Hayward.</t>
        </is>
      </c>
      <c r="F288" t="inlineStr">
        <is>
          <t>No</t>
        </is>
      </c>
      <c r="G288" t="inlineStr">
        <is>
          <t>1</t>
        </is>
      </c>
      <c r="H288" t="inlineStr">
        <is>
          <t>No</t>
        </is>
      </c>
      <c r="I288" t="inlineStr">
        <is>
          <t>Yes</t>
        </is>
      </c>
      <c r="J288" t="inlineStr">
        <is>
          <t>0</t>
        </is>
      </c>
      <c r="K288" t="inlineStr">
        <is>
          <t>Gross, M. Grant (Meredith Grant), 1933-</t>
        </is>
      </c>
      <c r="L288" t="inlineStr">
        <is>
          <t>Englewood Cliffs, N.J. : Prentice-Hall, [1972]</t>
        </is>
      </c>
      <c r="M288" t="inlineStr">
        <is>
          <t>1972</t>
        </is>
      </c>
      <c r="O288" t="inlineStr">
        <is>
          <t>eng</t>
        </is>
      </c>
      <c r="P288" t="inlineStr">
        <is>
          <t>nju</t>
        </is>
      </c>
      <c r="R288" t="inlineStr">
        <is>
          <t xml:space="preserve">GC </t>
        </is>
      </c>
      <c r="S288" t="n">
        <v>15</v>
      </c>
      <c r="T288" t="n">
        <v>15</v>
      </c>
      <c r="U288" t="inlineStr">
        <is>
          <t>1998-12-10</t>
        </is>
      </c>
      <c r="V288" t="inlineStr">
        <is>
          <t>1998-12-10</t>
        </is>
      </c>
      <c r="W288" t="inlineStr">
        <is>
          <t>1994-12-12</t>
        </is>
      </c>
      <c r="X288" t="inlineStr">
        <is>
          <t>1994-12-12</t>
        </is>
      </c>
      <c r="Y288" t="n">
        <v>524</v>
      </c>
      <c r="Z288" t="n">
        <v>419</v>
      </c>
      <c r="AA288" t="n">
        <v>1217</v>
      </c>
      <c r="AB288" t="n">
        <v>4</v>
      </c>
      <c r="AC288" t="n">
        <v>13</v>
      </c>
      <c r="AD288" t="n">
        <v>11</v>
      </c>
      <c r="AE288" t="n">
        <v>37</v>
      </c>
      <c r="AF288" t="n">
        <v>5</v>
      </c>
      <c r="AG288" t="n">
        <v>15</v>
      </c>
      <c r="AH288" t="n">
        <v>2</v>
      </c>
      <c r="AI288" t="n">
        <v>6</v>
      </c>
      <c r="AJ288" t="n">
        <v>4</v>
      </c>
      <c r="AK288" t="n">
        <v>15</v>
      </c>
      <c r="AL288" t="n">
        <v>3</v>
      </c>
      <c r="AM288" t="n">
        <v>9</v>
      </c>
      <c r="AN288" t="n">
        <v>0</v>
      </c>
      <c r="AO288" t="n">
        <v>0</v>
      </c>
      <c r="AP288" t="inlineStr">
        <is>
          <t>No</t>
        </is>
      </c>
      <c r="AQ288" t="inlineStr">
        <is>
          <t>Yes</t>
        </is>
      </c>
      <c r="AR288">
        <f>HYPERLINK("http://catalog.hathitrust.org/Record/000631038","HathiTrust Record")</f>
        <v/>
      </c>
      <c r="AS288">
        <f>HYPERLINK("https://creighton-primo.hosted.exlibrisgroup.com/primo-explore/search?tab=default_tab&amp;search_scope=EVERYTHING&amp;vid=01CRU&amp;lang=en_US&amp;offset=0&amp;query=any,contains,991003584639702656","Catalog Record")</f>
        <v/>
      </c>
      <c r="AT288">
        <f>HYPERLINK("http://www.worldcat.org/oclc/1165050","WorldCat Record")</f>
        <v/>
      </c>
      <c r="AU288" t="inlineStr">
        <is>
          <t>1254261:eng</t>
        </is>
      </c>
      <c r="AV288" t="inlineStr">
        <is>
          <t>1165050</t>
        </is>
      </c>
      <c r="AW288" t="inlineStr">
        <is>
          <t>991003584639702656</t>
        </is>
      </c>
      <c r="AX288" t="inlineStr">
        <is>
          <t>991003584639702656</t>
        </is>
      </c>
      <c r="AY288" t="inlineStr">
        <is>
          <t>2264765070002656</t>
        </is>
      </c>
      <c r="AZ288" t="inlineStr">
        <is>
          <t>BOOK</t>
        </is>
      </c>
      <c r="BB288" t="inlineStr">
        <is>
          <t>9780136296591</t>
        </is>
      </c>
      <c r="BC288" t="inlineStr">
        <is>
          <t>32285001981918</t>
        </is>
      </c>
      <c r="BD288" t="inlineStr">
        <is>
          <t>893246522</t>
        </is>
      </c>
    </row>
    <row r="289">
      <c r="A289" t="inlineStr">
        <is>
          <t>No</t>
        </is>
      </c>
      <c r="B289" t="inlineStr">
        <is>
          <t>GC178.2 .O66 1995</t>
        </is>
      </c>
      <c r="C289" t="inlineStr">
        <is>
          <t>0                      GC 0178200O  66          1995</t>
        </is>
      </c>
      <c r="D289" t="inlineStr">
        <is>
          <t>Optical properties and remote sensing of inland and coastal waters / Robert P. Bukata ... [et al.].</t>
        </is>
      </c>
      <c r="F289" t="inlineStr">
        <is>
          <t>No</t>
        </is>
      </c>
      <c r="G289" t="inlineStr">
        <is>
          <t>1</t>
        </is>
      </c>
      <c r="H289" t="inlineStr">
        <is>
          <t>No</t>
        </is>
      </c>
      <c r="I289" t="inlineStr">
        <is>
          <t>No</t>
        </is>
      </c>
      <c r="J289" t="inlineStr">
        <is>
          <t>0</t>
        </is>
      </c>
      <c r="L289" t="inlineStr">
        <is>
          <t>Boca Raton, FL : CRC Press, 1995.</t>
        </is>
      </c>
      <c r="M289" t="inlineStr">
        <is>
          <t>1995</t>
        </is>
      </c>
      <c r="O289" t="inlineStr">
        <is>
          <t>eng</t>
        </is>
      </c>
      <c r="P289" t="inlineStr">
        <is>
          <t>flu</t>
        </is>
      </c>
      <c r="R289" t="inlineStr">
        <is>
          <t xml:space="preserve">GC </t>
        </is>
      </c>
      <c r="S289" t="n">
        <v>13</v>
      </c>
      <c r="T289" t="n">
        <v>13</v>
      </c>
      <c r="U289" t="inlineStr">
        <is>
          <t>2010-11-22</t>
        </is>
      </c>
      <c r="V289" t="inlineStr">
        <is>
          <t>2010-11-22</t>
        </is>
      </c>
      <c r="W289" t="inlineStr">
        <is>
          <t>1995-11-27</t>
        </is>
      </c>
      <c r="X289" t="inlineStr">
        <is>
          <t>1995-11-27</t>
        </is>
      </c>
      <c r="Y289" t="n">
        <v>265</v>
      </c>
      <c r="Z289" t="n">
        <v>182</v>
      </c>
      <c r="AA289" t="n">
        <v>225</v>
      </c>
      <c r="AB289" t="n">
        <v>3</v>
      </c>
      <c r="AC289" t="n">
        <v>3</v>
      </c>
      <c r="AD289" t="n">
        <v>4</v>
      </c>
      <c r="AE289" t="n">
        <v>4</v>
      </c>
      <c r="AF289" t="n">
        <v>1</v>
      </c>
      <c r="AG289" t="n">
        <v>1</v>
      </c>
      <c r="AH289" t="n">
        <v>1</v>
      </c>
      <c r="AI289" t="n">
        <v>1</v>
      </c>
      <c r="AJ289" t="n">
        <v>0</v>
      </c>
      <c r="AK289" t="n">
        <v>0</v>
      </c>
      <c r="AL289" t="n">
        <v>2</v>
      </c>
      <c r="AM289" t="n">
        <v>2</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HYPERLINK("https://creighton-primo.hosted.exlibrisgroup.com/primo-explore/search?tab=default_tab&amp;search_scope=EVERYTHING&amp;vid=01CRU&amp;lang=en_US&amp;offset=0&amp;query=any,contains,991002485419702656","Catalog Record")</f>
        <v/>
      </c>
      <c r="AT289">
        <f>HYPERLINK("http://www.worldcat.org/oclc/32347859","WorldCat Record")</f>
        <v/>
      </c>
      <c r="AU289" t="inlineStr">
        <is>
          <t>37102169:eng</t>
        </is>
      </c>
      <c r="AV289" t="inlineStr">
        <is>
          <t>32347859</t>
        </is>
      </c>
      <c r="AW289" t="inlineStr">
        <is>
          <t>991002485419702656</t>
        </is>
      </c>
      <c r="AX289" t="inlineStr">
        <is>
          <t>991002485419702656</t>
        </is>
      </c>
      <c r="AY289" t="inlineStr">
        <is>
          <t>2261044720002656</t>
        </is>
      </c>
      <c r="AZ289" t="inlineStr">
        <is>
          <t>BOOK</t>
        </is>
      </c>
      <c r="BB289" t="inlineStr">
        <is>
          <t>9780849347542</t>
        </is>
      </c>
      <c r="BC289" t="inlineStr">
        <is>
          <t>32285002106507</t>
        </is>
      </c>
      <c r="BD289" t="inlineStr">
        <is>
          <t>893504437</t>
        </is>
      </c>
    </row>
    <row r="290">
      <c r="A290" t="inlineStr">
        <is>
          <t>No</t>
        </is>
      </c>
      <c r="B290" t="inlineStr">
        <is>
          <t>GC180 .G67 1983</t>
        </is>
      </c>
      <c r="C290" t="inlineStr">
        <is>
          <t>0                      GC 0180000G  67          1983</t>
        </is>
      </c>
      <c r="D290" t="inlineStr">
        <is>
          <t>Remote assessment of ocean color for interpretation of satellite visible imagery : a review / Howard R. Gordon, André Y. Morel.</t>
        </is>
      </c>
      <c r="F290" t="inlineStr">
        <is>
          <t>No</t>
        </is>
      </c>
      <c r="G290" t="inlineStr">
        <is>
          <t>1</t>
        </is>
      </c>
      <c r="H290" t="inlineStr">
        <is>
          <t>No</t>
        </is>
      </c>
      <c r="I290" t="inlineStr">
        <is>
          <t>No</t>
        </is>
      </c>
      <c r="J290" t="inlineStr">
        <is>
          <t>0</t>
        </is>
      </c>
      <c r="K290" t="inlineStr">
        <is>
          <t>Gordon, Howard R.</t>
        </is>
      </c>
      <c r="L290" t="inlineStr">
        <is>
          <t>New York : Springer-Verlag, 1983.</t>
        </is>
      </c>
      <c r="M290" t="inlineStr">
        <is>
          <t>1983</t>
        </is>
      </c>
      <c r="O290" t="inlineStr">
        <is>
          <t>eng</t>
        </is>
      </c>
      <c r="P290" t="inlineStr">
        <is>
          <t>nyu</t>
        </is>
      </c>
      <c r="Q290" t="inlineStr">
        <is>
          <t>Lecture notes on coastal and estuarine studies ; 4</t>
        </is>
      </c>
      <c r="R290" t="inlineStr">
        <is>
          <t xml:space="preserve">GC </t>
        </is>
      </c>
      <c r="S290" t="n">
        <v>4</v>
      </c>
      <c r="T290" t="n">
        <v>4</v>
      </c>
      <c r="U290" t="inlineStr">
        <is>
          <t>2004-09-03</t>
        </is>
      </c>
      <c r="V290" t="inlineStr">
        <is>
          <t>2004-09-03</t>
        </is>
      </c>
      <c r="W290" t="inlineStr">
        <is>
          <t>1990-09-13</t>
        </is>
      </c>
      <c r="X290" t="inlineStr">
        <is>
          <t>1990-09-13</t>
        </is>
      </c>
      <c r="Y290" t="n">
        <v>187</v>
      </c>
      <c r="Z290" t="n">
        <v>122</v>
      </c>
      <c r="AA290" t="n">
        <v>200</v>
      </c>
      <c r="AB290" t="n">
        <v>2</v>
      </c>
      <c r="AC290" t="n">
        <v>3</v>
      </c>
      <c r="AD290" t="n">
        <v>3</v>
      </c>
      <c r="AE290" t="n">
        <v>5</v>
      </c>
      <c r="AF290" t="n">
        <v>1</v>
      </c>
      <c r="AG290" t="n">
        <v>2</v>
      </c>
      <c r="AH290" t="n">
        <v>1</v>
      </c>
      <c r="AI290" t="n">
        <v>1</v>
      </c>
      <c r="AJ290" t="n">
        <v>0</v>
      </c>
      <c r="AK290" t="n">
        <v>1</v>
      </c>
      <c r="AL290" t="n">
        <v>1</v>
      </c>
      <c r="AM290" t="n">
        <v>2</v>
      </c>
      <c r="AN290" t="n">
        <v>0</v>
      </c>
      <c r="AO290" t="n">
        <v>0</v>
      </c>
      <c r="AP290" t="inlineStr">
        <is>
          <t>No</t>
        </is>
      </c>
      <c r="AQ290" t="inlineStr">
        <is>
          <t>Yes</t>
        </is>
      </c>
      <c r="AR290">
        <f>HYPERLINK("http://catalog.hathitrust.org/Record/005760131","HathiTrust Record")</f>
        <v/>
      </c>
      <c r="AS290">
        <f>HYPERLINK("https://creighton-primo.hosted.exlibrisgroup.com/primo-explore/search?tab=default_tab&amp;search_scope=EVERYTHING&amp;vid=01CRU&amp;lang=en_US&amp;offset=0&amp;query=any,contains,991005403389702656","Catalog Record")</f>
        <v/>
      </c>
      <c r="AT290">
        <f>HYPERLINK("http://www.worldcat.org/oclc/9944002","WorldCat Record")</f>
        <v/>
      </c>
      <c r="AU290" t="inlineStr">
        <is>
          <t>795556794:eng</t>
        </is>
      </c>
      <c r="AV290" t="inlineStr">
        <is>
          <t>9944002</t>
        </is>
      </c>
      <c r="AW290" t="inlineStr">
        <is>
          <t>991005403389702656</t>
        </is>
      </c>
      <c r="AX290" t="inlineStr">
        <is>
          <t>991005403389702656</t>
        </is>
      </c>
      <c r="AY290" t="inlineStr">
        <is>
          <t>2262286790002656</t>
        </is>
      </c>
      <c r="AZ290" t="inlineStr">
        <is>
          <t>BOOK</t>
        </is>
      </c>
      <c r="BB290" t="inlineStr">
        <is>
          <t>9780387909233</t>
        </is>
      </c>
      <c r="BC290" t="inlineStr">
        <is>
          <t>32285000286657</t>
        </is>
      </c>
      <c r="BD290" t="inlineStr">
        <is>
          <t>893339037</t>
        </is>
      </c>
    </row>
    <row r="291">
      <c r="A291" t="inlineStr">
        <is>
          <t>No</t>
        </is>
      </c>
      <c r="B291" t="inlineStr">
        <is>
          <t>GC190.2 .C66 1988</t>
        </is>
      </c>
      <c r="C291" t="inlineStr">
        <is>
          <t>0                      GC 0190200C  66          1988</t>
        </is>
      </c>
      <c r="D291" t="inlineStr">
        <is>
          <t>Seventh Conference on Ocean-Atmosphere Interaction, February 1-5, l988, Anaheim, Calif. : [preprints] / sponsored by American Meteorological Society.</t>
        </is>
      </c>
      <c r="F291" t="inlineStr">
        <is>
          <t>No</t>
        </is>
      </c>
      <c r="G291" t="inlineStr">
        <is>
          <t>1</t>
        </is>
      </c>
      <c r="H291" t="inlineStr">
        <is>
          <t>No</t>
        </is>
      </c>
      <c r="I291" t="inlineStr">
        <is>
          <t>No</t>
        </is>
      </c>
      <c r="J291" t="inlineStr">
        <is>
          <t>0</t>
        </is>
      </c>
      <c r="K291" t="inlineStr">
        <is>
          <t>Conference on Ocean-Atmosphere Interaction (7th : 1988 : Anaheim, Calif.)</t>
        </is>
      </c>
      <c r="L291" t="inlineStr">
        <is>
          <t>Boston : American Meteorological Society, [1988, c1987]</t>
        </is>
      </c>
      <c r="M291" t="inlineStr">
        <is>
          <t>1988</t>
        </is>
      </c>
      <c r="O291" t="inlineStr">
        <is>
          <t>eng</t>
        </is>
      </c>
      <c r="P291" t="inlineStr">
        <is>
          <t>mau</t>
        </is>
      </c>
      <c r="R291" t="inlineStr">
        <is>
          <t xml:space="preserve">GC </t>
        </is>
      </c>
      <c r="S291" t="n">
        <v>2</v>
      </c>
      <c r="T291" t="n">
        <v>2</v>
      </c>
      <c r="U291" t="inlineStr">
        <is>
          <t>1994-05-28</t>
        </is>
      </c>
      <c r="V291" t="inlineStr">
        <is>
          <t>1994-05-28</t>
        </is>
      </c>
      <c r="W291" t="inlineStr">
        <is>
          <t>1990-09-13</t>
        </is>
      </c>
      <c r="X291" t="inlineStr">
        <is>
          <t>1990-09-13</t>
        </is>
      </c>
      <c r="Y291" t="n">
        <v>44</v>
      </c>
      <c r="Z291" t="n">
        <v>36</v>
      </c>
      <c r="AA291" t="n">
        <v>39</v>
      </c>
      <c r="AB291" t="n">
        <v>1</v>
      </c>
      <c r="AC291" t="n">
        <v>1</v>
      </c>
      <c r="AD291" t="n">
        <v>0</v>
      </c>
      <c r="AE291" t="n">
        <v>0</v>
      </c>
      <c r="AF291" t="n">
        <v>0</v>
      </c>
      <c r="AG291" t="n">
        <v>0</v>
      </c>
      <c r="AH291" t="n">
        <v>0</v>
      </c>
      <c r="AI291" t="n">
        <v>0</v>
      </c>
      <c r="AJ291" t="n">
        <v>0</v>
      </c>
      <c r="AK291" t="n">
        <v>0</v>
      </c>
      <c r="AL291" t="n">
        <v>0</v>
      </c>
      <c r="AM291" t="n">
        <v>0</v>
      </c>
      <c r="AN291" t="n">
        <v>0</v>
      </c>
      <c r="AO291" t="n">
        <v>0</v>
      </c>
      <c r="AP291" t="inlineStr">
        <is>
          <t>No</t>
        </is>
      </c>
      <c r="AQ291" t="inlineStr">
        <is>
          <t>Yes</t>
        </is>
      </c>
      <c r="AR291">
        <f>HYPERLINK("http://catalog.hathitrust.org/Record/005761108","HathiTrust Record")</f>
        <v/>
      </c>
      <c r="AS291">
        <f>HYPERLINK("https://creighton-primo.hosted.exlibrisgroup.com/primo-explore/search?tab=default_tab&amp;search_scope=EVERYTHING&amp;vid=01CRU&amp;lang=en_US&amp;offset=0&amp;query=any,contains,991001307859702656","Catalog Record")</f>
        <v/>
      </c>
      <c r="AT291">
        <f>HYPERLINK("http://www.worldcat.org/oclc/18131342","WorldCat Record")</f>
        <v/>
      </c>
      <c r="AU291" t="inlineStr">
        <is>
          <t>1151411953:eng</t>
        </is>
      </c>
      <c r="AV291" t="inlineStr">
        <is>
          <t>18131342</t>
        </is>
      </c>
      <c r="AW291" t="inlineStr">
        <is>
          <t>991001307859702656</t>
        </is>
      </c>
      <c r="AX291" t="inlineStr">
        <is>
          <t>991001307859702656</t>
        </is>
      </c>
      <c r="AY291" t="inlineStr">
        <is>
          <t>2262043030002656</t>
        </is>
      </c>
      <c r="AZ291" t="inlineStr">
        <is>
          <t>BOOK</t>
        </is>
      </c>
      <c r="BC291" t="inlineStr">
        <is>
          <t>32285000286673</t>
        </is>
      </c>
      <c r="BD291" t="inlineStr">
        <is>
          <t>893702924</t>
        </is>
      </c>
    </row>
    <row r="292">
      <c r="A292" t="inlineStr">
        <is>
          <t>No</t>
        </is>
      </c>
      <c r="B292" t="inlineStr">
        <is>
          <t>GC190.2 .S43 1997</t>
        </is>
      </c>
      <c r="C292" t="inlineStr">
        <is>
          <t>0                      GC 0190200S  43          1997</t>
        </is>
      </c>
      <c r="D292" t="inlineStr">
        <is>
          <t>The sea surface and global change / edited by Peter S. Liss and Robert A. Duce.</t>
        </is>
      </c>
      <c r="F292" t="inlineStr">
        <is>
          <t>No</t>
        </is>
      </c>
      <c r="G292" t="inlineStr">
        <is>
          <t>1</t>
        </is>
      </c>
      <c r="H292" t="inlineStr">
        <is>
          <t>No</t>
        </is>
      </c>
      <c r="I292" t="inlineStr">
        <is>
          <t>No</t>
        </is>
      </c>
      <c r="J292" t="inlineStr">
        <is>
          <t>0</t>
        </is>
      </c>
      <c r="L292" t="inlineStr">
        <is>
          <t>Cambridge ; New York : Cambridge University Press, 1997.</t>
        </is>
      </c>
      <c r="M292" t="inlineStr">
        <is>
          <t>1997</t>
        </is>
      </c>
      <c r="O292" t="inlineStr">
        <is>
          <t>eng</t>
        </is>
      </c>
      <c r="P292" t="inlineStr">
        <is>
          <t>enk</t>
        </is>
      </c>
      <c r="R292" t="inlineStr">
        <is>
          <t xml:space="preserve">GC </t>
        </is>
      </c>
      <c r="S292" t="n">
        <v>2</v>
      </c>
      <c r="T292" t="n">
        <v>2</v>
      </c>
      <c r="U292" t="inlineStr">
        <is>
          <t>1999-10-03</t>
        </is>
      </c>
      <c r="V292" t="inlineStr">
        <is>
          <t>1999-10-03</t>
        </is>
      </c>
      <c r="W292" t="inlineStr">
        <is>
          <t>1998-02-19</t>
        </is>
      </c>
      <c r="X292" t="inlineStr">
        <is>
          <t>1998-02-19</t>
        </is>
      </c>
      <c r="Y292" t="n">
        <v>276</v>
      </c>
      <c r="Z292" t="n">
        <v>200</v>
      </c>
      <c r="AA292" t="n">
        <v>216</v>
      </c>
      <c r="AB292" t="n">
        <v>1</v>
      </c>
      <c r="AC292" t="n">
        <v>1</v>
      </c>
      <c r="AD292" t="n">
        <v>3</v>
      </c>
      <c r="AE292" t="n">
        <v>3</v>
      </c>
      <c r="AF292" t="n">
        <v>0</v>
      </c>
      <c r="AG292" t="n">
        <v>0</v>
      </c>
      <c r="AH292" t="n">
        <v>2</v>
      </c>
      <c r="AI292" t="n">
        <v>2</v>
      </c>
      <c r="AJ292" t="n">
        <v>1</v>
      </c>
      <c r="AK292" t="n">
        <v>1</v>
      </c>
      <c r="AL292" t="n">
        <v>0</v>
      </c>
      <c r="AM292" t="n">
        <v>0</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HYPERLINK("https://creighton-primo.hosted.exlibrisgroup.com/primo-explore/search?tab=default_tab&amp;search_scope=EVERYTHING&amp;vid=01CRU&amp;lang=en_US&amp;offset=0&amp;query=any,contains,991002671409702656","Catalog Record")</f>
        <v/>
      </c>
      <c r="AT292">
        <f>HYPERLINK("http://www.worldcat.org/oclc/34933503","WorldCat Record")</f>
        <v/>
      </c>
      <c r="AU292" t="inlineStr">
        <is>
          <t>896285628:eng</t>
        </is>
      </c>
      <c r="AV292" t="inlineStr">
        <is>
          <t>34933503</t>
        </is>
      </c>
      <c r="AW292" t="inlineStr">
        <is>
          <t>991002671409702656</t>
        </is>
      </c>
      <c r="AX292" t="inlineStr">
        <is>
          <t>991002671409702656</t>
        </is>
      </c>
      <c r="AY292" t="inlineStr">
        <is>
          <t>2268918650002656</t>
        </is>
      </c>
      <c r="AZ292" t="inlineStr">
        <is>
          <t>BOOK</t>
        </is>
      </c>
      <c r="BB292" t="inlineStr">
        <is>
          <t>9780521562737</t>
        </is>
      </c>
      <c r="BC292" t="inlineStr">
        <is>
          <t>32285003314175</t>
        </is>
      </c>
      <c r="BD292" t="inlineStr">
        <is>
          <t>893511044</t>
        </is>
      </c>
    </row>
    <row r="293">
      <c r="A293" t="inlineStr">
        <is>
          <t>No</t>
        </is>
      </c>
      <c r="B293" t="inlineStr">
        <is>
          <t>GC190.5 .L37 2002</t>
        </is>
      </c>
      <c r="C293" t="inlineStr">
        <is>
          <t>0                      GC 0190500L  37          2002</t>
        </is>
      </c>
      <c r="D293" t="inlineStr">
        <is>
          <t>Large-scale atmosphere-ocean dynamics / edited by John Norbury and Ian Roulstone.</t>
        </is>
      </c>
      <c r="E293" t="inlineStr">
        <is>
          <t>V. 2</t>
        </is>
      </c>
      <c r="F293" t="inlineStr">
        <is>
          <t>Yes</t>
        </is>
      </c>
      <c r="G293" t="inlineStr">
        <is>
          <t>1</t>
        </is>
      </c>
      <c r="H293" t="inlineStr">
        <is>
          <t>No</t>
        </is>
      </c>
      <c r="I293" t="inlineStr">
        <is>
          <t>No</t>
        </is>
      </c>
      <c r="J293" t="inlineStr">
        <is>
          <t>0</t>
        </is>
      </c>
      <c r="L293" t="inlineStr">
        <is>
          <t>Cambridge : Cambridge University Press, c2002.</t>
        </is>
      </c>
      <c r="M293" t="inlineStr">
        <is>
          <t>2002</t>
        </is>
      </c>
      <c r="O293" t="inlineStr">
        <is>
          <t>eng</t>
        </is>
      </c>
      <c r="P293" t="inlineStr">
        <is>
          <t>enk</t>
        </is>
      </c>
      <c r="R293" t="inlineStr">
        <is>
          <t xml:space="preserve">GC </t>
        </is>
      </c>
      <c r="S293" t="n">
        <v>1</v>
      </c>
      <c r="T293" t="n">
        <v>2</v>
      </c>
      <c r="U293" t="inlineStr">
        <is>
          <t>2003-04-15</t>
        </is>
      </c>
      <c r="V293" t="inlineStr">
        <is>
          <t>2003-04-15</t>
        </is>
      </c>
      <c r="W293" t="inlineStr">
        <is>
          <t>2003-04-15</t>
        </is>
      </c>
      <c r="X293" t="inlineStr">
        <is>
          <t>2003-04-15</t>
        </is>
      </c>
      <c r="Y293" t="n">
        <v>184</v>
      </c>
      <c r="Z293" t="n">
        <v>134</v>
      </c>
      <c r="AA293" t="n">
        <v>135</v>
      </c>
      <c r="AB293" t="n">
        <v>3</v>
      </c>
      <c r="AC293" t="n">
        <v>3</v>
      </c>
      <c r="AD293" t="n">
        <v>4</v>
      </c>
      <c r="AE293" t="n">
        <v>4</v>
      </c>
      <c r="AF293" t="n">
        <v>1</v>
      </c>
      <c r="AG293" t="n">
        <v>1</v>
      </c>
      <c r="AH293" t="n">
        <v>1</v>
      </c>
      <c r="AI293" t="n">
        <v>1</v>
      </c>
      <c r="AJ293" t="n">
        <v>1</v>
      </c>
      <c r="AK293" t="n">
        <v>1</v>
      </c>
      <c r="AL293" t="n">
        <v>2</v>
      </c>
      <c r="AM293" t="n">
        <v>2</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HYPERLINK("https://creighton-primo.hosted.exlibrisgroup.com/primo-explore/search?tab=default_tab&amp;search_scope=EVERYTHING&amp;vid=01CRU&amp;lang=en_US&amp;offset=0&amp;query=any,contains,991004017509702656","Catalog Record")</f>
        <v/>
      </c>
      <c r="AT293">
        <f>HYPERLINK("http://www.worldcat.org/oclc/50494219","WorldCat Record")</f>
        <v/>
      </c>
      <c r="AU293" t="inlineStr">
        <is>
          <t>3373843057:eng</t>
        </is>
      </c>
      <c r="AV293" t="inlineStr">
        <is>
          <t>50494219</t>
        </is>
      </c>
      <c r="AW293" t="inlineStr">
        <is>
          <t>991004017509702656</t>
        </is>
      </c>
      <c r="AX293" t="inlineStr">
        <is>
          <t>991004017509702656</t>
        </is>
      </c>
      <c r="AY293" t="inlineStr">
        <is>
          <t>2269670250002656</t>
        </is>
      </c>
      <c r="AZ293" t="inlineStr">
        <is>
          <t>BOOK</t>
        </is>
      </c>
      <c r="BB293" t="inlineStr">
        <is>
          <t>9780521806817</t>
        </is>
      </c>
      <c r="BC293" t="inlineStr">
        <is>
          <t>32285004742671</t>
        </is>
      </c>
      <c r="BD293" t="inlineStr">
        <is>
          <t>893525522</t>
        </is>
      </c>
    </row>
    <row r="294">
      <c r="A294" t="inlineStr">
        <is>
          <t>No</t>
        </is>
      </c>
      <c r="B294" t="inlineStr">
        <is>
          <t>GC190.5 .L37 2002</t>
        </is>
      </c>
      <c r="C294" t="inlineStr">
        <is>
          <t>0                      GC 0190500L  37          2002</t>
        </is>
      </c>
      <c r="D294" t="inlineStr">
        <is>
          <t>Large-scale atmosphere-ocean dynamics / edited by John Norbury and Ian Roulstone.</t>
        </is>
      </c>
      <c r="E294" t="inlineStr">
        <is>
          <t>V. 1</t>
        </is>
      </c>
      <c r="F294" t="inlineStr">
        <is>
          <t>Yes</t>
        </is>
      </c>
      <c r="G294" t="inlineStr">
        <is>
          <t>1</t>
        </is>
      </c>
      <c r="H294" t="inlineStr">
        <is>
          <t>No</t>
        </is>
      </c>
      <c r="I294" t="inlineStr">
        <is>
          <t>No</t>
        </is>
      </c>
      <c r="J294" t="inlineStr">
        <is>
          <t>0</t>
        </is>
      </c>
      <c r="L294" t="inlineStr">
        <is>
          <t>Cambridge : Cambridge University Press, c2002.</t>
        </is>
      </c>
      <c r="M294" t="inlineStr">
        <is>
          <t>2002</t>
        </is>
      </c>
      <c r="O294" t="inlineStr">
        <is>
          <t>eng</t>
        </is>
      </c>
      <c r="P294" t="inlineStr">
        <is>
          <t>enk</t>
        </is>
      </c>
      <c r="R294" t="inlineStr">
        <is>
          <t xml:space="preserve">GC </t>
        </is>
      </c>
      <c r="S294" t="n">
        <v>1</v>
      </c>
      <c r="T294" t="n">
        <v>2</v>
      </c>
      <c r="U294" t="inlineStr">
        <is>
          <t>2003-04-15</t>
        </is>
      </c>
      <c r="V294" t="inlineStr">
        <is>
          <t>2003-04-15</t>
        </is>
      </c>
      <c r="W294" t="inlineStr">
        <is>
          <t>2003-04-15</t>
        </is>
      </c>
      <c r="X294" t="inlineStr">
        <is>
          <t>2003-04-15</t>
        </is>
      </c>
      <c r="Y294" t="n">
        <v>184</v>
      </c>
      <c r="Z294" t="n">
        <v>134</v>
      </c>
      <c r="AA294" t="n">
        <v>135</v>
      </c>
      <c r="AB294" t="n">
        <v>3</v>
      </c>
      <c r="AC294" t="n">
        <v>3</v>
      </c>
      <c r="AD294" t="n">
        <v>4</v>
      </c>
      <c r="AE294" t="n">
        <v>4</v>
      </c>
      <c r="AF294" t="n">
        <v>1</v>
      </c>
      <c r="AG294" t="n">
        <v>1</v>
      </c>
      <c r="AH294" t="n">
        <v>1</v>
      </c>
      <c r="AI294" t="n">
        <v>1</v>
      </c>
      <c r="AJ294" t="n">
        <v>1</v>
      </c>
      <c r="AK294" t="n">
        <v>1</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HYPERLINK("https://creighton-primo.hosted.exlibrisgroup.com/primo-explore/search?tab=default_tab&amp;search_scope=EVERYTHING&amp;vid=01CRU&amp;lang=en_US&amp;offset=0&amp;query=any,contains,991004017509702656","Catalog Record")</f>
        <v/>
      </c>
      <c r="AT294">
        <f>HYPERLINK("http://www.worldcat.org/oclc/50494219","WorldCat Record")</f>
        <v/>
      </c>
      <c r="AU294" t="inlineStr">
        <is>
          <t>3373843057:eng</t>
        </is>
      </c>
      <c r="AV294" t="inlineStr">
        <is>
          <t>50494219</t>
        </is>
      </c>
      <c r="AW294" t="inlineStr">
        <is>
          <t>991004017509702656</t>
        </is>
      </c>
      <c r="AX294" t="inlineStr">
        <is>
          <t>991004017509702656</t>
        </is>
      </c>
      <c r="AY294" t="inlineStr">
        <is>
          <t>2269670250002656</t>
        </is>
      </c>
      <c r="AZ294" t="inlineStr">
        <is>
          <t>BOOK</t>
        </is>
      </c>
      <c r="BB294" t="inlineStr">
        <is>
          <t>9780521806817</t>
        </is>
      </c>
      <c r="BC294" t="inlineStr">
        <is>
          <t>32285004742663</t>
        </is>
      </c>
      <c r="BD294" t="inlineStr">
        <is>
          <t>893512690</t>
        </is>
      </c>
    </row>
    <row r="295">
      <c r="A295" t="inlineStr">
        <is>
          <t>No</t>
        </is>
      </c>
      <c r="B295" t="inlineStr">
        <is>
          <t>GC21 .D398 2008</t>
        </is>
      </c>
      <c r="C295" t="inlineStr">
        <is>
          <t>0                      GC 0021000D  398         2008</t>
        </is>
      </c>
      <c r="D295" t="inlineStr">
        <is>
          <t>How the ocean works : an introduction to oceanography / Mark Denny.</t>
        </is>
      </c>
      <c r="F295" t="inlineStr">
        <is>
          <t>No</t>
        </is>
      </c>
      <c r="G295" t="inlineStr">
        <is>
          <t>1</t>
        </is>
      </c>
      <c r="H295" t="inlineStr">
        <is>
          <t>No</t>
        </is>
      </c>
      <c r="I295" t="inlineStr">
        <is>
          <t>No</t>
        </is>
      </c>
      <c r="J295" t="inlineStr">
        <is>
          <t>0</t>
        </is>
      </c>
      <c r="K295" t="inlineStr">
        <is>
          <t>Denny, Mark W., 1951-</t>
        </is>
      </c>
      <c r="L295" t="inlineStr">
        <is>
          <t>Princeton : Princeton University Press, c2008.</t>
        </is>
      </c>
      <c r="M295" t="inlineStr">
        <is>
          <t>2008</t>
        </is>
      </c>
      <c r="O295" t="inlineStr">
        <is>
          <t>eng</t>
        </is>
      </c>
      <c r="P295" t="inlineStr">
        <is>
          <t>nju</t>
        </is>
      </c>
      <c r="R295" t="inlineStr">
        <is>
          <t xml:space="preserve">GC </t>
        </is>
      </c>
      <c r="S295" t="n">
        <v>1</v>
      </c>
      <c r="T295" t="n">
        <v>1</v>
      </c>
      <c r="U295" t="inlineStr">
        <is>
          <t>2009-05-05</t>
        </is>
      </c>
      <c r="V295" t="inlineStr">
        <is>
          <t>2009-05-05</t>
        </is>
      </c>
      <c r="W295" t="inlineStr">
        <is>
          <t>2009-05-05</t>
        </is>
      </c>
      <c r="X295" t="inlineStr">
        <is>
          <t>2009-05-05</t>
        </is>
      </c>
      <c r="Y295" t="n">
        <v>790</v>
      </c>
      <c r="Z295" t="n">
        <v>664</v>
      </c>
      <c r="AA295" t="n">
        <v>840</v>
      </c>
      <c r="AB295" t="n">
        <v>4</v>
      </c>
      <c r="AC295" t="n">
        <v>4</v>
      </c>
      <c r="AD295" t="n">
        <v>21</v>
      </c>
      <c r="AE295" t="n">
        <v>30</v>
      </c>
      <c r="AF295" t="n">
        <v>10</v>
      </c>
      <c r="AG295" t="n">
        <v>14</v>
      </c>
      <c r="AH295" t="n">
        <v>3</v>
      </c>
      <c r="AI295" t="n">
        <v>6</v>
      </c>
      <c r="AJ295" t="n">
        <v>9</v>
      </c>
      <c r="AK295" t="n">
        <v>15</v>
      </c>
      <c r="AL295" t="n">
        <v>3</v>
      </c>
      <c r="AM295" t="n">
        <v>3</v>
      </c>
      <c r="AN295" t="n">
        <v>0</v>
      </c>
      <c r="AO295" t="n">
        <v>0</v>
      </c>
      <c r="AP295" t="inlineStr">
        <is>
          <t>No</t>
        </is>
      </c>
      <c r="AQ295" t="inlineStr">
        <is>
          <t>Yes</t>
        </is>
      </c>
      <c r="AR295">
        <f>HYPERLINK("http://catalog.hathitrust.org/Record/007271600","HathiTrust Record")</f>
        <v/>
      </c>
      <c r="AS295">
        <f>HYPERLINK("https://creighton-primo.hosted.exlibrisgroup.com/primo-explore/search?tab=default_tab&amp;search_scope=EVERYTHING&amp;vid=01CRU&amp;lang=en_US&amp;offset=0&amp;query=any,contains,991005313079702656","Catalog Record")</f>
        <v/>
      </c>
      <c r="AT295">
        <f>HYPERLINK("http://www.worldcat.org/oclc/166273799","WorldCat Record")</f>
        <v/>
      </c>
      <c r="AU295" t="inlineStr">
        <is>
          <t>793110162:eng</t>
        </is>
      </c>
      <c r="AV295" t="inlineStr">
        <is>
          <t>166273799</t>
        </is>
      </c>
      <c r="AW295" t="inlineStr">
        <is>
          <t>991005313079702656</t>
        </is>
      </c>
      <c r="AX295" t="inlineStr">
        <is>
          <t>991005313079702656</t>
        </is>
      </c>
      <c r="AY295" t="inlineStr">
        <is>
          <t>2255186520002656</t>
        </is>
      </c>
      <c r="AZ295" t="inlineStr">
        <is>
          <t>BOOK</t>
        </is>
      </c>
      <c r="BB295" t="inlineStr">
        <is>
          <t>9780691126463</t>
        </is>
      </c>
      <c r="BC295" t="inlineStr">
        <is>
          <t>32285005530695</t>
        </is>
      </c>
      <c r="BD295" t="inlineStr">
        <is>
          <t>893625811</t>
        </is>
      </c>
    </row>
    <row r="296">
      <c r="A296" t="inlineStr">
        <is>
          <t>No</t>
        </is>
      </c>
      <c r="B296" t="inlineStr">
        <is>
          <t>GC21 .E27 1995</t>
        </is>
      </c>
      <c r="C296" t="inlineStr">
        <is>
          <t>0                      GC 0021000E  27          1995</t>
        </is>
      </c>
      <c r="D296" t="inlineStr">
        <is>
          <t>Sea change : a message of the oceans / Sylvia Alice Earle.</t>
        </is>
      </c>
      <c r="F296" t="inlineStr">
        <is>
          <t>No</t>
        </is>
      </c>
      <c r="G296" t="inlineStr">
        <is>
          <t>1</t>
        </is>
      </c>
      <c r="H296" t="inlineStr">
        <is>
          <t>No</t>
        </is>
      </c>
      <c r="I296" t="inlineStr">
        <is>
          <t>No</t>
        </is>
      </c>
      <c r="J296" t="inlineStr">
        <is>
          <t>0</t>
        </is>
      </c>
      <c r="K296" t="inlineStr">
        <is>
          <t>Earle, Sylvia A., 1935-</t>
        </is>
      </c>
      <c r="L296" t="inlineStr">
        <is>
          <t>New York : G.P. Putnam's Sons, c1995.</t>
        </is>
      </c>
      <c r="M296" t="inlineStr">
        <is>
          <t>1995</t>
        </is>
      </c>
      <c r="O296" t="inlineStr">
        <is>
          <t>eng</t>
        </is>
      </c>
      <c r="P296" t="inlineStr">
        <is>
          <t>nyu</t>
        </is>
      </c>
      <c r="R296" t="inlineStr">
        <is>
          <t xml:space="preserve">GC </t>
        </is>
      </c>
      <c r="S296" t="n">
        <v>6</v>
      </c>
      <c r="T296" t="n">
        <v>6</v>
      </c>
      <c r="U296" t="inlineStr">
        <is>
          <t>1997-11-04</t>
        </is>
      </c>
      <c r="V296" t="inlineStr">
        <is>
          <t>1997-11-04</t>
        </is>
      </c>
      <c r="W296" t="inlineStr">
        <is>
          <t>1995-06-29</t>
        </is>
      </c>
      <c r="X296" t="inlineStr">
        <is>
          <t>1995-06-29</t>
        </is>
      </c>
      <c r="Y296" t="n">
        <v>733</v>
      </c>
      <c r="Z296" t="n">
        <v>676</v>
      </c>
      <c r="AA296" t="n">
        <v>795</v>
      </c>
      <c r="AB296" t="n">
        <v>5</v>
      </c>
      <c r="AC296" t="n">
        <v>5</v>
      </c>
      <c r="AD296" t="n">
        <v>19</v>
      </c>
      <c r="AE296" t="n">
        <v>20</v>
      </c>
      <c r="AF296" t="n">
        <v>6</v>
      </c>
      <c r="AG296" t="n">
        <v>7</v>
      </c>
      <c r="AH296" t="n">
        <v>6</v>
      </c>
      <c r="AI296" t="n">
        <v>6</v>
      </c>
      <c r="AJ296" t="n">
        <v>7</v>
      </c>
      <c r="AK296" t="n">
        <v>7</v>
      </c>
      <c r="AL296" t="n">
        <v>4</v>
      </c>
      <c r="AM296" t="n">
        <v>4</v>
      </c>
      <c r="AN296" t="n">
        <v>1</v>
      </c>
      <c r="AO296" t="n">
        <v>1</v>
      </c>
      <c r="AP296" t="inlineStr">
        <is>
          <t>No</t>
        </is>
      </c>
      <c r="AQ296" t="inlineStr">
        <is>
          <t>Yes</t>
        </is>
      </c>
      <c r="AR296">
        <f>HYPERLINK("http://catalog.hathitrust.org/Record/002968093","HathiTrust Record")</f>
        <v/>
      </c>
      <c r="AS296">
        <f>HYPERLINK("https://creighton-primo.hosted.exlibrisgroup.com/primo-explore/search?tab=default_tab&amp;search_scope=EVERYTHING&amp;vid=01CRU&amp;lang=en_US&amp;offset=0&amp;query=any,contains,991002400729702656","Catalog Record")</f>
        <v/>
      </c>
      <c r="AT296">
        <f>HYPERLINK("http://www.worldcat.org/oclc/31206604","WorldCat Record")</f>
        <v/>
      </c>
      <c r="AU296" t="inlineStr">
        <is>
          <t>26740574:eng</t>
        </is>
      </c>
      <c r="AV296" t="inlineStr">
        <is>
          <t>31206604</t>
        </is>
      </c>
      <c r="AW296" t="inlineStr">
        <is>
          <t>991002400729702656</t>
        </is>
      </c>
      <c r="AX296" t="inlineStr">
        <is>
          <t>991002400729702656</t>
        </is>
      </c>
      <c r="AY296" t="inlineStr">
        <is>
          <t>2258197020002656</t>
        </is>
      </c>
      <c r="AZ296" t="inlineStr">
        <is>
          <t>BOOK</t>
        </is>
      </c>
      <c r="BB296" t="inlineStr">
        <is>
          <t>9780399140600</t>
        </is>
      </c>
      <c r="BC296" t="inlineStr">
        <is>
          <t>32285002052693</t>
        </is>
      </c>
      <c r="BD296" t="inlineStr">
        <is>
          <t>893873466</t>
        </is>
      </c>
    </row>
    <row r="297">
      <c r="A297" t="inlineStr">
        <is>
          <t>No</t>
        </is>
      </c>
      <c r="B297" t="inlineStr">
        <is>
          <t>GC21 .E5</t>
        </is>
      </c>
      <c r="C297" t="inlineStr">
        <is>
          <t>0                      GC 0021000E  5</t>
        </is>
      </c>
      <c r="D297" t="inlineStr">
        <is>
          <t>The sea / by Leonard Engel and the editors of Life.</t>
        </is>
      </c>
      <c r="F297" t="inlineStr">
        <is>
          <t>No</t>
        </is>
      </c>
      <c r="G297" t="inlineStr">
        <is>
          <t>1</t>
        </is>
      </c>
      <c r="H297" t="inlineStr">
        <is>
          <t>No</t>
        </is>
      </c>
      <c r="I297" t="inlineStr">
        <is>
          <t>No</t>
        </is>
      </c>
      <c r="J297" t="inlineStr">
        <is>
          <t>0</t>
        </is>
      </c>
      <c r="K297" t="inlineStr">
        <is>
          <t>Engel, Leonard, 1916-1964.</t>
        </is>
      </c>
      <c r="L297" t="inlineStr">
        <is>
          <t>New York : Time, inc., 1962, c1961.</t>
        </is>
      </c>
      <c r="M297" t="inlineStr">
        <is>
          <t>1962</t>
        </is>
      </c>
      <c r="O297" t="inlineStr">
        <is>
          <t>eng</t>
        </is>
      </c>
      <c r="P297" t="inlineStr">
        <is>
          <t>nyu</t>
        </is>
      </c>
      <c r="Q297" t="inlineStr">
        <is>
          <t>Life nature library</t>
        </is>
      </c>
      <c r="R297" t="inlineStr">
        <is>
          <t xml:space="preserve">GC </t>
        </is>
      </c>
      <c r="S297" t="n">
        <v>6</v>
      </c>
      <c r="T297" t="n">
        <v>6</v>
      </c>
      <c r="U297" t="inlineStr">
        <is>
          <t>1997-04-23</t>
        </is>
      </c>
      <c r="V297" t="inlineStr">
        <is>
          <t>1997-04-23</t>
        </is>
      </c>
      <c r="W297" t="inlineStr">
        <is>
          <t>1992-12-23</t>
        </is>
      </c>
      <c r="X297" t="inlineStr">
        <is>
          <t>1992-12-23</t>
        </is>
      </c>
      <c r="Y297" t="n">
        <v>1155</v>
      </c>
      <c r="Z297" t="n">
        <v>1112</v>
      </c>
      <c r="AA297" t="n">
        <v>1889</v>
      </c>
      <c r="AB297" t="n">
        <v>14</v>
      </c>
      <c r="AC297" t="n">
        <v>25</v>
      </c>
      <c r="AD297" t="n">
        <v>18</v>
      </c>
      <c r="AE297" t="n">
        <v>28</v>
      </c>
      <c r="AF297" t="n">
        <v>7</v>
      </c>
      <c r="AG297" t="n">
        <v>10</v>
      </c>
      <c r="AH297" t="n">
        <v>3</v>
      </c>
      <c r="AI297" t="n">
        <v>3</v>
      </c>
      <c r="AJ297" t="n">
        <v>12</v>
      </c>
      <c r="AK297" t="n">
        <v>16</v>
      </c>
      <c r="AL297" t="n">
        <v>3</v>
      </c>
      <c r="AM297" t="n">
        <v>7</v>
      </c>
      <c r="AN297" t="n">
        <v>0</v>
      </c>
      <c r="AO297" t="n">
        <v>0</v>
      </c>
      <c r="AP297" t="inlineStr">
        <is>
          <t>No</t>
        </is>
      </c>
      <c r="AQ297" t="inlineStr">
        <is>
          <t>No</t>
        </is>
      </c>
      <c r="AR297">
        <f>HYPERLINK("http://catalog.hathitrust.org/Record/001273475","HathiTrust Record")</f>
        <v/>
      </c>
      <c r="AS297">
        <f>HYPERLINK("https://creighton-primo.hosted.exlibrisgroup.com/primo-explore/search?tab=default_tab&amp;search_scope=EVERYTHING&amp;vid=01CRU&amp;lang=en_US&amp;offset=0&amp;query=any,contains,991003570699702656","Catalog Record")</f>
        <v/>
      </c>
      <c r="AT297">
        <f>HYPERLINK("http://www.worldcat.org/oclc/1145508","WorldCat Record")</f>
        <v/>
      </c>
      <c r="AU297" t="inlineStr">
        <is>
          <t>1350454:eng</t>
        </is>
      </c>
      <c r="AV297" t="inlineStr">
        <is>
          <t>1145508</t>
        </is>
      </c>
      <c r="AW297" t="inlineStr">
        <is>
          <t>991003570699702656</t>
        </is>
      </c>
      <c r="AX297" t="inlineStr">
        <is>
          <t>991003570699702656</t>
        </is>
      </c>
      <c r="AY297" t="inlineStr">
        <is>
          <t>2264031550002656</t>
        </is>
      </c>
      <c r="AZ297" t="inlineStr">
        <is>
          <t>BOOK</t>
        </is>
      </c>
      <c r="BC297" t="inlineStr">
        <is>
          <t>32285001404721</t>
        </is>
      </c>
      <c r="BD297" t="inlineStr">
        <is>
          <t>893893861</t>
        </is>
      </c>
    </row>
    <row r="298">
      <c r="A298" t="inlineStr">
        <is>
          <t>No</t>
        </is>
      </c>
      <c r="B298" t="inlineStr">
        <is>
          <t>GC21 .O28 2007</t>
        </is>
      </c>
      <c r="C298" t="inlineStr">
        <is>
          <t>0                      GC 0021000O  28          2007</t>
        </is>
      </c>
      <c r="D298" t="inlineStr">
        <is>
          <t>Oceans : a Scientific American reader.</t>
        </is>
      </c>
      <c r="F298" t="inlineStr">
        <is>
          <t>No</t>
        </is>
      </c>
      <c r="G298" t="inlineStr">
        <is>
          <t>1</t>
        </is>
      </c>
      <c r="H298" t="inlineStr">
        <is>
          <t>No</t>
        </is>
      </c>
      <c r="I298" t="inlineStr">
        <is>
          <t>No</t>
        </is>
      </c>
      <c r="J298" t="inlineStr">
        <is>
          <t>0</t>
        </is>
      </c>
      <c r="L298" t="inlineStr">
        <is>
          <t>Chicago : University of Chicago Press, 2007.</t>
        </is>
      </c>
      <c r="M298" t="inlineStr">
        <is>
          <t>2007</t>
        </is>
      </c>
      <c r="O298" t="inlineStr">
        <is>
          <t>eng</t>
        </is>
      </c>
      <c r="P298" t="inlineStr">
        <is>
          <t>ilu</t>
        </is>
      </c>
      <c r="R298" t="inlineStr">
        <is>
          <t xml:space="preserve">GC </t>
        </is>
      </c>
      <c r="S298" t="n">
        <v>3</v>
      </c>
      <c r="T298" t="n">
        <v>3</v>
      </c>
      <c r="U298" t="inlineStr">
        <is>
          <t>2009-01-25</t>
        </is>
      </c>
      <c r="V298" t="inlineStr">
        <is>
          <t>2009-01-25</t>
        </is>
      </c>
      <c r="W298" t="inlineStr">
        <is>
          <t>2008-04-16</t>
        </is>
      </c>
      <c r="X298" t="inlineStr">
        <is>
          <t>2008-04-16</t>
        </is>
      </c>
      <c r="Y298" t="n">
        <v>204</v>
      </c>
      <c r="Z298" t="n">
        <v>161</v>
      </c>
      <c r="AA298" t="n">
        <v>167</v>
      </c>
      <c r="AB298" t="n">
        <v>2</v>
      </c>
      <c r="AC298" t="n">
        <v>2</v>
      </c>
      <c r="AD298" t="n">
        <v>5</v>
      </c>
      <c r="AE298" t="n">
        <v>5</v>
      </c>
      <c r="AF298" t="n">
        <v>1</v>
      </c>
      <c r="AG298" t="n">
        <v>1</v>
      </c>
      <c r="AH298" t="n">
        <v>2</v>
      </c>
      <c r="AI298" t="n">
        <v>2</v>
      </c>
      <c r="AJ298" t="n">
        <v>2</v>
      </c>
      <c r="AK298" t="n">
        <v>2</v>
      </c>
      <c r="AL298" t="n">
        <v>1</v>
      </c>
      <c r="AM298" t="n">
        <v>1</v>
      </c>
      <c r="AN298" t="n">
        <v>0</v>
      </c>
      <c r="AO298" t="n">
        <v>0</v>
      </c>
      <c r="AP298" t="inlineStr">
        <is>
          <t>No</t>
        </is>
      </c>
      <c r="AQ298" t="inlineStr">
        <is>
          <t>Yes</t>
        </is>
      </c>
      <c r="AR298">
        <f>HYPERLINK("http://catalog.hathitrust.org/Record/005546666","HathiTrust Record")</f>
        <v/>
      </c>
      <c r="AS298">
        <f>HYPERLINK("https://creighton-primo.hosted.exlibrisgroup.com/primo-explore/search?tab=default_tab&amp;search_scope=EVERYTHING&amp;vid=01CRU&amp;lang=en_US&amp;offset=0&amp;query=any,contains,991005202799702656","Catalog Record")</f>
        <v/>
      </c>
      <c r="AT298">
        <f>HYPERLINK("http://www.worldcat.org/oclc/69013362","WorldCat Record")</f>
        <v/>
      </c>
      <c r="AU298" t="inlineStr">
        <is>
          <t>795540725:eng</t>
        </is>
      </c>
      <c r="AV298" t="inlineStr">
        <is>
          <t>69013362</t>
        </is>
      </c>
      <c r="AW298" t="inlineStr">
        <is>
          <t>991005202799702656</t>
        </is>
      </c>
      <c r="AX298" t="inlineStr">
        <is>
          <t>991005202799702656</t>
        </is>
      </c>
      <c r="AY298" t="inlineStr">
        <is>
          <t>2266393290002656</t>
        </is>
      </c>
      <c r="AZ298" t="inlineStr">
        <is>
          <t>BOOK</t>
        </is>
      </c>
      <c r="BB298" t="inlineStr">
        <is>
          <t>9780226740928</t>
        </is>
      </c>
      <c r="BC298" t="inlineStr">
        <is>
          <t>32285005402747</t>
        </is>
      </c>
      <c r="BD298" t="inlineStr">
        <is>
          <t>893625613</t>
        </is>
      </c>
    </row>
    <row r="299">
      <c r="A299" t="inlineStr">
        <is>
          <t>No</t>
        </is>
      </c>
      <c r="B299" t="inlineStr">
        <is>
          <t>GC211 .B3</t>
        </is>
      </c>
      <c r="C299" t="inlineStr">
        <is>
          <t>0                      GC 0211000B  3</t>
        </is>
      </c>
      <c r="D299" t="inlineStr">
        <is>
          <t>Waves and beaches : the dynamics of the ocean surface / Illus. by the author.</t>
        </is>
      </c>
      <c r="F299" t="inlineStr">
        <is>
          <t>No</t>
        </is>
      </c>
      <c r="G299" t="inlineStr">
        <is>
          <t>1</t>
        </is>
      </c>
      <c r="H299" t="inlineStr">
        <is>
          <t>No</t>
        </is>
      </c>
      <c r="I299" t="inlineStr">
        <is>
          <t>No</t>
        </is>
      </c>
      <c r="J299" t="inlineStr">
        <is>
          <t>0</t>
        </is>
      </c>
      <c r="K299" t="inlineStr">
        <is>
          <t>Bascom, Willard.</t>
        </is>
      </c>
      <c r="L299" t="inlineStr">
        <is>
          <t>Garden City, N.Y. : Anchor Books, 1964.</t>
        </is>
      </c>
      <c r="M299" t="inlineStr">
        <is>
          <t>1964</t>
        </is>
      </c>
      <c r="N299" t="inlineStr">
        <is>
          <t>[1st ed.]</t>
        </is>
      </c>
      <c r="O299" t="inlineStr">
        <is>
          <t>eng</t>
        </is>
      </c>
      <c r="P299" t="inlineStr">
        <is>
          <t>nyu</t>
        </is>
      </c>
      <c r="Q299" t="inlineStr">
        <is>
          <t>Science study series ; S34</t>
        </is>
      </c>
      <c r="R299" t="inlineStr">
        <is>
          <t xml:space="preserve">GC </t>
        </is>
      </c>
      <c r="S299" t="n">
        <v>5</v>
      </c>
      <c r="T299" t="n">
        <v>5</v>
      </c>
      <c r="U299" t="inlineStr">
        <is>
          <t>1994-06-26</t>
        </is>
      </c>
      <c r="V299" t="inlineStr">
        <is>
          <t>1994-06-26</t>
        </is>
      </c>
      <c r="W299" t="inlineStr">
        <is>
          <t>1993-11-30</t>
        </is>
      </c>
      <c r="X299" t="inlineStr">
        <is>
          <t>1993-11-30</t>
        </is>
      </c>
      <c r="Y299" t="n">
        <v>902</v>
      </c>
      <c r="Z299" t="n">
        <v>797</v>
      </c>
      <c r="AA299" t="n">
        <v>1162</v>
      </c>
      <c r="AB299" t="n">
        <v>9</v>
      </c>
      <c r="AC299" t="n">
        <v>10</v>
      </c>
      <c r="AD299" t="n">
        <v>23</v>
      </c>
      <c r="AE299" t="n">
        <v>29</v>
      </c>
      <c r="AF299" t="n">
        <v>7</v>
      </c>
      <c r="AG299" t="n">
        <v>12</v>
      </c>
      <c r="AH299" t="n">
        <v>1</v>
      </c>
      <c r="AI299" t="n">
        <v>2</v>
      </c>
      <c r="AJ299" t="n">
        <v>13</v>
      </c>
      <c r="AK299" t="n">
        <v>15</v>
      </c>
      <c r="AL299" t="n">
        <v>5</v>
      </c>
      <c r="AM299" t="n">
        <v>5</v>
      </c>
      <c r="AN299" t="n">
        <v>0</v>
      </c>
      <c r="AO299" t="n">
        <v>0</v>
      </c>
      <c r="AP299" t="inlineStr">
        <is>
          <t>No</t>
        </is>
      </c>
      <c r="AQ299" t="inlineStr">
        <is>
          <t>Yes</t>
        </is>
      </c>
      <c r="AR299">
        <f>HYPERLINK("http://catalog.hathitrust.org/Record/001273587","HathiTrust Record")</f>
        <v/>
      </c>
      <c r="AS299">
        <f>HYPERLINK("https://creighton-primo.hosted.exlibrisgroup.com/primo-explore/search?tab=default_tab&amp;search_scope=EVERYTHING&amp;vid=01CRU&amp;lang=en_US&amp;offset=0&amp;query=any,contains,991002859689702656","Catalog Record")</f>
        <v/>
      </c>
      <c r="AT299">
        <f>HYPERLINK("http://www.worldcat.org/oclc/492129","WorldCat Record")</f>
        <v/>
      </c>
      <c r="AU299" t="inlineStr">
        <is>
          <t>455274:eng</t>
        </is>
      </c>
      <c r="AV299" t="inlineStr">
        <is>
          <t>492129</t>
        </is>
      </c>
      <c r="AW299" t="inlineStr">
        <is>
          <t>991002859689702656</t>
        </is>
      </c>
      <c r="AX299" t="inlineStr">
        <is>
          <t>991002859689702656</t>
        </is>
      </c>
      <c r="AY299" t="inlineStr">
        <is>
          <t>2255251450002656</t>
        </is>
      </c>
      <c r="AZ299" t="inlineStr">
        <is>
          <t>BOOK</t>
        </is>
      </c>
      <c r="BC299" t="inlineStr">
        <is>
          <t>32285001689289</t>
        </is>
      </c>
      <c r="BD299" t="inlineStr">
        <is>
          <t>893616669</t>
        </is>
      </c>
    </row>
    <row r="300">
      <c r="A300" t="inlineStr">
        <is>
          <t>No</t>
        </is>
      </c>
      <c r="B300" t="inlineStr">
        <is>
          <t>GC211 .P48 1969</t>
        </is>
      </c>
      <c r="C300" t="inlineStr">
        <is>
          <t>0                      GC 0211000P  48          1969</t>
        </is>
      </c>
      <c r="D300" t="inlineStr">
        <is>
          <t>The dynamics of the upper ocean / by O.M. Phillips.</t>
        </is>
      </c>
      <c r="F300" t="inlineStr">
        <is>
          <t>No</t>
        </is>
      </c>
      <c r="G300" t="inlineStr">
        <is>
          <t>1</t>
        </is>
      </c>
      <c r="H300" t="inlineStr">
        <is>
          <t>No</t>
        </is>
      </c>
      <c r="I300" t="inlineStr">
        <is>
          <t>No</t>
        </is>
      </c>
      <c r="J300" t="inlineStr">
        <is>
          <t>0</t>
        </is>
      </c>
      <c r="K300" t="inlineStr">
        <is>
          <t>Phillips, O. M. (Owen M.), 1930-</t>
        </is>
      </c>
      <c r="L300" t="inlineStr">
        <is>
          <t>Cambridge [Eng.] : Cambridge University Press, 1969.</t>
        </is>
      </c>
      <c r="M300" t="inlineStr">
        <is>
          <t>1969</t>
        </is>
      </c>
      <c r="N300" t="inlineStr">
        <is>
          <t>Reprinted with corrections</t>
        </is>
      </c>
      <c r="O300" t="inlineStr">
        <is>
          <t>eng</t>
        </is>
      </c>
      <c r="P300" t="inlineStr">
        <is>
          <t>enk</t>
        </is>
      </c>
      <c r="Q300" t="inlineStr">
        <is>
          <t>Cambridge monographs on mechanics and applied mathematics</t>
        </is>
      </c>
      <c r="R300" t="inlineStr">
        <is>
          <t xml:space="preserve">GC </t>
        </is>
      </c>
      <c r="S300" t="n">
        <v>4</v>
      </c>
      <c r="T300" t="n">
        <v>4</v>
      </c>
      <c r="U300" t="inlineStr">
        <is>
          <t>1994-04-10</t>
        </is>
      </c>
      <c r="V300" t="inlineStr">
        <is>
          <t>1994-04-10</t>
        </is>
      </c>
      <c r="W300" t="inlineStr">
        <is>
          <t>1993-11-15</t>
        </is>
      </c>
      <c r="X300" t="inlineStr">
        <is>
          <t>1993-11-15</t>
        </is>
      </c>
      <c r="Y300" t="n">
        <v>37</v>
      </c>
      <c r="Z300" t="n">
        <v>29</v>
      </c>
      <c r="AA300" t="n">
        <v>487</v>
      </c>
      <c r="AB300" t="n">
        <v>1</v>
      </c>
      <c r="AC300" t="n">
        <v>2</v>
      </c>
      <c r="AD300" t="n">
        <v>0</v>
      </c>
      <c r="AE300" t="n">
        <v>9</v>
      </c>
      <c r="AF300" t="n">
        <v>0</v>
      </c>
      <c r="AG300" t="n">
        <v>3</v>
      </c>
      <c r="AH300" t="n">
        <v>0</v>
      </c>
      <c r="AI300" t="n">
        <v>2</v>
      </c>
      <c r="AJ300" t="n">
        <v>0</v>
      </c>
      <c r="AK300" t="n">
        <v>4</v>
      </c>
      <c r="AL300" t="n">
        <v>0</v>
      </c>
      <c r="AM300" t="n">
        <v>1</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HYPERLINK("https://creighton-primo.hosted.exlibrisgroup.com/primo-explore/search?tab=default_tab&amp;search_scope=EVERYTHING&amp;vid=01CRU&amp;lang=en_US&amp;offset=0&amp;query=any,contains,991000555639702656","Catalog Record")</f>
        <v/>
      </c>
      <c r="AT300">
        <f>HYPERLINK("http://www.worldcat.org/oclc/11551676","WorldCat Record")</f>
        <v/>
      </c>
      <c r="AU300" t="inlineStr">
        <is>
          <t>1588665:eng</t>
        </is>
      </c>
      <c r="AV300" t="inlineStr">
        <is>
          <t>11551676</t>
        </is>
      </c>
      <c r="AW300" t="inlineStr">
        <is>
          <t>991000555639702656</t>
        </is>
      </c>
      <c r="AX300" t="inlineStr">
        <is>
          <t>991000555639702656</t>
        </is>
      </c>
      <c r="AY300" t="inlineStr">
        <is>
          <t>2260765500002656</t>
        </is>
      </c>
      <c r="AZ300" t="inlineStr">
        <is>
          <t>BOOK</t>
        </is>
      </c>
      <c r="BC300" t="inlineStr">
        <is>
          <t>32285001798551</t>
        </is>
      </c>
      <c r="BD300" t="inlineStr">
        <is>
          <t>893689803</t>
        </is>
      </c>
    </row>
    <row r="301">
      <c r="A301" t="inlineStr">
        <is>
          <t>No</t>
        </is>
      </c>
      <c r="B301" t="inlineStr">
        <is>
          <t>GC211 .T7 1965</t>
        </is>
      </c>
      <c r="C301" t="inlineStr">
        <is>
          <t>0                      GC 0211000T  7           1965</t>
        </is>
      </c>
      <c r="D301" t="inlineStr">
        <is>
          <t>Bores, breakers, waves and wakes : an introduction to the study of waves on water / [by] R.A.R. Tricker.</t>
        </is>
      </c>
      <c r="F301" t="inlineStr">
        <is>
          <t>No</t>
        </is>
      </c>
      <c r="G301" t="inlineStr">
        <is>
          <t>1</t>
        </is>
      </c>
      <c r="H301" t="inlineStr">
        <is>
          <t>No</t>
        </is>
      </c>
      <c r="I301" t="inlineStr">
        <is>
          <t>No</t>
        </is>
      </c>
      <c r="J301" t="inlineStr">
        <is>
          <t>0</t>
        </is>
      </c>
      <c r="K301" t="inlineStr">
        <is>
          <t>Tricker, R. A. R.</t>
        </is>
      </c>
      <c r="L301" t="inlineStr">
        <is>
          <t>New York : American Elsevier Pub. Co., [1965, c1964]</t>
        </is>
      </c>
      <c r="M301" t="inlineStr">
        <is>
          <t>1965</t>
        </is>
      </c>
      <c r="O301" t="inlineStr">
        <is>
          <t>eng</t>
        </is>
      </c>
      <c r="P301" t="inlineStr">
        <is>
          <t>nyu</t>
        </is>
      </c>
      <c r="R301" t="inlineStr">
        <is>
          <t xml:space="preserve">GC </t>
        </is>
      </c>
      <c r="S301" t="n">
        <v>1</v>
      </c>
      <c r="T301" t="n">
        <v>1</v>
      </c>
      <c r="U301" t="inlineStr">
        <is>
          <t>1994-04-07</t>
        </is>
      </c>
      <c r="V301" t="inlineStr">
        <is>
          <t>1994-04-07</t>
        </is>
      </c>
      <c r="W301" t="inlineStr">
        <is>
          <t>1993-11-15</t>
        </is>
      </c>
      <c r="X301" t="inlineStr">
        <is>
          <t>1993-11-15</t>
        </is>
      </c>
      <c r="Y301" t="n">
        <v>407</v>
      </c>
      <c r="Z301" t="n">
        <v>377</v>
      </c>
      <c r="AA301" t="n">
        <v>463</v>
      </c>
      <c r="AB301" t="n">
        <v>1</v>
      </c>
      <c r="AC301" t="n">
        <v>1</v>
      </c>
      <c r="AD301" t="n">
        <v>6</v>
      </c>
      <c r="AE301" t="n">
        <v>9</v>
      </c>
      <c r="AF301" t="n">
        <v>2</v>
      </c>
      <c r="AG301" t="n">
        <v>4</v>
      </c>
      <c r="AH301" t="n">
        <v>2</v>
      </c>
      <c r="AI301" t="n">
        <v>2</v>
      </c>
      <c r="AJ301" t="n">
        <v>3</v>
      </c>
      <c r="AK301" t="n">
        <v>5</v>
      </c>
      <c r="AL301" t="n">
        <v>0</v>
      </c>
      <c r="AM301" t="n">
        <v>0</v>
      </c>
      <c r="AN301" t="n">
        <v>0</v>
      </c>
      <c r="AO301" t="n">
        <v>0</v>
      </c>
      <c r="AP301" t="inlineStr">
        <is>
          <t>No</t>
        </is>
      </c>
      <c r="AQ301" t="inlineStr">
        <is>
          <t>Yes</t>
        </is>
      </c>
      <c r="AR301">
        <f>HYPERLINK("http://catalog.hathitrust.org/Record/001273595","HathiTrust Record")</f>
        <v/>
      </c>
      <c r="AS301">
        <f>HYPERLINK("https://creighton-primo.hosted.exlibrisgroup.com/primo-explore/search?tab=default_tab&amp;search_scope=EVERYTHING&amp;vid=01CRU&amp;lang=en_US&amp;offset=0&amp;query=any,contains,991003848369702656","Catalog Record")</f>
        <v/>
      </c>
      <c r="AT301">
        <f>HYPERLINK("http://www.worldcat.org/oclc/1635856","WorldCat Record")</f>
        <v/>
      </c>
      <c r="AU301" t="inlineStr">
        <is>
          <t>1916455:eng</t>
        </is>
      </c>
      <c r="AV301" t="inlineStr">
        <is>
          <t>1635856</t>
        </is>
      </c>
      <c r="AW301" t="inlineStr">
        <is>
          <t>991003848369702656</t>
        </is>
      </c>
      <c r="AX301" t="inlineStr">
        <is>
          <t>991003848369702656</t>
        </is>
      </c>
      <c r="AY301" t="inlineStr">
        <is>
          <t>2255641490002656</t>
        </is>
      </c>
      <c r="AZ301" t="inlineStr">
        <is>
          <t>BOOK</t>
        </is>
      </c>
      <c r="BC301" t="inlineStr">
        <is>
          <t>32285001798544</t>
        </is>
      </c>
      <c r="BD301" t="inlineStr">
        <is>
          <t>893775260</t>
        </is>
      </c>
    </row>
    <row r="302">
      <c r="A302" t="inlineStr">
        <is>
          <t>No</t>
        </is>
      </c>
      <c r="B302" t="inlineStr">
        <is>
          <t>GC211.2 .W38 1989</t>
        </is>
      </c>
      <c r="C302" t="inlineStr">
        <is>
          <t>0                      GC 0211200W  38          1989</t>
        </is>
      </c>
      <c r="D302" t="inlineStr">
        <is>
          <t>Waves, tides, and shallow-water processes / prepared by an Open University Course Team.</t>
        </is>
      </c>
      <c r="F302" t="inlineStr">
        <is>
          <t>No</t>
        </is>
      </c>
      <c r="G302" t="inlineStr">
        <is>
          <t>1</t>
        </is>
      </c>
      <c r="H302" t="inlineStr">
        <is>
          <t>No</t>
        </is>
      </c>
      <c r="I302" t="inlineStr">
        <is>
          <t>No</t>
        </is>
      </c>
      <c r="J302" t="inlineStr">
        <is>
          <t>0</t>
        </is>
      </c>
      <c r="L302" t="inlineStr">
        <is>
          <t>Oxford ; New York : Pergamon Press, in association with the Open University, Milton Keynes, England, 1989.</t>
        </is>
      </c>
      <c r="M302" t="inlineStr">
        <is>
          <t>1989</t>
        </is>
      </c>
      <c r="N302" t="inlineStr">
        <is>
          <t>1st ed.</t>
        </is>
      </c>
      <c r="O302" t="inlineStr">
        <is>
          <t>eng</t>
        </is>
      </c>
      <c r="P302" t="inlineStr">
        <is>
          <t>enk</t>
        </is>
      </c>
      <c r="R302" t="inlineStr">
        <is>
          <t xml:space="preserve">GC </t>
        </is>
      </c>
      <c r="S302" t="n">
        <v>32</v>
      </c>
      <c r="T302" t="n">
        <v>32</v>
      </c>
      <c r="U302" t="inlineStr">
        <is>
          <t>2005-04-18</t>
        </is>
      </c>
      <c r="V302" t="inlineStr">
        <is>
          <t>2005-04-18</t>
        </is>
      </c>
      <c r="W302" t="inlineStr">
        <is>
          <t>1991-05-09</t>
        </is>
      </c>
      <c r="X302" t="inlineStr">
        <is>
          <t>1991-05-09</t>
        </is>
      </c>
      <c r="Y302" t="n">
        <v>414</v>
      </c>
      <c r="Z302" t="n">
        <v>247</v>
      </c>
      <c r="AA302" t="n">
        <v>322</v>
      </c>
      <c r="AB302" t="n">
        <v>3</v>
      </c>
      <c r="AC302" t="n">
        <v>3</v>
      </c>
      <c r="AD302" t="n">
        <v>8</v>
      </c>
      <c r="AE302" t="n">
        <v>9</v>
      </c>
      <c r="AF302" t="n">
        <v>3</v>
      </c>
      <c r="AG302" t="n">
        <v>3</v>
      </c>
      <c r="AH302" t="n">
        <v>2</v>
      </c>
      <c r="AI302" t="n">
        <v>3</v>
      </c>
      <c r="AJ302" t="n">
        <v>3</v>
      </c>
      <c r="AK302" t="n">
        <v>3</v>
      </c>
      <c r="AL302" t="n">
        <v>2</v>
      </c>
      <c r="AM302" t="n">
        <v>2</v>
      </c>
      <c r="AN302" t="n">
        <v>0</v>
      </c>
      <c r="AO302" t="n">
        <v>0</v>
      </c>
      <c r="AP302" t="inlineStr">
        <is>
          <t>No</t>
        </is>
      </c>
      <c r="AQ302" t="inlineStr">
        <is>
          <t>Yes</t>
        </is>
      </c>
      <c r="AR302">
        <f>HYPERLINK("http://catalog.hathitrust.org/Record/002479687","HathiTrust Record")</f>
        <v/>
      </c>
      <c r="AS302">
        <f>HYPERLINK("https://creighton-primo.hosted.exlibrisgroup.com/primo-explore/search?tab=default_tab&amp;search_scope=EVERYTHING&amp;vid=01CRU&amp;lang=en_US&amp;offset=0&amp;query=any,contains,991001356679702656","Catalog Record")</f>
        <v/>
      </c>
      <c r="AT302">
        <f>HYPERLINK("http://www.worldcat.org/oclc/18496415","WorldCat Record")</f>
        <v/>
      </c>
      <c r="AU302" t="inlineStr">
        <is>
          <t>350541317:eng</t>
        </is>
      </c>
      <c r="AV302" t="inlineStr">
        <is>
          <t>18496415</t>
        </is>
      </c>
      <c r="AW302" t="inlineStr">
        <is>
          <t>991001356679702656</t>
        </is>
      </c>
      <c r="AX302" t="inlineStr">
        <is>
          <t>991001356679702656</t>
        </is>
      </c>
      <c r="AY302" t="inlineStr">
        <is>
          <t>2272369430002656</t>
        </is>
      </c>
      <c r="AZ302" t="inlineStr">
        <is>
          <t>BOOK</t>
        </is>
      </c>
      <c r="BB302" t="inlineStr">
        <is>
          <t>9780080363714</t>
        </is>
      </c>
      <c r="BC302" t="inlineStr">
        <is>
          <t>32285000571835</t>
        </is>
      </c>
      <c r="BD302" t="inlineStr">
        <is>
          <t>893250183</t>
        </is>
      </c>
    </row>
    <row r="303">
      <c r="A303" t="inlineStr">
        <is>
          <t>No</t>
        </is>
      </c>
      <c r="B303" t="inlineStr">
        <is>
          <t>GC221.2 .B78 2001</t>
        </is>
      </c>
      <c r="C303" t="inlineStr">
        <is>
          <t>0                      GC 0221200B  78          2001</t>
        </is>
      </c>
      <c r="D303" t="inlineStr">
        <is>
          <t>Tsunami : the underrated hazard / Edward Bryant.</t>
        </is>
      </c>
      <c r="F303" t="inlineStr">
        <is>
          <t>No</t>
        </is>
      </c>
      <c r="G303" t="inlineStr">
        <is>
          <t>1</t>
        </is>
      </c>
      <c r="H303" t="inlineStr">
        <is>
          <t>No</t>
        </is>
      </c>
      <c r="I303" t="inlineStr">
        <is>
          <t>No</t>
        </is>
      </c>
      <c r="J303" t="inlineStr">
        <is>
          <t>0</t>
        </is>
      </c>
      <c r="K303" t="inlineStr">
        <is>
          <t>Bryant, Edward, 1948-</t>
        </is>
      </c>
      <c r="L303" t="inlineStr">
        <is>
          <t>New York : Cambridge University Press, 2001.</t>
        </is>
      </c>
      <c r="M303" t="inlineStr">
        <is>
          <t>2001</t>
        </is>
      </c>
      <c r="O303" t="inlineStr">
        <is>
          <t>eng</t>
        </is>
      </c>
      <c r="P303" t="inlineStr">
        <is>
          <t>nyu</t>
        </is>
      </c>
      <c r="R303" t="inlineStr">
        <is>
          <t xml:space="preserve">GC </t>
        </is>
      </c>
      <c r="S303" t="n">
        <v>2</v>
      </c>
      <c r="T303" t="n">
        <v>2</v>
      </c>
      <c r="U303" t="inlineStr">
        <is>
          <t>2002-10-23</t>
        </is>
      </c>
      <c r="V303" t="inlineStr">
        <is>
          <t>2002-10-23</t>
        </is>
      </c>
      <c r="W303" t="inlineStr">
        <is>
          <t>2002-10-23</t>
        </is>
      </c>
      <c r="X303" t="inlineStr">
        <is>
          <t>2002-10-23</t>
        </is>
      </c>
      <c r="Y303" t="n">
        <v>513</v>
      </c>
      <c r="Z303" t="n">
        <v>419</v>
      </c>
      <c r="AA303" t="n">
        <v>431</v>
      </c>
      <c r="AB303" t="n">
        <v>4</v>
      </c>
      <c r="AC303" t="n">
        <v>4</v>
      </c>
      <c r="AD303" t="n">
        <v>17</v>
      </c>
      <c r="AE303" t="n">
        <v>17</v>
      </c>
      <c r="AF303" t="n">
        <v>8</v>
      </c>
      <c r="AG303" t="n">
        <v>8</v>
      </c>
      <c r="AH303" t="n">
        <v>3</v>
      </c>
      <c r="AI303" t="n">
        <v>3</v>
      </c>
      <c r="AJ303" t="n">
        <v>5</v>
      </c>
      <c r="AK303" t="n">
        <v>5</v>
      </c>
      <c r="AL303" t="n">
        <v>2</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HYPERLINK("https://creighton-primo.hosted.exlibrisgroup.com/primo-explore/search?tab=default_tab&amp;search_scope=EVERYTHING&amp;vid=01CRU&amp;lang=en_US&amp;offset=0&amp;query=any,contains,991003911289702656","Catalog Record")</f>
        <v/>
      </c>
      <c r="AT303">
        <f>HYPERLINK("http://www.worldcat.org/oclc/45002199","WorldCat Record")</f>
        <v/>
      </c>
      <c r="AU303" t="inlineStr">
        <is>
          <t>10032571062:eng</t>
        </is>
      </c>
      <c r="AV303" t="inlineStr">
        <is>
          <t>45002199</t>
        </is>
      </c>
      <c r="AW303" t="inlineStr">
        <is>
          <t>991003911289702656</t>
        </is>
      </c>
      <c r="AX303" t="inlineStr">
        <is>
          <t>991003911289702656</t>
        </is>
      </c>
      <c r="AY303" t="inlineStr">
        <is>
          <t>2272294350002656</t>
        </is>
      </c>
      <c r="AZ303" t="inlineStr">
        <is>
          <t>BOOK</t>
        </is>
      </c>
      <c r="BB303" t="inlineStr">
        <is>
          <t>9780521772440</t>
        </is>
      </c>
      <c r="BC303" t="inlineStr">
        <is>
          <t>32285004657382</t>
        </is>
      </c>
      <c r="BD303" t="inlineStr">
        <is>
          <t>893324701</t>
        </is>
      </c>
    </row>
    <row r="304">
      <c r="A304" t="inlineStr">
        <is>
          <t>No</t>
        </is>
      </c>
      <c r="B304" t="inlineStr">
        <is>
          <t>GC228.5 .G46 1987</t>
        </is>
      </c>
      <c r="C304" t="inlineStr">
        <is>
          <t>0                      GC 0228500G  46          1987</t>
        </is>
      </c>
      <c r="D304" t="inlineStr">
        <is>
          <t>General circulation of the ocean / edited by Henry D.I. Abarbanel, W.R. Young.</t>
        </is>
      </c>
      <c r="F304" t="inlineStr">
        <is>
          <t>No</t>
        </is>
      </c>
      <c r="G304" t="inlineStr">
        <is>
          <t>1</t>
        </is>
      </c>
      <c r="H304" t="inlineStr">
        <is>
          <t>No</t>
        </is>
      </c>
      <c r="I304" t="inlineStr">
        <is>
          <t>No</t>
        </is>
      </c>
      <c r="J304" t="inlineStr">
        <is>
          <t>0</t>
        </is>
      </c>
      <c r="L304" t="inlineStr">
        <is>
          <t>New York : Springer-Verlag, c1987.</t>
        </is>
      </c>
      <c r="M304" t="inlineStr">
        <is>
          <t>1987</t>
        </is>
      </c>
      <c r="O304" t="inlineStr">
        <is>
          <t>eng</t>
        </is>
      </c>
      <c r="P304" t="inlineStr">
        <is>
          <t>nyu</t>
        </is>
      </c>
      <c r="Q304" t="inlineStr">
        <is>
          <t>Topics in atmospheric and oceanic sciences</t>
        </is>
      </c>
      <c r="R304" t="inlineStr">
        <is>
          <t xml:space="preserve">GC </t>
        </is>
      </c>
      <c r="S304" t="n">
        <v>7</v>
      </c>
      <c r="T304" t="n">
        <v>7</v>
      </c>
      <c r="U304" t="inlineStr">
        <is>
          <t>2008-02-02</t>
        </is>
      </c>
      <c r="V304" t="inlineStr">
        <is>
          <t>2008-02-02</t>
        </is>
      </c>
      <c r="W304" t="inlineStr">
        <is>
          <t>1990-09-13</t>
        </is>
      </c>
      <c r="X304" t="inlineStr">
        <is>
          <t>1990-09-13</t>
        </is>
      </c>
      <c r="Y304" t="n">
        <v>261</v>
      </c>
      <c r="Z304" t="n">
        <v>188</v>
      </c>
      <c r="AA304" t="n">
        <v>214</v>
      </c>
      <c r="AB304" t="n">
        <v>2</v>
      </c>
      <c r="AC304" t="n">
        <v>2</v>
      </c>
      <c r="AD304" t="n">
        <v>3</v>
      </c>
      <c r="AE304" t="n">
        <v>3</v>
      </c>
      <c r="AF304" t="n">
        <v>0</v>
      </c>
      <c r="AG304" t="n">
        <v>0</v>
      </c>
      <c r="AH304" t="n">
        <v>1</v>
      </c>
      <c r="AI304" t="n">
        <v>1</v>
      </c>
      <c r="AJ304" t="n">
        <v>1</v>
      </c>
      <c r="AK304" t="n">
        <v>1</v>
      </c>
      <c r="AL304" t="n">
        <v>1</v>
      </c>
      <c r="AM304" t="n">
        <v>1</v>
      </c>
      <c r="AN304" t="n">
        <v>0</v>
      </c>
      <c r="AO304" t="n">
        <v>0</v>
      </c>
      <c r="AP304" t="inlineStr">
        <is>
          <t>No</t>
        </is>
      </c>
      <c r="AQ304" t="inlineStr">
        <is>
          <t>Yes</t>
        </is>
      </c>
      <c r="AR304">
        <f>HYPERLINK("http://catalog.hathitrust.org/Record/000825221","HathiTrust Record")</f>
        <v/>
      </c>
      <c r="AS304">
        <f>HYPERLINK("https://creighton-primo.hosted.exlibrisgroup.com/primo-explore/search?tab=default_tab&amp;search_scope=EVERYTHING&amp;vid=01CRU&amp;lang=en_US&amp;offset=0&amp;query=any,contains,991000853199702656","Catalog Record")</f>
        <v/>
      </c>
      <c r="AT304">
        <f>HYPERLINK("http://www.worldcat.org/oclc/13642096","WorldCat Record")</f>
        <v/>
      </c>
      <c r="AU304" t="inlineStr">
        <is>
          <t>503731043:eng</t>
        </is>
      </c>
      <c r="AV304" t="inlineStr">
        <is>
          <t>13642096</t>
        </is>
      </c>
      <c r="AW304" t="inlineStr">
        <is>
          <t>991000853199702656</t>
        </is>
      </c>
      <c r="AX304" t="inlineStr">
        <is>
          <t>991000853199702656</t>
        </is>
      </c>
      <c r="AY304" t="inlineStr">
        <is>
          <t>2271831700002656</t>
        </is>
      </c>
      <c r="AZ304" t="inlineStr">
        <is>
          <t>BOOK</t>
        </is>
      </c>
      <c r="BB304" t="inlineStr">
        <is>
          <t>9780387963549</t>
        </is>
      </c>
      <c r="BC304" t="inlineStr">
        <is>
          <t>32285000286699</t>
        </is>
      </c>
      <c r="BD304" t="inlineStr">
        <is>
          <t>893231470</t>
        </is>
      </c>
    </row>
    <row r="305">
      <c r="A305" t="inlineStr">
        <is>
          <t>No</t>
        </is>
      </c>
      <c r="B305" t="inlineStr">
        <is>
          <t>GC228.5 .G75 2004</t>
        </is>
      </c>
      <c r="C305" t="inlineStr">
        <is>
          <t>0                      GC 0228500G  75          2004</t>
        </is>
      </c>
      <c r="D305" t="inlineStr">
        <is>
          <t>Fundamentals of ocean climate models / Stephen M. Griffies.</t>
        </is>
      </c>
      <c r="F305" t="inlineStr">
        <is>
          <t>No</t>
        </is>
      </c>
      <c r="G305" t="inlineStr">
        <is>
          <t>1</t>
        </is>
      </c>
      <c r="H305" t="inlineStr">
        <is>
          <t>No</t>
        </is>
      </c>
      <c r="I305" t="inlineStr">
        <is>
          <t>No</t>
        </is>
      </c>
      <c r="J305" t="inlineStr">
        <is>
          <t>0</t>
        </is>
      </c>
      <c r="K305" t="inlineStr">
        <is>
          <t>Griffies, Stephen M., 1962-</t>
        </is>
      </c>
      <c r="L305" t="inlineStr">
        <is>
          <t>Princeton, N.J. : Princeton University Press, c2004.</t>
        </is>
      </c>
      <c r="M305" t="inlineStr">
        <is>
          <t>2004</t>
        </is>
      </c>
      <c r="O305" t="inlineStr">
        <is>
          <t>eng</t>
        </is>
      </c>
      <c r="P305" t="inlineStr">
        <is>
          <t>nju</t>
        </is>
      </c>
      <c r="R305" t="inlineStr">
        <is>
          <t xml:space="preserve">GC </t>
        </is>
      </c>
      <c r="S305" t="n">
        <v>1</v>
      </c>
      <c r="T305" t="n">
        <v>1</v>
      </c>
      <c r="U305" t="inlineStr">
        <is>
          <t>2008-02-04</t>
        </is>
      </c>
      <c r="V305" t="inlineStr">
        <is>
          <t>2008-02-04</t>
        </is>
      </c>
      <c r="W305" t="inlineStr">
        <is>
          <t>2008-02-04</t>
        </is>
      </c>
      <c r="X305" t="inlineStr">
        <is>
          <t>2008-02-04</t>
        </is>
      </c>
      <c r="Y305" t="n">
        <v>278</v>
      </c>
      <c r="Z305" t="n">
        <v>198</v>
      </c>
      <c r="AA305" t="n">
        <v>401</v>
      </c>
      <c r="AB305" t="n">
        <v>3</v>
      </c>
      <c r="AC305" t="n">
        <v>3</v>
      </c>
      <c r="AD305" t="n">
        <v>6</v>
      </c>
      <c r="AE305" t="n">
        <v>20</v>
      </c>
      <c r="AF305" t="n">
        <v>1</v>
      </c>
      <c r="AG305" t="n">
        <v>8</v>
      </c>
      <c r="AH305" t="n">
        <v>2</v>
      </c>
      <c r="AI305" t="n">
        <v>6</v>
      </c>
      <c r="AJ305" t="n">
        <v>1</v>
      </c>
      <c r="AK305" t="n">
        <v>9</v>
      </c>
      <c r="AL305" t="n">
        <v>2</v>
      </c>
      <c r="AM305" t="n">
        <v>2</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HYPERLINK("https://creighton-primo.hosted.exlibrisgroup.com/primo-explore/search?tab=default_tab&amp;search_scope=EVERYTHING&amp;vid=01CRU&amp;lang=en_US&amp;offset=0&amp;query=any,contains,991005176979702656","Catalog Record")</f>
        <v/>
      </c>
      <c r="AT305">
        <f>HYPERLINK("http://www.worldcat.org/oclc/54487392","WorldCat Record")</f>
        <v/>
      </c>
      <c r="AU305" t="inlineStr">
        <is>
          <t>13404041:eng</t>
        </is>
      </c>
      <c r="AV305" t="inlineStr">
        <is>
          <t>54487392</t>
        </is>
      </c>
      <c r="AW305" t="inlineStr">
        <is>
          <t>991005176979702656</t>
        </is>
      </c>
      <c r="AX305" t="inlineStr">
        <is>
          <t>991005176979702656</t>
        </is>
      </c>
      <c r="AY305" t="inlineStr">
        <is>
          <t>2257746870002656</t>
        </is>
      </c>
      <c r="AZ305" t="inlineStr">
        <is>
          <t>BOOK</t>
        </is>
      </c>
      <c r="BB305" t="inlineStr">
        <is>
          <t>9780691118925</t>
        </is>
      </c>
      <c r="BC305" t="inlineStr">
        <is>
          <t>32285005391965</t>
        </is>
      </c>
      <c r="BD305" t="inlineStr">
        <is>
          <t>893877068</t>
        </is>
      </c>
    </row>
    <row r="306">
      <c r="A306" t="inlineStr">
        <is>
          <t>No</t>
        </is>
      </c>
      <c r="B306" t="inlineStr">
        <is>
          <t>GC228.5 .O25 1989</t>
        </is>
      </c>
      <c r="C306" t="inlineStr">
        <is>
          <t>0                      GC 0228500O  25          1989</t>
        </is>
      </c>
      <c r="D306" t="inlineStr">
        <is>
          <t>Ocean circulation / prepared by an Open University course team.</t>
        </is>
      </c>
      <c r="F306" t="inlineStr">
        <is>
          <t>No</t>
        </is>
      </c>
      <c r="G306" t="inlineStr">
        <is>
          <t>1</t>
        </is>
      </c>
      <c r="H306" t="inlineStr">
        <is>
          <t>No</t>
        </is>
      </c>
      <c r="I306" t="inlineStr">
        <is>
          <t>No</t>
        </is>
      </c>
      <c r="J306" t="inlineStr">
        <is>
          <t>0</t>
        </is>
      </c>
      <c r="L306" t="inlineStr">
        <is>
          <t>Oxford, England ; New York : Pergamon Press ; Milton Keynes, England : Open University, 1989.</t>
        </is>
      </c>
      <c r="M306" t="inlineStr">
        <is>
          <t>1989</t>
        </is>
      </c>
      <c r="N306" t="inlineStr">
        <is>
          <t>1st ed.</t>
        </is>
      </c>
      <c r="O306" t="inlineStr">
        <is>
          <t>eng</t>
        </is>
      </c>
      <c r="P306" t="inlineStr">
        <is>
          <t>enk</t>
        </is>
      </c>
      <c r="R306" t="inlineStr">
        <is>
          <t xml:space="preserve">GC </t>
        </is>
      </c>
      <c r="S306" t="n">
        <v>9</v>
      </c>
      <c r="T306" t="n">
        <v>9</v>
      </c>
      <c r="U306" t="inlineStr">
        <is>
          <t>2008-02-02</t>
        </is>
      </c>
      <c r="V306" t="inlineStr">
        <is>
          <t>2008-02-02</t>
        </is>
      </c>
      <c r="W306" t="inlineStr">
        <is>
          <t>1991-05-09</t>
        </is>
      </c>
      <c r="X306" t="inlineStr">
        <is>
          <t>1991-05-09</t>
        </is>
      </c>
      <c r="Y306" t="n">
        <v>377</v>
      </c>
      <c r="Z306" t="n">
        <v>217</v>
      </c>
      <c r="AA306" t="n">
        <v>1216</v>
      </c>
      <c r="AB306" t="n">
        <v>2</v>
      </c>
      <c r="AC306" t="n">
        <v>14</v>
      </c>
      <c r="AD306" t="n">
        <v>5</v>
      </c>
      <c r="AE306" t="n">
        <v>42</v>
      </c>
      <c r="AF306" t="n">
        <v>2</v>
      </c>
      <c r="AG306" t="n">
        <v>13</v>
      </c>
      <c r="AH306" t="n">
        <v>2</v>
      </c>
      <c r="AI306" t="n">
        <v>10</v>
      </c>
      <c r="AJ306" t="n">
        <v>2</v>
      </c>
      <c r="AK306" t="n">
        <v>12</v>
      </c>
      <c r="AL306" t="n">
        <v>1</v>
      </c>
      <c r="AM306" t="n">
        <v>12</v>
      </c>
      <c r="AN306" t="n">
        <v>0</v>
      </c>
      <c r="AO306" t="n">
        <v>2</v>
      </c>
      <c r="AP306" t="inlineStr">
        <is>
          <t>No</t>
        </is>
      </c>
      <c r="AQ306" t="inlineStr">
        <is>
          <t>Yes</t>
        </is>
      </c>
      <c r="AR306">
        <f>HYPERLINK("http://catalog.hathitrust.org/Record/002479704","HathiTrust Record")</f>
        <v/>
      </c>
      <c r="AS306">
        <f>HYPERLINK("https://creighton-primo.hosted.exlibrisgroup.com/primo-explore/search?tab=default_tab&amp;search_scope=EVERYTHING&amp;vid=01CRU&amp;lang=en_US&amp;offset=0&amp;query=any,contains,991001458009702656","Catalog Record")</f>
        <v/>
      </c>
      <c r="AT306">
        <f>HYPERLINK("http://www.worldcat.org/oclc/19392886","WorldCat Record")</f>
        <v/>
      </c>
      <c r="AU306" t="inlineStr">
        <is>
          <t>943490659:eng</t>
        </is>
      </c>
      <c r="AV306" t="inlineStr">
        <is>
          <t>19392886</t>
        </is>
      </c>
      <c r="AW306" t="inlineStr">
        <is>
          <t>991001458009702656</t>
        </is>
      </c>
      <c r="AX306" t="inlineStr">
        <is>
          <t>991001458009702656</t>
        </is>
      </c>
      <c r="AY306" t="inlineStr">
        <is>
          <t>2254902370002656</t>
        </is>
      </c>
      <c r="AZ306" t="inlineStr">
        <is>
          <t>BOOK</t>
        </is>
      </c>
      <c r="BB306" t="inlineStr">
        <is>
          <t>9780080363691</t>
        </is>
      </c>
      <c r="BC306" t="inlineStr">
        <is>
          <t>32285000571793</t>
        </is>
      </c>
      <c r="BD306" t="inlineStr">
        <is>
          <t>893878894</t>
        </is>
      </c>
    </row>
    <row r="307">
      <c r="A307" t="inlineStr">
        <is>
          <t>No</t>
        </is>
      </c>
      <c r="B307" t="inlineStr">
        <is>
          <t>GC232 .B87 2007</t>
        </is>
      </c>
      <c r="C307" t="inlineStr">
        <is>
          <t>0                      GC 0232000B  87          2007</t>
        </is>
      </c>
      <c r="D307" t="inlineStr">
        <is>
          <t>Tracking trash : flotsam, jetsam, and the science of ocean motion / Loree Griffin Burns.</t>
        </is>
      </c>
      <c r="F307" t="inlineStr">
        <is>
          <t>No</t>
        </is>
      </c>
      <c r="G307" t="inlineStr">
        <is>
          <t>1</t>
        </is>
      </c>
      <c r="H307" t="inlineStr">
        <is>
          <t>No</t>
        </is>
      </c>
      <c r="I307" t="inlineStr">
        <is>
          <t>No</t>
        </is>
      </c>
      <c r="J307" t="inlineStr">
        <is>
          <t>0</t>
        </is>
      </c>
      <c r="K307" t="inlineStr">
        <is>
          <t>Burns, Loree Griffin.</t>
        </is>
      </c>
      <c r="L307" t="inlineStr">
        <is>
          <t>Boston : Houghton Mifflin, 2007.</t>
        </is>
      </c>
      <c r="M307" t="inlineStr">
        <is>
          <t>2007</t>
        </is>
      </c>
      <c r="O307" t="inlineStr">
        <is>
          <t>eng</t>
        </is>
      </c>
      <c r="P307" t="inlineStr">
        <is>
          <t>mau</t>
        </is>
      </c>
      <c r="Q307" t="inlineStr">
        <is>
          <t>Scientists in the field</t>
        </is>
      </c>
      <c r="R307" t="inlineStr">
        <is>
          <t xml:space="preserve">GC </t>
        </is>
      </c>
      <c r="S307" t="n">
        <v>4</v>
      </c>
      <c r="T307" t="n">
        <v>4</v>
      </c>
      <c r="U307" t="inlineStr">
        <is>
          <t>2010-11-05</t>
        </is>
      </c>
      <c r="V307" t="inlineStr">
        <is>
          <t>2010-11-05</t>
        </is>
      </c>
      <c r="W307" t="inlineStr">
        <is>
          <t>2007-08-02</t>
        </is>
      </c>
      <c r="X307" t="inlineStr">
        <is>
          <t>2007-08-02</t>
        </is>
      </c>
      <c r="Y307" t="n">
        <v>4251</v>
      </c>
      <c r="Z307" t="n">
        <v>4171</v>
      </c>
      <c r="AA307" t="n">
        <v>4244</v>
      </c>
      <c r="AB307" t="n">
        <v>32</v>
      </c>
      <c r="AC307" t="n">
        <v>32</v>
      </c>
      <c r="AD307" t="n">
        <v>27</v>
      </c>
      <c r="AE307" t="n">
        <v>27</v>
      </c>
      <c r="AF307" t="n">
        <v>14</v>
      </c>
      <c r="AG307" t="n">
        <v>14</v>
      </c>
      <c r="AH307" t="n">
        <v>5</v>
      </c>
      <c r="AI307" t="n">
        <v>5</v>
      </c>
      <c r="AJ307" t="n">
        <v>10</v>
      </c>
      <c r="AK307" t="n">
        <v>10</v>
      </c>
      <c r="AL307" t="n">
        <v>5</v>
      </c>
      <c r="AM307" t="n">
        <v>5</v>
      </c>
      <c r="AN307" t="n">
        <v>0</v>
      </c>
      <c r="AO307" t="n">
        <v>0</v>
      </c>
      <c r="AP307" t="inlineStr">
        <is>
          <t>No</t>
        </is>
      </c>
      <c r="AQ307" t="inlineStr">
        <is>
          <t>Yes</t>
        </is>
      </c>
      <c r="AR307">
        <f>HYPERLINK("http://catalog.hathitrust.org/Record/005581618","HathiTrust Record")</f>
        <v/>
      </c>
      <c r="AS307">
        <f>HYPERLINK("https://creighton-primo.hosted.exlibrisgroup.com/primo-explore/search?tab=default_tab&amp;search_scope=EVERYTHING&amp;vid=01CRU&amp;lang=en_US&amp;offset=0&amp;query=any,contains,991005104779702656","Catalog Record")</f>
        <v/>
      </c>
      <c r="AT307">
        <f>HYPERLINK("http://www.worldcat.org/oclc/67345881","WorldCat Record")</f>
        <v/>
      </c>
      <c r="AU307" t="inlineStr">
        <is>
          <t>196095094:eng</t>
        </is>
      </c>
      <c r="AV307" t="inlineStr">
        <is>
          <t>67345881</t>
        </is>
      </c>
      <c r="AW307" t="inlineStr">
        <is>
          <t>991005104779702656</t>
        </is>
      </c>
      <c r="AX307" t="inlineStr">
        <is>
          <t>991005104779702656</t>
        </is>
      </c>
      <c r="AY307" t="inlineStr">
        <is>
          <t>2269250260002656</t>
        </is>
      </c>
      <c r="AZ307" t="inlineStr">
        <is>
          <t>BOOK</t>
        </is>
      </c>
      <c r="BB307" t="inlineStr">
        <is>
          <t>9780618581313</t>
        </is>
      </c>
      <c r="BC307" t="inlineStr">
        <is>
          <t>32285005321939</t>
        </is>
      </c>
      <c r="BD307" t="inlineStr">
        <is>
          <t>893770967</t>
        </is>
      </c>
    </row>
    <row r="308">
      <c r="A308" t="inlineStr">
        <is>
          <t>No</t>
        </is>
      </c>
      <c r="B308" t="inlineStr">
        <is>
          <t>GC26 .H36 1992</t>
        </is>
      </c>
      <c r="C308" t="inlineStr">
        <is>
          <t>0                      GC 0026000H  36          1992</t>
        </is>
      </c>
      <c r="D308" t="inlineStr">
        <is>
          <t>The great deep : the sea and its thresholds / James Hamilton-Paterson.</t>
        </is>
      </c>
      <c r="F308" t="inlineStr">
        <is>
          <t>No</t>
        </is>
      </c>
      <c r="G308" t="inlineStr">
        <is>
          <t>1</t>
        </is>
      </c>
      <c r="H308" t="inlineStr">
        <is>
          <t>No</t>
        </is>
      </c>
      <c r="I308" t="inlineStr">
        <is>
          <t>No</t>
        </is>
      </c>
      <c r="J308" t="inlineStr">
        <is>
          <t>0</t>
        </is>
      </c>
      <c r="K308" t="inlineStr">
        <is>
          <t>Hamilton-Paterson, James.</t>
        </is>
      </c>
      <c r="L308" t="inlineStr">
        <is>
          <t>New York : Random House, c1992.</t>
        </is>
      </c>
      <c r="M308" t="inlineStr">
        <is>
          <t>1992</t>
        </is>
      </c>
      <c r="N308" t="inlineStr">
        <is>
          <t>1st U.S. ed.</t>
        </is>
      </c>
      <c r="O308" t="inlineStr">
        <is>
          <t>eng</t>
        </is>
      </c>
      <c r="P308" t="inlineStr">
        <is>
          <t>nyu</t>
        </is>
      </c>
      <c r="R308" t="inlineStr">
        <is>
          <t xml:space="preserve">GC </t>
        </is>
      </c>
      <c r="S308" t="n">
        <v>3</v>
      </c>
      <c r="T308" t="n">
        <v>3</v>
      </c>
      <c r="U308" t="inlineStr">
        <is>
          <t>2009-01-25</t>
        </is>
      </c>
      <c r="V308" t="inlineStr">
        <is>
          <t>2009-01-25</t>
        </is>
      </c>
      <c r="W308" t="inlineStr">
        <is>
          <t>1992-09-22</t>
        </is>
      </c>
      <c r="X308" t="inlineStr">
        <is>
          <t>1992-09-22</t>
        </is>
      </c>
      <c r="Y308" t="n">
        <v>429</v>
      </c>
      <c r="Z308" t="n">
        <v>402</v>
      </c>
      <c r="AA308" t="n">
        <v>440</v>
      </c>
      <c r="AB308" t="n">
        <v>1</v>
      </c>
      <c r="AC308" t="n">
        <v>1</v>
      </c>
      <c r="AD308" t="n">
        <v>6</v>
      </c>
      <c r="AE308" t="n">
        <v>7</v>
      </c>
      <c r="AF308" t="n">
        <v>3</v>
      </c>
      <c r="AG308" t="n">
        <v>3</v>
      </c>
      <c r="AH308" t="n">
        <v>1</v>
      </c>
      <c r="AI308" t="n">
        <v>2</v>
      </c>
      <c r="AJ308" t="n">
        <v>4</v>
      </c>
      <c r="AK308" t="n">
        <v>5</v>
      </c>
      <c r="AL308" t="n">
        <v>0</v>
      </c>
      <c r="AM308" t="n">
        <v>0</v>
      </c>
      <c r="AN308" t="n">
        <v>0</v>
      </c>
      <c r="AO308" t="n">
        <v>0</v>
      </c>
      <c r="AP308" t="inlineStr">
        <is>
          <t>No</t>
        </is>
      </c>
      <c r="AQ308" t="inlineStr">
        <is>
          <t>Yes</t>
        </is>
      </c>
      <c r="AR308">
        <f>HYPERLINK("http://catalog.hathitrust.org/Record/007185541","HathiTrust Record")</f>
        <v/>
      </c>
      <c r="AS308">
        <f>HYPERLINK("https://creighton-primo.hosted.exlibrisgroup.com/primo-explore/search?tab=default_tab&amp;search_scope=EVERYTHING&amp;vid=01CRU&amp;lang=en_US&amp;offset=0&amp;query=any,contains,991001978619702656","Catalog Record")</f>
        <v/>
      </c>
      <c r="AT308">
        <f>HYPERLINK("http://www.worldcat.org/oclc/25095469","WorldCat Record")</f>
        <v/>
      </c>
      <c r="AU308" t="inlineStr">
        <is>
          <t>30918255:eng</t>
        </is>
      </c>
      <c r="AV308" t="inlineStr">
        <is>
          <t>25095469</t>
        </is>
      </c>
      <c r="AW308" t="inlineStr">
        <is>
          <t>991001978619702656</t>
        </is>
      </c>
      <c r="AX308" t="inlineStr">
        <is>
          <t>991001978619702656</t>
        </is>
      </c>
      <c r="AY308" t="inlineStr">
        <is>
          <t>2264162420002656</t>
        </is>
      </c>
      <c r="AZ308" t="inlineStr">
        <is>
          <t>BOOK</t>
        </is>
      </c>
      <c r="BB308" t="inlineStr">
        <is>
          <t>9780679405962</t>
        </is>
      </c>
      <c r="BC308" t="inlineStr">
        <is>
          <t>32285001288355</t>
        </is>
      </c>
      <c r="BD308" t="inlineStr">
        <is>
          <t>893334788</t>
        </is>
      </c>
    </row>
    <row r="309">
      <c r="A309" t="inlineStr">
        <is>
          <t>No</t>
        </is>
      </c>
      <c r="B309" t="inlineStr">
        <is>
          <t>GC26 .O275 1996</t>
        </is>
      </c>
      <c r="C309" t="inlineStr">
        <is>
          <t>0                      GC 0026000O  275         1996</t>
        </is>
      </c>
      <c r="D309" t="inlineStr">
        <is>
          <t>Oceanography : contemporary readings in ocean sciences / selected and edited by R. Gordon Pirie.</t>
        </is>
      </c>
      <c r="F309" t="inlineStr">
        <is>
          <t>No</t>
        </is>
      </c>
      <c r="G309" t="inlineStr">
        <is>
          <t>1</t>
        </is>
      </c>
      <c r="H309" t="inlineStr">
        <is>
          <t>No</t>
        </is>
      </c>
      <c r="I309" t="inlineStr">
        <is>
          <t>No</t>
        </is>
      </c>
      <c r="J309" t="inlineStr">
        <is>
          <t>0</t>
        </is>
      </c>
      <c r="L309" t="inlineStr">
        <is>
          <t>New York : Oxford University Press, 1996.</t>
        </is>
      </c>
      <c r="M309" t="inlineStr">
        <is>
          <t>1996</t>
        </is>
      </c>
      <c r="N309" t="inlineStr">
        <is>
          <t>3rd ed.</t>
        </is>
      </c>
      <c r="O309" t="inlineStr">
        <is>
          <t>eng</t>
        </is>
      </c>
      <c r="P309" t="inlineStr">
        <is>
          <t>nyu</t>
        </is>
      </c>
      <c r="R309" t="inlineStr">
        <is>
          <t xml:space="preserve">GC </t>
        </is>
      </c>
      <c r="S309" t="n">
        <v>8</v>
      </c>
      <c r="T309" t="n">
        <v>8</v>
      </c>
      <c r="U309" t="inlineStr">
        <is>
          <t>2001-02-19</t>
        </is>
      </c>
      <c r="V309" t="inlineStr">
        <is>
          <t>2001-02-19</t>
        </is>
      </c>
      <c r="W309" t="inlineStr">
        <is>
          <t>1996-05-16</t>
        </is>
      </c>
      <c r="X309" t="inlineStr">
        <is>
          <t>1996-05-16</t>
        </is>
      </c>
      <c r="Y309" t="n">
        <v>281</v>
      </c>
      <c r="Z309" t="n">
        <v>205</v>
      </c>
      <c r="AA309" t="n">
        <v>657</v>
      </c>
      <c r="AB309" t="n">
        <v>2</v>
      </c>
      <c r="AC309" t="n">
        <v>5</v>
      </c>
      <c r="AD309" t="n">
        <v>4</v>
      </c>
      <c r="AE309" t="n">
        <v>18</v>
      </c>
      <c r="AF309" t="n">
        <v>1</v>
      </c>
      <c r="AG309" t="n">
        <v>5</v>
      </c>
      <c r="AH309" t="n">
        <v>1</v>
      </c>
      <c r="AI309" t="n">
        <v>4</v>
      </c>
      <c r="AJ309" t="n">
        <v>3</v>
      </c>
      <c r="AK309" t="n">
        <v>11</v>
      </c>
      <c r="AL309" t="n">
        <v>1</v>
      </c>
      <c r="AM309" t="n">
        <v>3</v>
      </c>
      <c r="AN309" t="n">
        <v>0</v>
      </c>
      <c r="AO309" t="n">
        <v>0</v>
      </c>
      <c r="AP309" t="inlineStr">
        <is>
          <t>No</t>
        </is>
      </c>
      <c r="AQ309" t="inlineStr">
        <is>
          <t>Yes</t>
        </is>
      </c>
      <c r="AR309">
        <f>HYPERLINK("http://catalog.hathitrust.org/Record/003133316","HathiTrust Record")</f>
        <v/>
      </c>
      <c r="AS309">
        <f>HYPERLINK("https://creighton-primo.hosted.exlibrisgroup.com/primo-explore/search?tab=default_tab&amp;search_scope=EVERYTHING&amp;vid=01CRU&amp;lang=en_US&amp;offset=0&amp;query=any,contains,991002456879702656","Catalog Record")</f>
        <v/>
      </c>
      <c r="AT309">
        <f>HYPERLINK("http://www.worldcat.org/oclc/32015845","WorldCat Record")</f>
        <v/>
      </c>
      <c r="AU309" t="inlineStr">
        <is>
          <t>806876827:eng</t>
        </is>
      </c>
      <c r="AV309" t="inlineStr">
        <is>
          <t>32015845</t>
        </is>
      </c>
      <c r="AW309" t="inlineStr">
        <is>
          <t>991002456879702656</t>
        </is>
      </c>
      <c r="AX309" t="inlineStr">
        <is>
          <t>991002456879702656</t>
        </is>
      </c>
      <c r="AY309" t="inlineStr">
        <is>
          <t>2255031530002656</t>
        </is>
      </c>
      <c r="AZ309" t="inlineStr">
        <is>
          <t>BOOK</t>
        </is>
      </c>
      <c r="BB309" t="inlineStr">
        <is>
          <t>9780195087680</t>
        </is>
      </c>
      <c r="BC309" t="inlineStr">
        <is>
          <t>32285002169513</t>
        </is>
      </c>
      <c r="BD309" t="inlineStr">
        <is>
          <t>893710308</t>
        </is>
      </c>
    </row>
    <row r="310">
      <c r="A310" t="inlineStr">
        <is>
          <t>No</t>
        </is>
      </c>
      <c r="B310" t="inlineStr">
        <is>
          <t>GC28 .B44 1997</t>
        </is>
      </c>
      <c r="C310" t="inlineStr">
        <is>
          <t>0                      GC 0028000B  44          1997</t>
        </is>
      </c>
      <c r="D310" t="inlineStr">
        <is>
          <t>Environmental oceanography / Tom Beer.</t>
        </is>
      </c>
      <c r="F310" t="inlineStr">
        <is>
          <t>No</t>
        </is>
      </c>
      <c r="G310" t="inlineStr">
        <is>
          <t>1</t>
        </is>
      </c>
      <c r="H310" t="inlineStr">
        <is>
          <t>No</t>
        </is>
      </c>
      <c r="I310" t="inlineStr">
        <is>
          <t>No</t>
        </is>
      </c>
      <c r="J310" t="inlineStr">
        <is>
          <t>0</t>
        </is>
      </c>
      <c r="K310" t="inlineStr">
        <is>
          <t>Beer, Tom.</t>
        </is>
      </c>
      <c r="L310" t="inlineStr">
        <is>
          <t>Boca Raton : CRC Press, c1997.</t>
        </is>
      </c>
      <c r="M310" t="inlineStr">
        <is>
          <t>1996</t>
        </is>
      </c>
      <c r="N310" t="inlineStr">
        <is>
          <t>2nd ed.</t>
        </is>
      </c>
      <c r="O310" t="inlineStr">
        <is>
          <t>eng</t>
        </is>
      </c>
      <c r="P310" t="inlineStr">
        <is>
          <t>flu</t>
        </is>
      </c>
      <c r="Q310" t="inlineStr">
        <is>
          <t>CRC series in marine science</t>
        </is>
      </c>
      <c r="R310" t="inlineStr">
        <is>
          <t xml:space="preserve">GC </t>
        </is>
      </c>
      <c r="S310" t="n">
        <v>8</v>
      </c>
      <c r="T310" t="n">
        <v>8</v>
      </c>
      <c r="U310" t="inlineStr">
        <is>
          <t>1998-12-09</t>
        </is>
      </c>
      <c r="V310" t="inlineStr">
        <is>
          <t>1998-12-09</t>
        </is>
      </c>
      <c r="W310" t="inlineStr">
        <is>
          <t>1998-04-01</t>
        </is>
      </c>
      <c r="X310" t="inlineStr">
        <is>
          <t>1998-04-01</t>
        </is>
      </c>
      <c r="Y310" t="n">
        <v>286</v>
      </c>
      <c r="Z310" t="n">
        <v>212</v>
      </c>
      <c r="AA310" t="n">
        <v>445</v>
      </c>
      <c r="AB310" t="n">
        <v>1</v>
      </c>
      <c r="AC310" t="n">
        <v>2</v>
      </c>
      <c r="AD310" t="n">
        <v>3</v>
      </c>
      <c r="AE310" t="n">
        <v>10</v>
      </c>
      <c r="AF310" t="n">
        <v>2</v>
      </c>
      <c r="AG310" t="n">
        <v>4</v>
      </c>
      <c r="AH310" t="n">
        <v>0</v>
      </c>
      <c r="AI310" t="n">
        <v>3</v>
      </c>
      <c r="AJ310" t="n">
        <v>2</v>
      </c>
      <c r="AK310" t="n">
        <v>4</v>
      </c>
      <c r="AL310" t="n">
        <v>0</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HYPERLINK("https://creighton-primo.hosted.exlibrisgroup.com/primo-explore/search?tab=default_tab&amp;search_scope=EVERYTHING&amp;vid=01CRU&amp;lang=en_US&amp;offset=0&amp;query=any,contains,991002656529702656","Catalog Record")</f>
        <v/>
      </c>
      <c r="AT310">
        <f>HYPERLINK("http://www.worldcat.org/oclc/34731484","WorldCat Record")</f>
        <v/>
      </c>
      <c r="AU310" t="inlineStr">
        <is>
          <t>407809:eng</t>
        </is>
      </c>
      <c r="AV310" t="inlineStr">
        <is>
          <t>34731484</t>
        </is>
      </c>
      <c r="AW310" t="inlineStr">
        <is>
          <t>991002656529702656</t>
        </is>
      </c>
      <c r="AX310" t="inlineStr">
        <is>
          <t>991002656529702656</t>
        </is>
      </c>
      <c r="AY310" t="inlineStr">
        <is>
          <t>2268313460002656</t>
        </is>
      </c>
      <c r="AZ310" t="inlineStr">
        <is>
          <t>BOOK</t>
        </is>
      </c>
      <c r="BB310" t="inlineStr">
        <is>
          <t>9780849384257</t>
        </is>
      </c>
      <c r="BC310" t="inlineStr">
        <is>
          <t>32285003382735</t>
        </is>
      </c>
      <c r="BD310" t="inlineStr">
        <is>
          <t>893347759</t>
        </is>
      </c>
    </row>
    <row r="311">
      <c r="A311" t="inlineStr">
        <is>
          <t>No</t>
        </is>
      </c>
      <c r="B311" t="inlineStr">
        <is>
          <t>GC28 .H37</t>
        </is>
      </c>
      <c r="C311" t="inlineStr">
        <is>
          <t>0                      GC 0028000H  37</t>
        </is>
      </c>
      <c r="D311" t="inlineStr">
        <is>
          <t>Atmosphere and ocean : our fluid environments / by John G. Harvey.</t>
        </is>
      </c>
      <c r="F311" t="inlineStr">
        <is>
          <t>No</t>
        </is>
      </c>
      <c r="G311" t="inlineStr">
        <is>
          <t>1</t>
        </is>
      </c>
      <c r="H311" t="inlineStr">
        <is>
          <t>No</t>
        </is>
      </c>
      <c r="I311" t="inlineStr">
        <is>
          <t>No</t>
        </is>
      </c>
      <c r="J311" t="inlineStr">
        <is>
          <t>0</t>
        </is>
      </c>
      <c r="K311" t="inlineStr">
        <is>
          <t>Harvey, John G. (John Grover), 1934-</t>
        </is>
      </c>
      <c r="L311" t="inlineStr">
        <is>
          <t>Horsham : Artemis Press, 1976.</t>
        </is>
      </c>
      <c r="M311" t="inlineStr">
        <is>
          <t>1976</t>
        </is>
      </c>
      <c r="O311" t="inlineStr">
        <is>
          <t>eng</t>
        </is>
      </c>
      <c r="P311" t="inlineStr">
        <is>
          <t>enk</t>
        </is>
      </c>
      <c r="R311" t="inlineStr">
        <is>
          <t xml:space="preserve">GC </t>
        </is>
      </c>
      <c r="S311" t="n">
        <v>3</v>
      </c>
      <c r="T311" t="n">
        <v>3</v>
      </c>
      <c r="U311" t="inlineStr">
        <is>
          <t>1994-04-10</t>
        </is>
      </c>
      <c r="V311" t="inlineStr">
        <is>
          <t>1994-04-10</t>
        </is>
      </c>
      <c r="W311" t="inlineStr">
        <is>
          <t>1990-09-13</t>
        </is>
      </c>
      <c r="X311" t="inlineStr">
        <is>
          <t>1990-09-13</t>
        </is>
      </c>
      <c r="Y311" t="n">
        <v>351</v>
      </c>
      <c r="Z311" t="n">
        <v>231</v>
      </c>
      <c r="AA311" t="n">
        <v>234</v>
      </c>
      <c r="AB311" t="n">
        <v>4</v>
      </c>
      <c r="AC311" t="n">
        <v>4</v>
      </c>
      <c r="AD311" t="n">
        <v>8</v>
      </c>
      <c r="AE311" t="n">
        <v>8</v>
      </c>
      <c r="AF311" t="n">
        <v>3</v>
      </c>
      <c r="AG311" t="n">
        <v>3</v>
      </c>
      <c r="AH311" t="n">
        <v>1</v>
      </c>
      <c r="AI311" t="n">
        <v>1</v>
      </c>
      <c r="AJ311" t="n">
        <v>3</v>
      </c>
      <c r="AK311" t="n">
        <v>3</v>
      </c>
      <c r="AL311" t="n">
        <v>3</v>
      </c>
      <c r="AM311" t="n">
        <v>3</v>
      </c>
      <c r="AN311" t="n">
        <v>0</v>
      </c>
      <c r="AO311" t="n">
        <v>0</v>
      </c>
      <c r="AP311" t="inlineStr">
        <is>
          <t>No</t>
        </is>
      </c>
      <c r="AQ311" t="inlineStr">
        <is>
          <t>Yes</t>
        </is>
      </c>
      <c r="AR311">
        <f>HYPERLINK("http://catalog.hathitrust.org/Record/005760114","HathiTrust Record")</f>
        <v/>
      </c>
      <c r="AS311">
        <f>HYPERLINK("https://creighton-primo.hosted.exlibrisgroup.com/primo-explore/search?tab=default_tab&amp;search_scope=EVERYTHING&amp;vid=01CRU&amp;lang=en_US&amp;offset=0&amp;query=any,contains,991004499079702656","Catalog Record")</f>
        <v/>
      </c>
      <c r="AT311">
        <f>HYPERLINK("http://www.worldcat.org/oclc/3709336","WorldCat Record")</f>
        <v/>
      </c>
      <c r="AU311" t="inlineStr">
        <is>
          <t>151172252:eng</t>
        </is>
      </c>
      <c r="AV311" t="inlineStr">
        <is>
          <t>3709336</t>
        </is>
      </c>
      <c r="AW311" t="inlineStr">
        <is>
          <t>991004499079702656</t>
        </is>
      </c>
      <c r="AX311" t="inlineStr">
        <is>
          <t>991004499079702656</t>
        </is>
      </c>
      <c r="AY311" t="inlineStr">
        <is>
          <t>2265720060002656</t>
        </is>
      </c>
      <c r="AZ311" t="inlineStr">
        <is>
          <t>BOOK</t>
        </is>
      </c>
      <c r="BB311" t="inlineStr">
        <is>
          <t>9780851412962</t>
        </is>
      </c>
      <c r="BC311" t="inlineStr">
        <is>
          <t>32285000286566</t>
        </is>
      </c>
      <c r="BD311" t="inlineStr">
        <is>
          <t>893776084</t>
        </is>
      </c>
    </row>
    <row r="312">
      <c r="A312" t="inlineStr">
        <is>
          <t>No</t>
        </is>
      </c>
      <c r="B312" t="inlineStr">
        <is>
          <t>GC28 .J33 2006</t>
        </is>
      </c>
      <c r="C312" t="inlineStr">
        <is>
          <t>0                      GC 0028000J  33          2006</t>
        </is>
      </c>
      <c r="D312" t="inlineStr">
        <is>
          <t>Globalization and the world ocean / Peter Jacques.</t>
        </is>
      </c>
      <c r="F312" t="inlineStr">
        <is>
          <t>No</t>
        </is>
      </c>
      <c r="G312" t="inlineStr">
        <is>
          <t>1</t>
        </is>
      </c>
      <c r="H312" t="inlineStr">
        <is>
          <t>No</t>
        </is>
      </c>
      <c r="I312" t="inlineStr">
        <is>
          <t>No</t>
        </is>
      </c>
      <c r="J312" t="inlineStr">
        <is>
          <t>0</t>
        </is>
      </c>
      <c r="K312" t="inlineStr">
        <is>
          <t>Jacques, Peter.</t>
        </is>
      </c>
      <c r="L312" t="inlineStr">
        <is>
          <t>Lanham : AltaMira Press, c2006.</t>
        </is>
      </c>
      <c r="M312" t="inlineStr">
        <is>
          <t>2006</t>
        </is>
      </c>
      <c r="O312" t="inlineStr">
        <is>
          <t>eng</t>
        </is>
      </c>
      <c r="P312" t="inlineStr">
        <is>
          <t>mdu</t>
        </is>
      </c>
      <c r="Q312" t="inlineStr">
        <is>
          <t>Globalization and the environment series ; 5</t>
        </is>
      </c>
      <c r="R312" t="inlineStr">
        <is>
          <t xml:space="preserve">GC </t>
        </is>
      </c>
      <c r="S312" t="n">
        <v>2</v>
      </c>
      <c r="T312" t="n">
        <v>2</v>
      </c>
      <c r="U312" t="inlineStr">
        <is>
          <t>2006-07-13</t>
        </is>
      </c>
      <c r="V312" t="inlineStr">
        <is>
          <t>2006-07-13</t>
        </is>
      </c>
      <c r="W312" t="inlineStr">
        <is>
          <t>2006-07-13</t>
        </is>
      </c>
      <c r="X312" t="inlineStr">
        <is>
          <t>2006-07-13</t>
        </is>
      </c>
      <c r="Y312" t="n">
        <v>261</v>
      </c>
      <c r="Z312" t="n">
        <v>186</v>
      </c>
      <c r="AA312" t="n">
        <v>208</v>
      </c>
      <c r="AB312" t="n">
        <v>2</v>
      </c>
      <c r="AC312" t="n">
        <v>2</v>
      </c>
      <c r="AD312" t="n">
        <v>6</v>
      </c>
      <c r="AE312" t="n">
        <v>7</v>
      </c>
      <c r="AF312" t="n">
        <v>2</v>
      </c>
      <c r="AG312" t="n">
        <v>3</v>
      </c>
      <c r="AH312" t="n">
        <v>3</v>
      </c>
      <c r="AI312" t="n">
        <v>4</v>
      </c>
      <c r="AJ312" t="n">
        <v>3</v>
      </c>
      <c r="AK312" t="n">
        <v>3</v>
      </c>
      <c r="AL312" t="n">
        <v>1</v>
      </c>
      <c r="AM312" t="n">
        <v>1</v>
      </c>
      <c r="AN312" t="n">
        <v>0</v>
      </c>
      <c r="AO312" t="n">
        <v>0</v>
      </c>
      <c r="AP312" t="inlineStr">
        <is>
          <t>No</t>
        </is>
      </c>
      <c r="AQ312" t="inlineStr">
        <is>
          <t>Yes</t>
        </is>
      </c>
      <c r="AR312">
        <f>HYPERLINK("http://catalog.hathitrust.org/Record/005234461","HathiTrust Record")</f>
        <v/>
      </c>
      <c r="AS312">
        <f>HYPERLINK("https://creighton-primo.hosted.exlibrisgroup.com/primo-explore/search?tab=default_tab&amp;search_scope=EVERYTHING&amp;vid=01CRU&amp;lang=en_US&amp;offset=0&amp;query=any,contains,991004843999702656","Catalog Record")</f>
        <v/>
      </c>
      <c r="AT312">
        <f>HYPERLINK("http://www.worldcat.org/oclc/62342808","WorldCat Record")</f>
        <v/>
      </c>
      <c r="AU312" t="inlineStr">
        <is>
          <t>46716163:eng</t>
        </is>
      </c>
      <c r="AV312" t="inlineStr">
        <is>
          <t>62342808</t>
        </is>
      </c>
      <c r="AW312" t="inlineStr">
        <is>
          <t>991004843999702656</t>
        </is>
      </c>
      <c r="AX312" t="inlineStr">
        <is>
          <t>991004843999702656</t>
        </is>
      </c>
      <c r="AY312" t="inlineStr">
        <is>
          <t>2260315930002656</t>
        </is>
      </c>
      <c r="AZ312" t="inlineStr">
        <is>
          <t>BOOK</t>
        </is>
      </c>
      <c r="BB312" t="inlineStr">
        <is>
          <t>9780759105843</t>
        </is>
      </c>
      <c r="BC312" t="inlineStr">
        <is>
          <t>32285005193932</t>
        </is>
      </c>
      <c r="BD312" t="inlineStr">
        <is>
          <t>893254157</t>
        </is>
      </c>
    </row>
    <row r="313">
      <c r="A313" t="inlineStr">
        <is>
          <t>No</t>
        </is>
      </c>
      <c r="B313" t="inlineStr">
        <is>
          <t>GC29 .E95</t>
        </is>
      </c>
      <c r="C313" t="inlineStr">
        <is>
          <t>0                      GC 0029000E  95</t>
        </is>
      </c>
      <c r="D313" t="inlineStr">
        <is>
          <t>Exploring the ocean world : a history of oceanography / C. P. Idyll, editor.</t>
        </is>
      </c>
      <c r="F313" t="inlineStr">
        <is>
          <t>No</t>
        </is>
      </c>
      <c r="G313" t="inlineStr">
        <is>
          <t>1</t>
        </is>
      </c>
      <c r="H313" t="inlineStr">
        <is>
          <t>No</t>
        </is>
      </c>
      <c r="I313" t="inlineStr">
        <is>
          <t>No</t>
        </is>
      </c>
      <c r="J313" t="inlineStr">
        <is>
          <t>0</t>
        </is>
      </c>
      <c r="L313" t="inlineStr">
        <is>
          <t>New York : Crowell, [1969]</t>
        </is>
      </c>
      <c r="M313" t="inlineStr">
        <is>
          <t>1969</t>
        </is>
      </c>
      <c r="O313" t="inlineStr">
        <is>
          <t>eng</t>
        </is>
      </c>
      <c r="P313" t="inlineStr">
        <is>
          <t>nyu</t>
        </is>
      </c>
      <c r="R313" t="inlineStr">
        <is>
          <t xml:space="preserve">GC </t>
        </is>
      </c>
      <c r="S313" t="n">
        <v>5</v>
      </c>
      <c r="T313" t="n">
        <v>5</v>
      </c>
      <c r="U313" t="inlineStr">
        <is>
          <t>1995-09-18</t>
        </is>
      </c>
      <c r="V313" t="inlineStr">
        <is>
          <t>1995-09-18</t>
        </is>
      </c>
      <c r="W313" t="inlineStr">
        <is>
          <t>1993-11-30</t>
        </is>
      </c>
      <c r="X313" t="inlineStr">
        <is>
          <t>1993-11-30</t>
        </is>
      </c>
      <c r="Y313" t="n">
        <v>697</v>
      </c>
      <c r="Z313" t="n">
        <v>641</v>
      </c>
      <c r="AA313" t="n">
        <v>969</v>
      </c>
      <c r="AB313" t="n">
        <v>2</v>
      </c>
      <c r="AC313" t="n">
        <v>4</v>
      </c>
      <c r="AD313" t="n">
        <v>6</v>
      </c>
      <c r="AE313" t="n">
        <v>16</v>
      </c>
      <c r="AF313" t="n">
        <v>4</v>
      </c>
      <c r="AG313" t="n">
        <v>8</v>
      </c>
      <c r="AH313" t="n">
        <v>0</v>
      </c>
      <c r="AI313" t="n">
        <v>2</v>
      </c>
      <c r="AJ313" t="n">
        <v>2</v>
      </c>
      <c r="AK313" t="n">
        <v>7</v>
      </c>
      <c r="AL313" t="n">
        <v>1</v>
      </c>
      <c r="AM313" t="n">
        <v>2</v>
      </c>
      <c r="AN313" t="n">
        <v>0</v>
      </c>
      <c r="AO313" t="n">
        <v>0</v>
      </c>
      <c r="AP313" t="inlineStr">
        <is>
          <t>No</t>
        </is>
      </c>
      <c r="AQ313" t="inlineStr">
        <is>
          <t>Yes</t>
        </is>
      </c>
      <c r="AR313">
        <f>HYPERLINK("http://catalog.hathitrust.org/Record/001273500","HathiTrust Record")</f>
        <v/>
      </c>
      <c r="AS313">
        <f>HYPERLINK("https://creighton-primo.hosted.exlibrisgroup.com/primo-explore/search?tab=default_tab&amp;search_scope=EVERYTHING&amp;vid=01CRU&amp;lang=en_US&amp;offset=0&amp;query=any,contains,991000266819702656","Catalog Record")</f>
        <v/>
      </c>
      <c r="AT313">
        <f>HYPERLINK("http://www.worldcat.org/oclc/68425","WorldCat Record")</f>
        <v/>
      </c>
      <c r="AU313" t="inlineStr">
        <is>
          <t>894374705:eng</t>
        </is>
      </c>
      <c r="AV313" t="inlineStr">
        <is>
          <t>68425</t>
        </is>
      </c>
      <c r="AW313" t="inlineStr">
        <is>
          <t>991000266819702656</t>
        </is>
      </c>
      <c r="AX313" t="inlineStr">
        <is>
          <t>991000266819702656</t>
        </is>
      </c>
      <c r="AY313" t="inlineStr">
        <is>
          <t>2257716880002656</t>
        </is>
      </c>
      <c r="AZ313" t="inlineStr">
        <is>
          <t>BOOK</t>
        </is>
      </c>
      <c r="BC313" t="inlineStr">
        <is>
          <t>32285001689883</t>
        </is>
      </c>
      <c r="BD313" t="inlineStr">
        <is>
          <t>893521546</t>
        </is>
      </c>
    </row>
    <row r="314">
      <c r="A314" t="inlineStr">
        <is>
          <t>No</t>
        </is>
      </c>
      <c r="B314" t="inlineStr">
        <is>
          <t>GC296.8.E4 C87 2001</t>
        </is>
      </c>
      <c r="C314" t="inlineStr">
        <is>
          <t>0                      GC 0296800E  4                  C  87          2001</t>
        </is>
      </c>
      <c r="D314" t="inlineStr">
        <is>
          <t>Currents of change : impacts of El Niño and La Nina on climate and society / Michael H. Glantz.</t>
        </is>
      </c>
      <c r="F314" t="inlineStr">
        <is>
          <t>No</t>
        </is>
      </c>
      <c r="G314" t="inlineStr">
        <is>
          <t>1</t>
        </is>
      </c>
      <c r="H314" t="inlineStr">
        <is>
          <t>No</t>
        </is>
      </c>
      <c r="I314" t="inlineStr">
        <is>
          <t>No</t>
        </is>
      </c>
      <c r="J314" t="inlineStr">
        <is>
          <t>0</t>
        </is>
      </c>
      <c r="L314" t="inlineStr">
        <is>
          <t>Cambridge ; New York : Cambridge University Press, 2001.</t>
        </is>
      </c>
      <c r="M314" t="inlineStr">
        <is>
          <t>2001</t>
        </is>
      </c>
      <c r="N314" t="inlineStr">
        <is>
          <t>2nd ed.</t>
        </is>
      </c>
      <c r="O314" t="inlineStr">
        <is>
          <t>eng</t>
        </is>
      </c>
      <c r="P314" t="inlineStr">
        <is>
          <t>enk</t>
        </is>
      </c>
      <c r="R314" t="inlineStr">
        <is>
          <t xml:space="preserve">GC </t>
        </is>
      </c>
      <c r="S314" t="n">
        <v>6</v>
      </c>
      <c r="T314" t="n">
        <v>6</v>
      </c>
      <c r="U314" t="inlineStr">
        <is>
          <t>2008-02-19</t>
        </is>
      </c>
      <c r="V314" t="inlineStr">
        <is>
          <t>2008-02-19</t>
        </is>
      </c>
      <c r="W314" t="inlineStr">
        <is>
          <t>2001-07-10</t>
        </is>
      </c>
      <c r="X314" t="inlineStr">
        <is>
          <t>2001-07-10</t>
        </is>
      </c>
      <c r="Y314" t="n">
        <v>719</v>
      </c>
      <c r="Z314" t="n">
        <v>569</v>
      </c>
      <c r="AA314" t="n">
        <v>893</v>
      </c>
      <c r="AB314" t="n">
        <v>3</v>
      </c>
      <c r="AC314" t="n">
        <v>5</v>
      </c>
      <c r="AD314" t="n">
        <v>18</v>
      </c>
      <c r="AE314" t="n">
        <v>27</v>
      </c>
      <c r="AF314" t="n">
        <v>7</v>
      </c>
      <c r="AG314" t="n">
        <v>12</v>
      </c>
      <c r="AH314" t="n">
        <v>4</v>
      </c>
      <c r="AI314" t="n">
        <v>4</v>
      </c>
      <c r="AJ314" t="n">
        <v>9</v>
      </c>
      <c r="AK314" t="n">
        <v>13</v>
      </c>
      <c r="AL314" t="n">
        <v>2</v>
      </c>
      <c r="AM314" t="n">
        <v>4</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HYPERLINK("https://creighton-primo.hosted.exlibrisgroup.com/primo-explore/search?tab=default_tab&amp;search_scope=EVERYTHING&amp;vid=01CRU&amp;lang=en_US&amp;offset=0&amp;query=any,contains,991003540879702656","Catalog Record")</f>
        <v/>
      </c>
      <c r="AT314">
        <f>HYPERLINK("http://www.worldcat.org/oclc/43757569","WorldCat Record")</f>
        <v/>
      </c>
      <c r="AU314" t="inlineStr">
        <is>
          <t>144340104:eng</t>
        </is>
      </c>
      <c r="AV314" t="inlineStr">
        <is>
          <t>43757569</t>
        </is>
      </c>
      <c r="AW314" t="inlineStr">
        <is>
          <t>991003540879702656</t>
        </is>
      </c>
      <c r="AX314" t="inlineStr">
        <is>
          <t>991003540879702656</t>
        </is>
      </c>
      <c r="AY314" t="inlineStr">
        <is>
          <t>2270336670002656</t>
        </is>
      </c>
      <c r="AZ314" t="inlineStr">
        <is>
          <t>BOOK</t>
        </is>
      </c>
      <c r="BB314" t="inlineStr">
        <is>
          <t>9780521786720</t>
        </is>
      </c>
      <c r="BC314" t="inlineStr">
        <is>
          <t>32285004330907</t>
        </is>
      </c>
      <c r="BD314" t="inlineStr">
        <is>
          <t>893435103</t>
        </is>
      </c>
    </row>
    <row r="315">
      <c r="A315" t="inlineStr">
        <is>
          <t>No</t>
        </is>
      </c>
      <c r="B315" t="inlineStr">
        <is>
          <t>GC296.8.E4 E395 2000</t>
        </is>
      </c>
      <c r="C315" t="inlineStr">
        <is>
          <t>0                      GC 0296800E  4                  E  395         2000</t>
        </is>
      </c>
      <c r="D315" t="inlineStr">
        <is>
          <t>El Niño and the southern oscillation : multiscale variability and global and regional impacts / edited by Henry F. Diaz and Vera Markgraf.</t>
        </is>
      </c>
      <c r="F315" t="inlineStr">
        <is>
          <t>No</t>
        </is>
      </c>
      <c r="G315" t="inlineStr">
        <is>
          <t>1</t>
        </is>
      </c>
      <c r="H315" t="inlineStr">
        <is>
          <t>No</t>
        </is>
      </c>
      <c r="I315" t="inlineStr">
        <is>
          <t>No</t>
        </is>
      </c>
      <c r="J315" t="inlineStr">
        <is>
          <t>0</t>
        </is>
      </c>
      <c r="L315" t="inlineStr">
        <is>
          <t>Cambridge ; New York, NY Cambridge University Press 2000.</t>
        </is>
      </c>
      <c r="M315" t="inlineStr">
        <is>
          <t>2000</t>
        </is>
      </c>
      <c r="O315" t="inlineStr">
        <is>
          <t>eng</t>
        </is>
      </c>
      <c r="P315" t="inlineStr">
        <is>
          <t>enk</t>
        </is>
      </c>
      <c r="R315" t="inlineStr">
        <is>
          <t xml:space="preserve">GC </t>
        </is>
      </c>
      <c r="S315" t="n">
        <v>2</v>
      </c>
      <c r="T315" t="n">
        <v>2</v>
      </c>
      <c r="U315" t="inlineStr">
        <is>
          <t>2003-12-18</t>
        </is>
      </c>
      <c r="V315" t="inlineStr">
        <is>
          <t>2003-12-18</t>
        </is>
      </c>
      <c r="W315" t="inlineStr">
        <is>
          <t>2003-05-12</t>
        </is>
      </c>
      <c r="X315" t="inlineStr">
        <is>
          <t>2003-05-12</t>
        </is>
      </c>
      <c r="Y315" t="n">
        <v>348</v>
      </c>
      <c r="Z315" t="n">
        <v>240</v>
      </c>
      <c r="AA315" t="n">
        <v>257</v>
      </c>
      <c r="AB315" t="n">
        <v>2</v>
      </c>
      <c r="AC315" t="n">
        <v>2</v>
      </c>
      <c r="AD315" t="n">
        <v>7</v>
      </c>
      <c r="AE315" t="n">
        <v>7</v>
      </c>
      <c r="AF315" t="n">
        <v>4</v>
      </c>
      <c r="AG315" t="n">
        <v>4</v>
      </c>
      <c r="AH315" t="n">
        <v>2</v>
      </c>
      <c r="AI315" t="n">
        <v>2</v>
      </c>
      <c r="AJ315" t="n">
        <v>1</v>
      </c>
      <c r="AK315" t="n">
        <v>1</v>
      </c>
      <c r="AL315" t="n">
        <v>1</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HYPERLINK("https://creighton-primo.hosted.exlibrisgroup.com/primo-explore/search?tab=default_tab&amp;search_scope=EVERYTHING&amp;vid=01CRU&amp;lang=en_US&amp;offset=0&amp;query=any,contains,991004017409702656","Catalog Record")</f>
        <v/>
      </c>
      <c r="AT315">
        <f>HYPERLINK("http://www.worldcat.org/oclc/42683254","WorldCat Record")</f>
        <v/>
      </c>
      <c r="AU315" t="inlineStr">
        <is>
          <t>836989732:eng</t>
        </is>
      </c>
      <c r="AV315" t="inlineStr">
        <is>
          <t>42683254</t>
        </is>
      </c>
      <c r="AW315" t="inlineStr">
        <is>
          <t>991004017409702656</t>
        </is>
      </c>
      <c r="AX315" t="inlineStr">
        <is>
          <t>991004017409702656</t>
        </is>
      </c>
      <c r="AY315" t="inlineStr">
        <is>
          <t>2263609140002656</t>
        </is>
      </c>
      <c r="AZ315" t="inlineStr">
        <is>
          <t>BOOK</t>
        </is>
      </c>
      <c r="BB315" t="inlineStr">
        <is>
          <t>9780521621380</t>
        </is>
      </c>
      <c r="BC315" t="inlineStr">
        <is>
          <t>32285004745641</t>
        </is>
      </c>
      <c r="BD315" t="inlineStr">
        <is>
          <t>893445988</t>
        </is>
      </c>
    </row>
    <row r="316">
      <c r="A316" t="inlineStr">
        <is>
          <t>No</t>
        </is>
      </c>
      <c r="B316" t="inlineStr">
        <is>
          <t>GC296.8.E4 E3955 2008</t>
        </is>
      </c>
      <c r="C316" t="inlineStr">
        <is>
          <t>0                      GC 0296800E  4                  E  3955        2008</t>
        </is>
      </c>
      <c r="D316" t="inlineStr">
        <is>
          <t>El Niño, catastrophism, and culture change in ancient America / editors, Daniel H. Sandweiss, Jeffrey Quilter.</t>
        </is>
      </c>
      <c r="F316" t="inlineStr">
        <is>
          <t>No</t>
        </is>
      </c>
      <c r="G316" t="inlineStr">
        <is>
          <t>1</t>
        </is>
      </c>
      <c r="H316" t="inlineStr">
        <is>
          <t>No</t>
        </is>
      </c>
      <c r="I316" t="inlineStr">
        <is>
          <t>No</t>
        </is>
      </c>
      <c r="J316" t="inlineStr">
        <is>
          <t>0</t>
        </is>
      </c>
      <c r="L316" t="inlineStr">
        <is>
          <t>Washington, D.C. : Dumbarton Oaks Research Library and Collection ; [Cambridge, Mass.] : Distributed by Harvard University Press, 2008.</t>
        </is>
      </c>
      <c r="M316" t="inlineStr">
        <is>
          <t>2008</t>
        </is>
      </c>
      <c r="O316" t="inlineStr">
        <is>
          <t>eng</t>
        </is>
      </c>
      <c r="P316" t="inlineStr">
        <is>
          <t>dcu</t>
        </is>
      </c>
      <c r="R316" t="inlineStr">
        <is>
          <t xml:space="preserve">GC </t>
        </is>
      </c>
      <c r="S316" t="n">
        <v>3</v>
      </c>
      <c r="T316" t="n">
        <v>3</v>
      </c>
      <c r="U316" t="inlineStr">
        <is>
          <t>2010-10-06</t>
        </is>
      </c>
      <c r="V316" t="inlineStr">
        <is>
          <t>2010-10-06</t>
        </is>
      </c>
      <c r="W316" t="inlineStr">
        <is>
          <t>2010-03-24</t>
        </is>
      </c>
      <c r="X316" t="inlineStr">
        <is>
          <t>2010-03-24</t>
        </is>
      </c>
      <c r="Y316" t="n">
        <v>252</v>
      </c>
      <c r="Z316" t="n">
        <v>203</v>
      </c>
      <c r="AA316" t="n">
        <v>204</v>
      </c>
      <c r="AB316" t="n">
        <v>2</v>
      </c>
      <c r="AC316" t="n">
        <v>2</v>
      </c>
      <c r="AD316" t="n">
        <v>7</v>
      </c>
      <c r="AE316" t="n">
        <v>7</v>
      </c>
      <c r="AF316" t="n">
        <v>0</v>
      </c>
      <c r="AG316" t="n">
        <v>0</v>
      </c>
      <c r="AH316" t="n">
        <v>3</v>
      </c>
      <c r="AI316" t="n">
        <v>3</v>
      </c>
      <c r="AJ316" t="n">
        <v>4</v>
      </c>
      <c r="AK316" t="n">
        <v>4</v>
      </c>
      <c r="AL316" t="n">
        <v>1</v>
      </c>
      <c r="AM316" t="n">
        <v>1</v>
      </c>
      <c r="AN316" t="n">
        <v>0</v>
      </c>
      <c r="AO316" t="n">
        <v>0</v>
      </c>
      <c r="AP316" t="inlineStr">
        <is>
          <t>No</t>
        </is>
      </c>
      <c r="AQ316" t="inlineStr">
        <is>
          <t>Yes</t>
        </is>
      </c>
      <c r="AR316">
        <f>HYPERLINK("http://catalog.hathitrust.org/Record/007150754","HathiTrust Record")</f>
        <v/>
      </c>
      <c r="AS316">
        <f>HYPERLINK("https://creighton-primo.hosted.exlibrisgroup.com/primo-explore/search?tab=default_tab&amp;search_scope=EVERYTHING&amp;vid=01CRU&amp;lang=en_US&amp;offset=0&amp;query=any,contains,991005375749702656","Catalog Record")</f>
        <v/>
      </c>
      <c r="AT316">
        <f>HYPERLINK("http://www.worldcat.org/oclc/173809022","WorldCat Record")</f>
        <v/>
      </c>
      <c r="AU316" t="inlineStr">
        <is>
          <t>114480612:eng</t>
        </is>
      </c>
      <c r="AV316" t="inlineStr">
        <is>
          <t>173809022</t>
        </is>
      </c>
      <c r="AW316" t="inlineStr">
        <is>
          <t>991005375749702656</t>
        </is>
      </c>
      <c r="AX316" t="inlineStr">
        <is>
          <t>991005375749702656</t>
        </is>
      </c>
      <c r="AY316" t="inlineStr">
        <is>
          <t>2259632650002656</t>
        </is>
      </c>
      <c r="AZ316" t="inlineStr">
        <is>
          <t>BOOK</t>
        </is>
      </c>
      <c r="BB316" t="inlineStr">
        <is>
          <t>9780884023531</t>
        </is>
      </c>
      <c r="BC316" t="inlineStr">
        <is>
          <t>32285005579940</t>
        </is>
      </c>
      <c r="BD316" t="inlineStr">
        <is>
          <t>893514624</t>
        </is>
      </c>
    </row>
    <row r="317">
      <c r="A317" t="inlineStr">
        <is>
          <t>No</t>
        </is>
      </c>
      <c r="B317" t="inlineStr">
        <is>
          <t>GC296.8.E4 F34 1999</t>
        </is>
      </c>
      <c r="C317" t="inlineStr">
        <is>
          <t>0                      GC 0296800E  4                  F  34          1999</t>
        </is>
      </c>
      <c r="D317" t="inlineStr">
        <is>
          <t>Floods, famines, and emperors : El Niño and the fate of civilizations / Brian Fagan.</t>
        </is>
      </c>
      <c r="F317" t="inlineStr">
        <is>
          <t>No</t>
        </is>
      </c>
      <c r="G317" t="inlineStr">
        <is>
          <t>1</t>
        </is>
      </c>
      <c r="H317" t="inlineStr">
        <is>
          <t>No</t>
        </is>
      </c>
      <c r="I317" t="inlineStr">
        <is>
          <t>No</t>
        </is>
      </c>
      <c r="J317" t="inlineStr">
        <is>
          <t>0</t>
        </is>
      </c>
      <c r="K317" t="inlineStr">
        <is>
          <t>Fagan, Brian M.</t>
        </is>
      </c>
      <c r="L317" t="inlineStr">
        <is>
          <t>New York : Basic Books, c1999.</t>
        </is>
      </c>
      <c r="M317" t="inlineStr">
        <is>
          <t>1999</t>
        </is>
      </c>
      <c r="N317" t="inlineStr">
        <is>
          <t>1st ed.</t>
        </is>
      </c>
      <c r="O317" t="inlineStr">
        <is>
          <t>eng</t>
        </is>
      </c>
      <c r="P317" t="inlineStr">
        <is>
          <t>nyu</t>
        </is>
      </c>
      <c r="R317" t="inlineStr">
        <is>
          <t xml:space="preserve">GC </t>
        </is>
      </c>
      <c r="S317" t="n">
        <v>2</v>
      </c>
      <c r="T317" t="n">
        <v>2</v>
      </c>
      <c r="U317" t="inlineStr">
        <is>
          <t>2007-05-23</t>
        </is>
      </c>
      <c r="V317" t="inlineStr">
        <is>
          <t>2007-05-23</t>
        </is>
      </c>
      <c r="W317" t="inlineStr">
        <is>
          <t>1999-10-27</t>
        </is>
      </c>
      <c r="X317" t="inlineStr">
        <is>
          <t>1999-10-27</t>
        </is>
      </c>
      <c r="Y317" t="n">
        <v>1300</v>
      </c>
      <c r="Z317" t="n">
        <v>1177</v>
      </c>
      <c r="AA317" t="n">
        <v>1825</v>
      </c>
      <c r="AB317" t="n">
        <v>11</v>
      </c>
      <c r="AC317" t="n">
        <v>14</v>
      </c>
      <c r="AD317" t="n">
        <v>30</v>
      </c>
      <c r="AE317" t="n">
        <v>49</v>
      </c>
      <c r="AF317" t="n">
        <v>10</v>
      </c>
      <c r="AG317" t="n">
        <v>17</v>
      </c>
      <c r="AH317" t="n">
        <v>5</v>
      </c>
      <c r="AI317" t="n">
        <v>9</v>
      </c>
      <c r="AJ317" t="n">
        <v>13</v>
      </c>
      <c r="AK317" t="n">
        <v>19</v>
      </c>
      <c r="AL317" t="n">
        <v>8</v>
      </c>
      <c r="AM317" t="n">
        <v>11</v>
      </c>
      <c r="AN317" t="n">
        <v>1</v>
      </c>
      <c r="AO317" t="n">
        <v>2</v>
      </c>
      <c r="AP317" t="inlineStr">
        <is>
          <t>No</t>
        </is>
      </c>
      <c r="AQ317" t="inlineStr">
        <is>
          <t>Yes</t>
        </is>
      </c>
      <c r="AR317">
        <f>HYPERLINK("http://catalog.hathitrust.org/Record/004019880","HathiTrust Record")</f>
        <v/>
      </c>
      <c r="AS317">
        <f>HYPERLINK("https://creighton-primo.hosted.exlibrisgroup.com/primo-explore/search?tab=default_tab&amp;search_scope=EVERYTHING&amp;vid=01CRU&amp;lang=en_US&amp;offset=0&amp;query=any,contains,991003005869702656","Catalog Record")</f>
        <v/>
      </c>
      <c r="AT317">
        <f>HYPERLINK("http://www.worldcat.org/oclc/40743181","WorldCat Record")</f>
        <v/>
      </c>
      <c r="AU317" t="inlineStr">
        <is>
          <t>26217265:eng</t>
        </is>
      </c>
      <c r="AV317" t="inlineStr">
        <is>
          <t>40743181</t>
        </is>
      </c>
      <c r="AW317" t="inlineStr">
        <is>
          <t>991003005869702656</t>
        </is>
      </c>
      <c r="AX317" t="inlineStr">
        <is>
          <t>991003005869702656</t>
        </is>
      </c>
      <c r="AY317" t="inlineStr">
        <is>
          <t>2256766840002656</t>
        </is>
      </c>
      <c r="AZ317" t="inlineStr">
        <is>
          <t>BOOK</t>
        </is>
      </c>
      <c r="BB317" t="inlineStr">
        <is>
          <t>9780465011209</t>
        </is>
      </c>
      <c r="BC317" t="inlineStr">
        <is>
          <t>32285003614350</t>
        </is>
      </c>
      <c r="BD317" t="inlineStr">
        <is>
          <t>893616884</t>
        </is>
      </c>
    </row>
    <row r="318">
      <c r="A318" t="inlineStr">
        <is>
          <t>No</t>
        </is>
      </c>
      <c r="B318" t="inlineStr">
        <is>
          <t>GC296.8.E4 N37 2002</t>
        </is>
      </c>
      <c r="C318" t="inlineStr">
        <is>
          <t>0                      GC 0296800E  4                  N  37          2002</t>
        </is>
      </c>
      <c r="D318" t="inlineStr">
        <is>
          <t>El Niño : unlocking the secrets of the master weather-maker / J. Madeleine Nash.</t>
        </is>
      </c>
      <c r="F318" t="inlineStr">
        <is>
          <t>No</t>
        </is>
      </c>
      <c r="G318" t="inlineStr">
        <is>
          <t>1</t>
        </is>
      </c>
      <c r="H318" t="inlineStr">
        <is>
          <t>No</t>
        </is>
      </c>
      <c r="I318" t="inlineStr">
        <is>
          <t>No</t>
        </is>
      </c>
      <c r="J318" t="inlineStr">
        <is>
          <t>0</t>
        </is>
      </c>
      <c r="K318" t="inlineStr">
        <is>
          <t>Nash, J. Madeleine.</t>
        </is>
      </c>
      <c r="L318" t="inlineStr">
        <is>
          <t>New York : Warner Books, c2002.</t>
        </is>
      </c>
      <c r="M318" t="inlineStr">
        <is>
          <t>2002</t>
        </is>
      </c>
      <c r="O318" t="inlineStr">
        <is>
          <t>eng</t>
        </is>
      </c>
      <c r="P318" t="inlineStr">
        <is>
          <t>nyu</t>
        </is>
      </c>
      <c r="R318" t="inlineStr">
        <is>
          <t xml:space="preserve">GC </t>
        </is>
      </c>
      <c r="S318" t="n">
        <v>4</v>
      </c>
      <c r="T318" t="n">
        <v>4</v>
      </c>
      <c r="U318" t="inlineStr">
        <is>
          <t>2008-02-19</t>
        </is>
      </c>
      <c r="V318" t="inlineStr">
        <is>
          <t>2008-02-19</t>
        </is>
      </c>
      <c r="W318" t="inlineStr">
        <is>
          <t>2002-03-21</t>
        </is>
      </c>
      <c r="X318" t="inlineStr">
        <is>
          <t>2002-03-21</t>
        </is>
      </c>
      <c r="Y318" t="n">
        <v>1133</v>
      </c>
      <c r="Z318" t="n">
        <v>1055</v>
      </c>
      <c r="AA318" t="n">
        <v>1120</v>
      </c>
      <c r="AB318" t="n">
        <v>7</v>
      </c>
      <c r="AC318" t="n">
        <v>8</v>
      </c>
      <c r="AD318" t="n">
        <v>20</v>
      </c>
      <c r="AE318" t="n">
        <v>23</v>
      </c>
      <c r="AF318" t="n">
        <v>10</v>
      </c>
      <c r="AG318" t="n">
        <v>11</v>
      </c>
      <c r="AH318" t="n">
        <v>3</v>
      </c>
      <c r="AI318" t="n">
        <v>4</v>
      </c>
      <c r="AJ318" t="n">
        <v>8</v>
      </c>
      <c r="AK318" t="n">
        <v>9</v>
      </c>
      <c r="AL318" t="n">
        <v>4</v>
      </c>
      <c r="AM318" t="n">
        <v>5</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HYPERLINK("https://creighton-primo.hosted.exlibrisgroup.com/primo-explore/search?tab=default_tab&amp;search_scope=EVERYTHING&amp;vid=01CRU&amp;lang=en_US&amp;offset=0&amp;query=any,contains,991003755309702656","Catalog Record")</f>
        <v/>
      </c>
      <c r="AT318">
        <f>HYPERLINK("http://www.worldcat.org/oclc/47716458","WorldCat Record")</f>
        <v/>
      </c>
      <c r="AU318" t="inlineStr">
        <is>
          <t>837044893:eng</t>
        </is>
      </c>
      <c r="AV318" t="inlineStr">
        <is>
          <t>47716458</t>
        </is>
      </c>
      <c r="AW318" t="inlineStr">
        <is>
          <t>991003755309702656</t>
        </is>
      </c>
      <c r="AX318" t="inlineStr">
        <is>
          <t>991003755309702656</t>
        </is>
      </c>
      <c r="AY318" t="inlineStr">
        <is>
          <t>2272375630002656</t>
        </is>
      </c>
      <c r="AZ318" t="inlineStr">
        <is>
          <t>BOOK</t>
        </is>
      </c>
      <c r="BB318" t="inlineStr">
        <is>
          <t>9780446524810</t>
        </is>
      </c>
      <c r="BC318" t="inlineStr">
        <is>
          <t>32285004463831</t>
        </is>
      </c>
      <c r="BD318" t="inlineStr">
        <is>
          <t>893617705</t>
        </is>
      </c>
    </row>
    <row r="319">
      <c r="A319" t="inlineStr">
        <is>
          <t>No</t>
        </is>
      </c>
      <c r="B319" t="inlineStr">
        <is>
          <t>GC296.8.E4 N56 1992</t>
        </is>
      </c>
      <c r="C319" t="inlineStr">
        <is>
          <t>0                      GC 0296800E  4                  N  56          1992</t>
        </is>
      </c>
      <c r="D319" t="inlineStr">
        <is>
          <t>El Niño : historical and paleoclimatic aspects of the southern oscillation / edited by Henry F. Diaz and Vera Markgraf.</t>
        </is>
      </c>
      <c r="F319" t="inlineStr">
        <is>
          <t>No</t>
        </is>
      </c>
      <c r="G319" t="inlineStr">
        <is>
          <t>1</t>
        </is>
      </c>
      <c r="H319" t="inlineStr">
        <is>
          <t>No</t>
        </is>
      </c>
      <c r="I319" t="inlineStr">
        <is>
          <t>No</t>
        </is>
      </c>
      <c r="J319" t="inlineStr">
        <is>
          <t>0</t>
        </is>
      </c>
      <c r="L319" t="inlineStr">
        <is>
          <t>Cambridge [England] ; New York, NY, USA : Cambridge University Press, 1992.</t>
        </is>
      </c>
      <c r="M319" t="inlineStr">
        <is>
          <t>1992</t>
        </is>
      </c>
      <c r="O319" t="inlineStr">
        <is>
          <t>eng</t>
        </is>
      </c>
      <c r="P319" t="inlineStr">
        <is>
          <t>enk</t>
        </is>
      </c>
      <c r="R319" t="inlineStr">
        <is>
          <t xml:space="preserve">GC </t>
        </is>
      </c>
      <c r="S319" t="n">
        <v>24</v>
      </c>
      <c r="T319" t="n">
        <v>24</v>
      </c>
      <c r="U319" t="inlineStr">
        <is>
          <t>1998-10-03</t>
        </is>
      </c>
      <c r="V319" t="inlineStr">
        <is>
          <t>1998-10-03</t>
        </is>
      </c>
      <c r="W319" t="inlineStr">
        <is>
          <t>1993-06-09</t>
        </is>
      </c>
      <c r="X319" t="inlineStr">
        <is>
          <t>1993-06-09</t>
        </is>
      </c>
      <c r="Y319" t="n">
        <v>487</v>
      </c>
      <c r="Z319" t="n">
        <v>332</v>
      </c>
      <c r="AA319" t="n">
        <v>338</v>
      </c>
      <c r="AB319" t="n">
        <v>4</v>
      </c>
      <c r="AC319" t="n">
        <v>4</v>
      </c>
      <c r="AD319" t="n">
        <v>12</v>
      </c>
      <c r="AE319" t="n">
        <v>12</v>
      </c>
      <c r="AF319" t="n">
        <v>4</v>
      </c>
      <c r="AG319" t="n">
        <v>4</v>
      </c>
      <c r="AH319" t="n">
        <v>1</v>
      </c>
      <c r="AI319" t="n">
        <v>1</v>
      </c>
      <c r="AJ319" t="n">
        <v>5</v>
      </c>
      <c r="AK319" t="n">
        <v>5</v>
      </c>
      <c r="AL319" t="n">
        <v>3</v>
      </c>
      <c r="AM319" t="n">
        <v>3</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HYPERLINK("https://creighton-primo.hosted.exlibrisgroup.com/primo-explore/search?tab=default_tab&amp;search_scope=EVERYTHING&amp;vid=01CRU&amp;lang=en_US&amp;offset=0&amp;query=any,contains,991002055259702656","Catalog Record")</f>
        <v/>
      </c>
      <c r="AT319">
        <f>HYPERLINK("http://www.worldcat.org/oclc/26259569","WorldCat Record")</f>
        <v/>
      </c>
      <c r="AU319" t="inlineStr">
        <is>
          <t>836926667:eng</t>
        </is>
      </c>
      <c r="AV319" t="inlineStr">
        <is>
          <t>26259569</t>
        </is>
      </c>
      <c r="AW319" t="inlineStr">
        <is>
          <t>991002055259702656</t>
        </is>
      </c>
      <c r="AX319" t="inlineStr">
        <is>
          <t>991002055259702656</t>
        </is>
      </c>
      <c r="AY319" t="inlineStr">
        <is>
          <t>2271617130002656</t>
        </is>
      </c>
      <c r="AZ319" t="inlineStr">
        <is>
          <t>BOOK</t>
        </is>
      </c>
      <c r="BB319" t="inlineStr">
        <is>
          <t>9780521430425</t>
        </is>
      </c>
      <c r="BC319" t="inlineStr">
        <is>
          <t>32285001584738</t>
        </is>
      </c>
      <c r="BD319" t="inlineStr">
        <is>
          <t>893523133</t>
        </is>
      </c>
    </row>
    <row r="320">
      <c r="A320" t="inlineStr">
        <is>
          <t>No</t>
        </is>
      </c>
      <c r="B320" t="inlineStr">
        <is>
          <t>GC296.8.E4 P48 1990</t>
        </is>
      </c>
      <c r="C320" t="inlineStr">
        <is>
          <t>0                      GC 0296800E  4                  P  48          1990</t>
        </is>
      </c>
      <c r="D320" t="inlineStr">
        <is>
          <t>El Niño, La Niña, and the southern oscillation / S. George Philander.</t>
        </is>
      </c>
      <c r="F320" t="inlineStr">
        <is>
          <t>No</t>
        </is>
      </c>
      <c r="G320" t="inlineStr">
        <is>
          <t>1</t>
        </is>
      </c>
      <c r="H320" t="inlineStr">
        <is>
          <t>No</t>
        </is>
      </c>
      <c r="I320" t="inlineStr">
        <is>
          <t>No</t>
        </is>
      </c>
      <c r="J320" t="inlineStr">
        <is>
          <t>0</t>
        </is>
      </c>
      <c r="K320" t="inlineStr">
        <is>
          <t>Philander, S. George.</t>
        </is>
      </c>
      <c r="L320" t="inlineStr">
        <is>
          <t>San Diego : Academic Press, 1990.</t>
        </is>
      </c>
      <c r="M320" t="inlineStr">
        <is>
          <t>1990</t>
        </is>
      </c>
      <c r="O320" t="inlineStr">
        <is>
          <t>eng</t>
        </is>
      </c>
      <c r="P320" t="inlineStr">
        <is>
          <t>cau</t>
        </is>
      </c>
      <c r="Q320" t="inlineStr">
        <is>
          <t>International geophysics series ; v. 46</t>
        </is>
      </c>
      <c r="R320" t="inlineStr">
        <is>
          <t xml:space="preserve">GC </t>
        </is>
      </c>
      <c r="S320" t="n">
        <v>31</v>
      </c>
      <c r="T320" t="n">
        <v>31</v>
      </c>
      <c r="U320" t="inlineStr">
        <is>
          <t>2006-08-16</t>
        </is>
      </c>
      <c r="V320" t="inlineStr">
        <is>
          <t>2006-08-16</t>
        </is>
      </c>
      <c r="W320" t="inlineStr">
        <is>
          <t>1990-01-14</t>
        </is>
      </c>
      <c r="X320" t="inlineStr">
        <is>
          <t>1990-01-14</t>
        </is>
      </c>
      <c r="Y320" t="n">
        <v>504</v>
      </c>
      <c r="Z320" t="n">
        <v>343</v>
      </c>
      <c r="AA320" t="n">
        <v>1034</v>
      </c>
      <c r="AB320" t="n">
        <v>4</v>
      </c>
      <c r="AC320" t="n">
        <v>15</v>
      </c>
      <c r="AD320" t="n">
        <v>10</v>
      </c>
      <c r="AE320" t="n">
        <v>37</v>
      </c>
      <c r="AF320" t="n">
        <v>2</v>
      </c>
      <c r="AG320" t="n">
        <v>10</v>
      </c>
      <c r="AH320" t="n">
        <v>1</v>
      </c>
      <c r="AI320" t="n">
        <v>6</v>
      </c>
      <c r="AJ320" t="n">
        <v>4</v>
      </c>
      <c r="AK320" t="n">
        <v>11</v>
      </c>
      <c r="AL320" t="n">
        <v>3</v>
      </c>
      <c r="AM320" t="n">
        <v>13</v>
      </c>
      <c r="AN320" t="n">
        <v>0</v>
      </c>
      <c r="AO320" t="n">
        <v>1</v>
      </c>
      <c r="AP320" t="inlineStr">
        <is>
          <t>No</t>
        </is>
      </c>
      <c r="AQ320" t="inlineStr">
        <is>
          <t>No</t>
        </is>
      </c>
      <c r="AS320">
        <f>HYPERLINK("https://creighton-primo.hosted.exlibrisgroup.com/primo-explore/search?tab=default_tab&amp;search_scope=EVERYTHING&amp;vid=01CRU&amp;lang=en_US&amp;offset=0&amp;query=any,contains,991001462959702656","Catalog Record")</f>
        <v/>
      </c>
      <c r="AT320">
        <f>HYPERLINK("http://www.worldcat.org/oclc/19457387","WorldCat Record")</f>
        <v/>
      </c>
      <c r="AU320" t="inlineStr">
        <is>
          <t>355716744:eng</t>
        </is>
      </c>
      <c r="AV320" t="inlineStr">
        <is>
          <t>19457387</t>
        </is>
      </c>
      <c r="AW320" t="inlineStr">
        <is>
          <t>991001462959702656</t>
        </is>
      </c>
      <c r="AX320" t="inlineStr">
        <is>
          <t>991001462959702656</t>
        </is>
      </c>
      <c r="AY320" t="inlineStr">
        <is>
          <t>2267155270002656</t>
        </is>
      </c>
      <c r="AZ320" t="inlineStr">
        <is>
          <t>BOOK</t>
        </is>
      </c>
      <c r="BB320" t="inlineStr">
        <is>
          <t>9780125532358</t>
        </is>
      </c>
      <c r="BC320" t="inlineStr">
        <is>
          <t>32285000027317</t>
        </is>
      </c>
      <c r="BD320" t="inlineStr">
        <is>
          <t>893715468</t>
        </is>
      </c>
    </row>
    <row r="321">
      <c r="A321" t="inlineStr">
        <is>
          <t>No</t>
        </is>
      </c>
      <c r="B321" t="inlineStr">
        <is>
          <t>GC296.8.E4 P485 2004</t>
        </is>
      </c>
      <c r="C321" t="inlineStr">
        <is>
          <t>0                      GC 0296800E  4                  P  485         2004</t>
        </is>
      </c>
      <c r="D321" t="inlineStr">
        <is>
          <t>Our affair with El Niño : how we transformed an enchanting Peruvian current into a global climate hazard / S. George Philander.</t>
        </is>
      </c>
      <c r="F321" t="inlineStr">
        <is>
          <t>No</t>
        </is>
      </c>
      <c r="G321" t="inlineStr">
        <is>
          <t>1</t>
        </is>
      </c>
      <c r="H321" t="inlineStr">
        <is>
          <t>No</t>
        </is>
      </c>
      <c r="I321" t="inlineStr">
        <is>
          <t>No</t>
        </is>
      </c>
      <c r="J321" t="inlineStr">
        <is>
          <t>0</t>
        </is>
      </c>
      <c r="K321" t="inlineStr">
        <is>
          <t>Philander, S. George.</t>
        </is>
      </c>
      <c r="L321" t="inlineStr">
        <is>
          <t>Princeton : Princeton University Press, c2004.</t>
        </is>
      </c>
      <c r="M321" t="inlineStr">
        <is>
          <t>2004</t>
        </is>
      </c>
      <c r="O321" t="inlineStr">
        <is>
          <t>eng</t>
        </is>
      </c>
      <c r="P321" t="inlineStr">
        <is>
          <t>nju</t>
        </is>
      </c>
      <c r="R321" t="inlineStr">
        <is>
          <t xml:space="preserve">GC </t>
        </is>
      </c>
      <c r="S321" t="n">
        <v>6</v>
      </c>
      <c r="T321" t="n">
        <v>6</v>
      </c>
      <c r="U321" t="inlineStr">
        <is>
          <t>2008-02-19</t>
        </is>
      </c>
      <c r="V321" t="inlineStr">
        <is>
          <t>2008-02-19</t>
        </is>
      </c>
      <c r="W321" t="inlineStr">
        <is>
          <t>2004-06-07</t>
        </is>
      </c>
      <c r="X321" t="inlineStr">
        <is>
          <t>2004-06-07</t>
        </is>
      </c>
      <c r="Y321" t="n">
        <v>697</v>
      </c>
      <c r="Z321" t="n">
        <v>584</v>
      </c>
      <c r="AA321" t="n">
        <v>806</v>
      </c>
      <c r="AB321" t="n">
        <v>4</v>
      </c>
      <c r="AC321" t="n">
        <v>4</v>
      </c>
      <c r="AD321" t="n">
        <v>22</v>
      </c>
      <c r="AE321" t="n">
        <v>31</v>
      </c>
      <c r="AF321" t="n">
        <v>8</v>
      </c>
      <c r="AG321" t="n">
        <v>14</v>
      </c>
      <c r="AH321" t="n">
        <v>5</v>
      </c>
      <c r="AI321" t="n">
        <v>8</v>
      </c>
      <c r="AJ321" t="n">
        <v>13</v>
      </c>
      <c r="AK321" t="n">
        <v>17</v>
      </c>
      <c r="AL321" t="n">
        <v>3</v>
      </c>
      <c r="AM321" t="n">
        <v>3</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HYPERLINK("https://creighton-primo.hosted.exlibrisgroup.com/primo-explore/search?tab=default_tab&amp;search_scope=EVERYTHING&amp;vid=01CRU&amp;lang=en_US&amp;offset=0&amp;query=any,contains,991004289979702656","Catalog Record")</f>
        <v/>
      </c>
      <c r="AT321">
        <f>HYPERLINK("http://www.worldcat.org/oclc/52347743","WorldCat Record")</f>
        <v/>
      </c>
      <c r="AU321" t="inlineStr">
        <is>
          <t>727553:eng</t>
        </is>
      </c>
      <c r="AV321" t="inlineStr">
        <is>
          <t>52347743</t>
        </is>
      </c>
      <c r="AW321" t="inlineStr">
        <is>
          <t>991004289979702656</t>
        </is>
      </c>
      <c r="AX321" t="inlineStr">
        <is>
          <t>991004289979702656</t>
        </is>
      </c>
      <c r="AY321" t="inlineStr">
        <is>
          <t>2271124400002656</t>
        </is>
      </c>
      <c r="AZ321" t="inlineStr">
        <is>
          <t>BOOK</t>
        </is>
      </c>
      <c r="BB321" t="inlineStr">
        <is>
          <t>9780691113357</t>
        </is>
      </c>
      <c r="BC321" t="inlineStr">
        <is>
          <t>32285004908074</t>
        </is>
      </c>
      <c r="BD321" t="inlineStr">
        <is>
          <t>893253508</t>
        </is>
      </c>
    </row>
    <row r="322">
      <c r="A322" t="inlineStr">
        <is>
          <t>No</t>
        </is>
      </c>
      <c r="B322" t="inlineStr">
        <is>
          <t>GC30.5 .F35</t>
        </is>
      </c>
      <c r="C322" t="inlineStr">
        <is>
          <t>0                      GC 0030500F  35</t>
        </is>
      </c>
      <c r="D322" t="inlineStr">
        <is>
          <t>Opportunities in oceanographic careers.</t>
        </is>
      </c>
      <c r="F322" t="inlineStr">
        <is>
          <t>No</t>
        </is>
      </c>
      <c r="G322" t="inlineStr">
        <is>
          <t>1</t>
        </is>
      </c>
      <c r="H322" t="inlineStr">
        <is>
          <t>No</t>
        </is>
      </c>
      <c r="I322" t="inlineStr">
        <is>
          <t>No</t>
        </is>
      </c>
      <c r="J322" t="inlineStr">
        <is>
          <t>0</t>
        </is>
      </c>
      <c r="K322" t="inlineStr">
        <is>
          <t>Fanning, Odom.</t>
        </is>
      </c>
      <c r="L322" t="inlineStr">
        <is>
          <t>New York : Vocational Guidance Manuals, [1969]</t>
        </is>
      </c>
      <c r="M322" t="inlineStr">
        <is>
          <t>1969</t>
        </is>
      </c>
      <c r="O322" t="inlineStr">
        <is>
          <t>eng</t>
        </is>
      </c>
      <c r="P322" t="inlineStr">
        <is>
          <t>nyu</t>
        </is>
      </c>
      <c r="Q322" t="inlineStr">
        <is>
          <t>VGM career series ; V172</t>
        </is>
      </c>
      <c r="R322" t="inlineStr">
        <is>
          <t xml:space="preserve">GC </t>
        </is>
      </c>
      <c r="S322" t="n">
        <v>2</v>
      </c>
      <c r="T322" t="n">
        <v>2</v>
      </c>
      <c r="U322" t="inlineStr">
        <is>
          <t>1994-02-22</t>
        </is>
      </c>
      <c r="V322" t="inlineStr">
        <is>
          <t>1994-02-22</t>
        </is>
      </c>
      <c r="W322" t="inlineStr">
        <is>
          <t>1993-11-11</t>
        </is>
      </c>
      <c r="X322" t="inlineStr">
        <is>
          <t>1993-11-11</t>
        </is>
      </c>
      <c r="Y322" t="n">
        <v>60</v>
      </c>
      <c r="Z322" t="n">
        <v>58</v>
      </c>
      <c r="AA322" t="n">
        <v>58</v>
      </c>
      <c r="AB322" t="n">
        <v>1</v>
      </c>
      <c r="AC322" t="n">
        <v>1</v>
      </c>
      <c r="AD322" t="n">
        <v>1</v>
      </c>
      <c r="AE322" t="n">
        <v>1</v>
      </c>
      <c r="AF322" t="n">
        <v>0</v>
      </c>
      <c r="AG322" t="n">
        <v>0</v>
      </c>
      <c r="AH322" t="n">
        <v>1</v>
      </c>
      <c r="AI322" t="n">
        <v>1</v>
      </c>
      <c r="AJ322" t="n">
        <v>0</v>
      </c>
      <c r="AK322" t="n">
        <v>0</v>
      </c>
      <c r="AL322" t="n">
        <v>0</v>
      </c>
      <c r="AM322" t="n">
        <v>0</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HYPERLINK("https://creighton-primo.hosted.exlibrisgroup.com/primo-explore/search?tab=default_tab&amp;search_scope=EVERYTHING&amp;vid=01CRU&amp;lang=en_US&amp;offset=0&amp;query=any,contains,991000354149702656","Catalog Record")</f>
        <v/>
      </c>
      <c r="AT322">
        <f>HYPERLINK("http://www.worldcat.org/oclc/70488","WorldCat Record")</f>
        <v/>
      </c>
      <c r="AU322" t="inlineStr">
        <is>
          <t>1239428:eng</t>
        </is>
      </c>
      <c r="AV322" t="inlineStr">
        <is>
          <t>70488</t>
        </is>
      </c>
      <c r="AW322" t="inlineStr">
        <is>
          <t>991000354149702656</t>
        </is>
      </c>
      <c r="AX322" t="inlineStr">
        <is>
          <t>991000354149702656</t>
        </is>
      </c>
      <c r="AY322" t="inlineStr">
        <is>
          <t>2270443900002656</t>
        </is>
      </c>
      <c r="AZ322" t="inlineStr">
        <is>
          <t>BOOK</t>
        </is>
      </c>
      <c r="BC322" t="inlineStr">
        <is>
          <t>32285001798270</t>
        </is>
      </c>
      <c r="BD322" t="inlineStr">
        <is>
          <t>893896801</t>
        </is>
      </c>
    </row>
    <row r="323">
      <c r="A323" t="inlineStr">
        <is>
          <t>No</t>
        </is>
      </c>
      <c r="B323" t="inlineStr">
        <is>
          <t>GC301 .C55</t>
        </is>
      </c>
      <c r="C323" t="inlineStr">
        <is>
          <t>0                      GC 0301000C  55</t>
        </is>
      </c>
      <c r="D323" t="inlineStr">
        <is>
          <t>The tides : pulse of the earth / [by] Edward P. Clancy. Illustrated by Warren H. Maxfield.</t>
        </is>
      </c>
      <c r="F323" t="inlineStr">
        <is>
          <t>No</t>
        </is>
      </c>
      <c r="G323" t="inlineStr">
        <is>
          <t>1</t>
        </is>
      </c>
      <c r="H323" t="inlineStr">
        <is>
          <t>No</t>
        </is>
      </c>
      <c r="I323" t="inlineStr">
        <is>
          <t>No</t>
        </is>
      </c>
      <c r="J323" t="inlineStr">
        <is>
          <t>0</t>
        </is>
      </c>
      <c r="K323" t="inlineStr">
        <is>
          <t>Clancy, Edward P., 1913-</t>
        </is>
      </c>
      <c r="L323" t="inlineStr">
        <is>
          <t>Garden City, N.Y. : Doubleday, 1968.</t>
        </is>
      </c>
      <c r="M323" t="inlineStr">
        <is>
          <t>1968</t>
        </is>
      </c>
      <c r="N323" t="inlineStr">
        <is>
          <t>[1st ed.]</t>
        </is>
      </c>
      <c r="O323" t="inlineStr">
        <is>
          <t>eng</t>
        </is>
      </c>
      <c r="P323" t="inlineStr">
        <is>
          <t>nyu</t>
        </is>
      </c>
      <c r="Q323" t="inlineStr">
        <is>
          <t>The Science study series</t>
        </is>
      </c>
      <c r="R323" t="inlineStr">
        <is>
          <t xml:space="preserve">GC </t>
        </is>
      </c>
      <c r="S323" t="n">
        <v>12</v>
      </c>
      <c r="T323" t="n">
        <v>12</v>
      </c>
      <c r="U323" t="inlineStr">
        <is>
          <t>1995-12-02</t>
        </is>
      </c>
      <c r="V323" t="inlineStr">
        <is>
          <t>1995-12-02</t>
        </is>
      </c>
      <c r="W323" t="inlineStr">
        <is>
          <t>1993-12-08</t>
        </is>
      </c>
      <c r="X323" t="inlineStr">
        <is>
          <t>1993-12-08</t>
        </is>
      </c>
      <c r="Y323" t="n">
        <v>866</v>
      </c>
      <c r="Z323" t="n">
        <v>822</v>
      </c>
      <c r="AA323" t="n">
        <v>879</v>
      </c>
      <c r="AB323" t="n">
        <v>9</v>
      </c>
      <c r="AC323" t="n">
        <v>9</v>
      </c>
      <c r="AD323" t="n">
        <v>19</v>
      </c>
      <c r="AE323" t="n">
        <v>19</v>
      </c>
      <c r="AF323" t="n">
        <v>8</v>
      </c>
      <c r="AG323" t="n">
        <v>8</v>
      </c>
      <c r="AH323" t="n">
        <v>2</v>
      </c>
      <c r="AI323" t="n">
        <v>2</v>
      </c>
      <c r="AJ323" t="n">
        <v>9</v>
      </c>
      <c r="AK323" t="n">
        <v>9</v>
      </c>
      <c r="AL323" t="n">
        <v>4</v>
      </c>
      <c r="AM323" t="n">
        <v>4</v>
      </c>
      <c r="AN323" t="n">
        <v>0</v>
      </c>
      <c r="AO323" t="n">
        <v>0</v>
      </c>
      <c r="AP323" t="inlineStr">
        <is>
          <t>No</t>
        </is>
      </c>
      <c r="AQ323" t="inlineStr">
        <is>
          <t>Yes</t>
        </is>
      </c>
      <c r="AR323">
        <f>HYPERLINK("http://catalog.hathitrust.org/Record/001273613","HathiTrust Record")</f>
        <v/>
      </c>
      <c r="AS323">
        <f>HYPERLINK("https://creighton-primo.hosted.exlibrisgroup.com/primo-explore/search?tab=default_tab&amp;search_scope=EVERYTHING&amp;vid=01CRU&amp;lang=en_US&amp;offset=0&amp;query=any,contains,991001088389702656","Catalog Record")</f>
        <v/>
      </c>
      <c r="AT323">
        <f>HYPERLINK("http://www.worldcat.org/oclc/181063","WorldCat Record")</f>
        <v/>
      </c>
      <c r="AU323" t="inlineStr">
        <is>
          <t>233185995:eng</t>
        </is>
      </c>
      <c r="AV323" t="inlineStr">
        <is>
          <t>181063</t>
        </is>
      </c>
      <c r="AW323" t="inlineStr">
        <is>
          <t>991001088389702656</t>
        </is>
      </c>
      <c r="AX323" t="inlineStr">
        <is>
          <t>991001088389702656</t>
        </is>
      </c>
      <c r="AY323" t="inlineStr">
        <is>
          <t>2272677850002656</t>
        </is>
      </c>
      <c r="AZ323" t="inlineStr">
        <is>
          <t>BOOK</t>
        </is>
      </c>
      <c r="BC323" t="inlineStr">
        <is>
          <t>32285001806081</t>
        </is>
      </c>
      <c r="BD323" t="inlineStr">
        <is>
          <t>893596179</t>
        </is>
      </c>
    </row>
    <row r="324">
      <c r="A324" t="inlineStr">
        <is>
          <t>No</t>
        </is>
      </c>
      <c r="B324" t="inlineStr">
        <is>
          <t>GC301.2 .C37 1999</t>
        </is>
      </c>
      <c r="C324" t="inlineStr">
        <is>
          <t>0                      GC 0301200C  37          1999</t>
        </is>
      </c>
      <c r="D324" t="inlineStr">
        <is>
          <t>Tides : a scientific history / David Edgar Cartwright.</t>
        </is>
      </c>
      <c r="F324" t="inlineStr">
        <is>
          <t>No</t>
        </is>
      </c>
      <c r="G324" t="inlineStr">
        <is>
          <t>1</t>
        </is>
      </c>
      <c r="H324" t="inlineStr">
        <is>
          <t>No</t>
        </is>
      </c>
      <c r="I324" t="inlineStr">
        <is>
          <t>No</t>
        </is>
      </c>
      <c r="J324" t="inlineStr">
        <is>
          <t>0</t>
        </is>
      </c>
      <c r="K324" t="inlineStr">
        <is>
          <t>Cartwright, David Edgar, 1926-</t>
        </is>
      </c>
      <c r="L324" t="inlineStr">
        <is>
          <t>New York : Cambridge University Press, 1999.</t>
        </is>
      </c>
      <c r="M324" t="inlineStr">
        <is>
          <t>1999</t>
        </is>
      </c>
      <c r="O324" t="inlineStr">
        <is>
          <t>eng</t>
        </is>
      </c>
      <c r="P324" t="inlineStr">
        <is>
          <t>nyu</t>
        </is>
      </c>
      <c r="R324" t="inlineStr">
        <is>
          <t xml:space="preserve">GC </t>
        </is>
      </c>
      <c r="S324" t="n">
        <v>3</v>
      </c>
      <c r="T324" t="n">
        <v>3</v>
      </c>
      <c r="U324" t="inlineStr">
        <is>
          <t>2001-04-26</t>
        </is>
      </c>
      <c r="V324" t="inlineStr">
        <is>
          <t>2001-04-26</t>
        </is>
      </c>
      <c r="W324" t="inlineStr">
        <is>
          <t>2000-07-05</t>
        </is>
      </c>
      <c r="X324" t="inlineStr">
        <is>
          <t>2000-07-05</t>
        </is>
      </c>
      <c r="Y324" t="n">
        <v>455</v>
      </c>
      <c r="Z324" t="n">
        <v>357</v>
      </c>
      <c r="AA324" t="n">
        <v>453</v>
      </c>
      <c r="AB324" t="n">
        <v>2</v>
      </c>
      <c r="AC324" t="n">
        <v>3</v>
      </c>
      <c r="AD324" t="n">
        <v>13</v>
      </c>
      <c r="AE324" t="n">
        <v>17</v>
      </c>
      <c r="AF324" t="n">
        <v>4</v>
      </c>
      <c r="AG324" t="n">
        <v>6</v>
      </c>
      <c r="AH324" t="n">
        <v>3</v>
      </c>
      <c r="AI324" t="n">
        <v>3</v>
      </c>
      <c r="AJ324" t="n">
        <v>8</v>
      </c>
      <c r="AK324" t="n">
        <v>10</v>
      </c>
      <c r="AL324" t="n">
        <v>1</v>
      </c>
      <c r="AM324" t="n">
        <v>2</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HYPERLINK("https://creighton-primo.hosted.exlibrisgroup.com/primo-explore/search?tab=default_tab&amp;search_scope=EVERYTHING&amp;vid=01CRU&amp;lang=en_US&amp;offset=0&amp;query=any,contains,991003198359702656","Catalog Record")</f>
        <v/>
      </c>
      <c r="AT324">
        <f>HYPERLINK("http://www.worldcat.org/oclc/38474060","WorldCat Record")</f>
        <v/>
      </c>
      <c r="AU324" t="inlineStr">
        <is>
          <t>41964393:eng</t>
        </is>
      </c>
      <c r="AV324" t="inlineStr">
        <is>
          <t>38474060</t>
        </is>
      </c>
      <c r="AW324" t="inlineStr">
        <is>
          <t>991003198359702656</t>
        </is>
      </c>
      <c r="AX324" t="inlineStr">
        <is>
          <t>991003198359702656</t>
        </is>
      </c>
      <c r="AY324" t="inlineStr">
        <is>
          <t>2255699380002656</t>
        </is>
      </c>
      <c r="AZ324" t="inlineStr">
        <is>
          <t>BOOK</t>
        </is>
      </c>
      <c r="BB324" t="inlineStr">
        <is>
          <t>9780521621458</t>
        </is>
      </c>
      <c r="BC324" t="inlineStr">
        <is>
          <t>32285003713699</t>
        </is>
      </c>
      <c r="BD324" t="inlineStr">
        <is>
          <t>893610806</t>
        </is>
      </c>
    </row>
    <row r="325">
      <c r="A325" t="inlineStr">
        <is>
          <t>No</t>
        </is>
      </c>
      <c r="B325" t="inlineStr">
        <is>
          <t>GC301.2 .W94</t>
        </is>
      </c>
      <c r="C325" t="inlineStr">
        <is>
          <t>0                      GC 0301200W  94</t>
        </is>
      </c>
      <c r="D325" t="inlineStr">
        <is>
          <t>Tides and the pull of the moon / by Francis E. Wylie.</t>
        </is>
      </c>
      <c r="F325" t="inlineStr">
        <is>
          <t>No</t>
        </is>
      </c>
      <c r="G325" t="inlineStr">
        <is>
          <t>1</t>
        </is>
      </c>
      <c r="H325" t="inlineStr">
        <is>
          <t>No</t>
        </is>
      </c>
      <c r="I325" t="inlineStr">
        <is>
          <t>No</t>
        </is>
      </c>
      <c r="J325" t="inlineStr">
        <is>
          <t>0</t>
        </is>
      </c>
      <c r="K325" t="inlineStr">
        <is>
          <t>Wylie, Francis E., 1905-</t>
        </is>
      </c>
      <c r="L325" t="inlineStr">
        <is>
          <t>Brattleboro, Vt. : S. Greene Press, 1979.</t>
        </is>
      </c>
      <c r="M325" t="inlineStr">
        <is>
          <t>1979</t>
        </is>
      </c>
      <c r="O325" t="inlineStr">
        <is>
          <t>eng</t>
        </is>
      </c>
      <c r="P325" t="inlineStr">
        <is>
          <t>vtu</t>
        </is>
      </c>
      <c r="R325" t="inlineStr">
        <is>
          <t xml:space="preserve">GC </t>
        </is>
      </c>
      <c r="S325" t="n">
        <v>19</v>
      </c>
      <c r="T325" t="n">
        <v>19</v>
      </c>
      <c r="U325" t="inlineStr">
        <is>
          <t>1995-12-02</t>
        </is>
      </c>
      <c r="V325" t="inlineStr">
        <is>
          <t>1995-12-02</t>
        </is>
      </c>
      <c r="W325" t="inlineStr">
        <is>
          <t>1990-06-22</t>
        </is>
      </c>
      <c r="X325" t="inlineStr">
        <is>
          <t>1990-06-22</t>
        </is>
      </c>
      <c r="Y325" t="n">
        <v>626</v>
      </c>
      <c r="Z325" t="n">
        <v>581</v>
      </c>
      <c r="AA325" t="n">
        <v>595</v>
      </c>
      <c r="AB325" t="n">
        <v>5</v>
      </c>
      <c r="AC325" t="n">
        <v>5</v>
      </c>
      <c r="AD325" t="n">
        <v>10</v>
      </c>
      <c r="AE325" t="n">
        <v>10</v>
      </c>
      <c r="AF325" t="n">
        <v>4</v>
      </c>
      <c r="AG325" t="n">
        <v>4</v>
      </c>
      <c r="AH325" t="n">
        <v>3</v>
      </c>
      <c r="AI325" t="n">
        <v>3</v>
      </c>
      <c r="AJ325" t="n">
        <v>2</v>
      </c>
      <c r="AK325" t="n">
        <v>2</v>
      </c>
      <c r="AL325" t="n">
        <v>2</v>
      </c>
      <c r="AM325" t="n">
        <v>2</v>
      </c>
      <c r="AN325" t="n">
        <v>0</v>
      </c>
      <c r="AO325" t="n">
        <v>0</v>
      </c>
      <c r="AP325" t="inlineStr">
        <is>
          <t>No</t>
        </is>
      </c>
      <c r="AQ325" t="inlineStr">
        <is>
          <t>Yes</t>
        </is>
      </c>
      <c r="AR325">
        <f>HYPERLINK("http://catalog.hathitrust.org/Record/005997474","HathiTrust Record")</f>
        <v/>
      </c>
      <c r="AS325">
        <f>HYPERLINK("https://creighton-primo.hosted.exlibrisgroup.com/primo-explore/search?tab=default_tab&amp;search_scope=EVERYTHING&amp;vid=01CRU&amp;lang=en_US&amp;offset=0&amp;query=any,contains,991004700269702656","Catalog Record")</f>
        <v/>
      </c>
      <c r="AT325">
        <f>HYPERLINK("http://www.worldcat.org/oclc/4665639","WorldCat Record")</f>
        <v/>
      </c>
      <c r="AU325" t="inlineStr">
        <is>
          <t>14842323:eng</t>
        </is>
      </c>
      <c r="AV325" t="inlineStr">
        <is>
          <t>4665639</t>
        </is>
      </c>
      <c r="AW325" t="inlineStr">
        <is>
          <t>991004700269702656</t>
        </is>
      </c>
      <c r="AX325" t="inlineStr">
        <is>
          <t>991004700269702656</t>
        </is>
      </c>
      <c r="AY325" t="inlineStr">
        <is>
          <t>2259518480002656</t>
        </is>
      </c>
      <c r="AZ325" t="inlineStr">
        <is>
          <t>BOOK</t>
        </is>
      </c>
      <c r="BB325" t="inlineStr">
        <is>
          <t>9780828903479</t>
        </is>
      </c>
      <c r="BC325" t="inlineStr">
        <is>
          <t>32285000212513</t>
        </is>
      </c>
      <c r="BD325" t="inlineStr">
        <is>
          <t>893436618</t>
        </is>
      </c>
    </row>
    <row r="326">
      <c r="A326" t="inlineStr">
        <is>
          <t>No</t>
        </is>
      </c>
      <c r="B326" t="inlineStr">
        <is>
          <t>GC401 .P637 1994</t>
        </is>
      </c>
      <c r="C326" t="inlineStr">
        <is>
          <t>0                      GC 0401000P  637         1994</t>
        </is>
      </c>
      <c r="D326" t="inlineStr">
        <is>
          <t>The polar oceans and their role in shaping the global environment : the Nansen centennial volume / O.M. Johannessen, R.D. Muench, J.E. Overland, editors.</t>
        </is>
      </c>
      <c r="F326" t="inlineStr">
        <is>
          <t>No</t>
        </is>
      </c>
      <c r="G326" t="inlineStr">
        <is>
          <t>1</t>
        </is>
      </c>
      <c r="H326" t="inlineStr">
        <is>
          <t>No</t>
        </is>
      </c>
      <c r="I326" t="inlineStr">
        <is>
          <t>No</t>
        </is>
      </c>
      <c r="J326" t="inlineStr">
        <is>
          <t>0</t>
        </is>
      </c>
      <c r="L326" t="inlineStr">
        <is>
          <t>Washington, DC, USA : American Geophysical Union, c1994.</t>
        </is>
      </c>
      <c r="M326" t="inlineStr">
        <is>
          <t>1994</t>
        </is>
      </c>
      <c r="O326" t="inlineStr">
        <is>
          <t>eng</t>
        </is>
      </c>
      <c r="P326" t="inlineStr">
        <is>
          <t>dcu</t>
        </is>
      </c>
      <c r="Q326" t="inlineStr">
        <is>
          <t>Geophysical monograph, 0065-8448 ; 85</t>
        </is>
      </c>
      <c r="R326" t="inlineStr">
        <is>
          <t xml:space="preserve">GC </t>
        </is>
      </c>
      <c r="S326" t="n">
        <v>3</v>
      </c>
      <c r="T326" t="n">
        <v>3</v>
      </c>
      <c r="U326" t="inlineStr">
        <is>
          <t>2002-08-28</t>
        </is>
      </c>
      <c r="V326" t="inlineStr">
        <is>
          <t>2002-08-28</t>
        </is>
      </c>
      <c r="W326" t="inlineStr">
        <is>
          <t>1995-07-14</t>
        </is>
      </c>
      <c r="X326" t="inlineStr">
        <is>
          <t>1995-07-14</t>
        </is>
      </c>
      <c r="Y326" t="n">
        <v>309</v>
      </c>
      <c r="Z326" t="n">
        <v>224</v>
      </c>
      <c r="AA326" t="n">
        <v>277</v>
      </c>
      <c r="AB326" t="n">
        <v>3</v>
      </c>
      <c r="AC326" t="n">
        <v>3</v>
      </c>
      <c r="AD326" t="n">
        <v>7</v>
      </c>
      <c r="AE326" t="n">
        <v>7</v>
      </c>
      <c r="AF326" t="n">
        <v>3</v>
      </c>
      <c r="AG326" t="n">
        <v>3</v>
      </c>
      <c r="AH326" t="n">
        <v>1</v>
      </c>
      <c r="AI326" t="n">
        <v>1</v>
      </c>
      <c r="AJ326" t="n">
        <v>2</v>
      </c>
      <c r="AK326" t="n">
        <v>2</v>
      </c>
      <c r="AL326" t="n">
        <v>2</v>
      </c>
      <c r="AM326" t="n">
        <v>2</v>
      </c>
      <c r="AN326" t="n">
        <v>0</v>
      </c>
      <c r="AO326" t="n">
        <v>0</v>
      </c>
      <c r="AP326" t="inlineStr">
        <is>
          <t>No</t>
        </is>
      </c>
      <c r="AQ326" t="inlineStr">
        <is>
          <t>Yes</t>
        </is>
      </c>
      <c r="AR326">
        <f>HYPERLINK("http://catalog.hathitrust.org/Record/002958330","HathiTrust Record")</f>
        <v/>
      </c>
      <c r="AS326">
        <f>HYPERLINK("https://creighton-primo.hosted.exlibrisgroup.com/primo-explore/search?tab=default_tab&amp;search_scope=EVERYTHING&amp;vid=01CRU&amp;lang=en_US&amp;offset=0&amp;query=any,contains,991002390789702656","Catalog Record")</f>
        <v/>
      </c>
      <c r="AT326">
        <f>HYPERLINK("http://www.worldcat.org/oclc/31046047","WorldCat Record")</f>
        <v/>
      </c>
      <c r="AU326" t="inlineStr">
        <is>
          <t>364586300:eng</t>
        </is>
      </c>
      <c r="AV326" t="inlineStr">
        <is>
          <t>31046047</t>
        </is>
      </c>
      <c r="AW326" t="inlineStr">
        <is>
          <t>991002390789702656</t>
        </is>
      </c>
      <c r="AX326" t="inlineStr">
        <is>
          <t>991002390789702656</t>
        </is>
      </c>
      <c r="AY326" t="inlineStr">
        <is>
          <t>2262715000002656</t>
        </is>
      </c>
      <c r="AZ326" t="inlineStr">
        <is>
          <t>BOOK</t>
        </is>
      </c>
      <c r="BB326" t="inlineStr">
        <is>
          <t>9780875900421</t>
        </is>
      </c>
      <c r="BC326" t="inlineStr">
        <is>
          <t>32285002054566</t>
        </is>
      </c>
      <c r="BD326" t="inlineStr">
        <is>
          <t>893685310</t>
        </is>
      </c>
    </row>
    <row r="327">
      <c r="A327" t="inlineStr">
        <is>
          <t>No</t>
        </is>
      </c>
      <c r="B327" t="inlineStr">
        <is>
          <t>GC64 .J33 2003</t>
        </is>
      </c>
      <c r="C327" t="inlineStr">
        <is>
          <t>0                      GC 0064000J  33          2003</t>
        </is>
      </c>
      <c r="D327" t="inlineStr">
        <is>
          <t>Ocean politics and policy : a reference handbook / Peter Jacques and Zachary A. Smith.</t>
        </is>
      </c>
      <c r="F327" t="inlineStr">
        <is>
          <t>No</t>
        </is>
      </c>
      <c r="G327" t="inlineStr">
        <is>
          <t>1</t>
        </is>
      </c>
      <c r="H327" t="inlineStr">
        <is>
          <t>No</t>
        </is>
      </c>
      <c r="I327" t="inlineStr">
        <is>
          <t>No</t>
        </is>
      </c>
      <c r="J327" t="inlineStr">
        <is>
          <t>0</t>
        </is>
      </c>
      <c r="K327" t="inlineStr">
        <is>
          <t>Jacques, Peter.</t>
        </is>
      </c>
      <c r="L327" t="inlineStr">
        <is>
          <t>Santa Barbara, Calif. : Oxford : ABC-CLIO, 2003.</t>
        </is>
      </c>
      <c r="M327" t="inlineStr">
        <is>
          <t>2003</t>
        </is>
      </c>
      <c r="O327" t="inlineStr">
        <is>
          <t>eng</t>
        </is>
      </c>
      <c r="P327" t="inlineStr">
        <is>
          <t>cau</t>
        </is>
      </c>
      <c r="Q327" t="inlineStr">
        <is>
          <t>Contemporary world issues</t>
        </is>
      </c>
      <c r="R327" t="inlineStr">
        <is>
          <t xml:space="preserve">GC </t>
        </is>
      </c>
      <c r="S327" t="n">
        <v>1</v>
      </c>
      <c r="T327" t="n">
        <v>1</v>
      </c>
      <c r="U327" t="inlineStr">
        <is>
          <t>2003-05-14</t>
        </is>
      </c>
      <c r="V327" t="inlineStr">
        <is>
          <t>2003-05-14</t>
        </is>
      </c>
      <c r="W327" t="inlineStr">
        <is>
          <t>2003-05-14</t>
        </is>
      </c>
      <c r="X327" t="inlineStr">
        <is>
          <t>2003-05-14</t>
        </is>
      </c>
      <c r="Y327" t="n">
        <v>562</v>
      </c>
      <c r="Z327" t="n">
        <v>509</v>
      </c>
      <c r="AA327" t="n">
        <v>869</v>
      </c>
      <c r="AB327" t="n">
        <v>3</v>
      </c>
      <c r="AC327" t="n">
        <v>6</v>
      </c>
      <c r="AD327" t="n">
        <v>13</v>
      </c>
      <c r="AE327" t="n">
        <v>23</v>
      </c>
      <c r="AF327" t="n">
        <v>4</v>
      </c>
      <c r="AG327" t="n">
        <v>9</v>
      </c>
      <c r="AH327" t="n">
        <v>2</v>
      </c>
      <c r="AI327" t="n">
        <v>5</v>
      </c>
      <c r="AJ327" t="n">
        <v>5</v>
      </c>
      <c r="AK327" t="n">
        <v>9</v>
      </c>
      <c r="AL327" t="n">
        <v>2</v>
      </c>
      <c r="AM327" t="n">
        <v>5</v>
      </c>
      <c r="AN327" t="n">
        <v>2</v>
      </c>
      <c r="AO327" t="n">
        <v>2</v>
      </c>
      <c r="AP327" t="inlineStr">
        <is>
          <t>No</t>
        </is>
      </c>
      <c r="AQ327" t="inlineStr">
        <is>
          <t>No</t>
        </is>
      </c>
      <c r="AS327">
        <f>HYPERLINK("https://creighton-primo.hosted.exlibrisgroup.com/primo-explore/search?tab=default_tab&amp;search_scope=EVERYTHING&amp;vid=01CRU&amp;lang=en_US&amp;offset=0&amp;query=any,contains,991004048769702656","Catalog Record")</f>
        <v/>
      </c>
      <c r="AT327">
        <f>HYPERLINK("http://www.worldcat.org/oclc/51737860","WorldCat Record")</f>
        <v/>
      </c>
      <c r="AU327" t="inlineStr">
        <is>
          <t>792934956:eng</t>
        </is>
      </c>
      <c r="AV327" t="inlineStr">
        <is>
          <t>51737860</t>
        </is>
      </c>
      <c r="AW327" t="inlineStr">
        <is>
          <t>991004048769702656</t>
        </is>
      </c>
      <c r="AX327" t="inlineStr">
        <is>
          <t>991004048769702656</t>
        </is>
      </c>
      <c r="AY327" t="inlineStr">
        <is>
          <t>2257650520002656</t>
        </is>
      </c>
      <c r="AZ327" t="inlineStr">
        <is>
          <t>BOOK</t>
        </is>
      </c>
      <c r="BB327" t="inlineStr">
        <is>
          <t>9781576076224</t>
        </is>
      </c>
      <c r="BC327" t="inlineStr">
        <is>
          <t>32285004746250</t>
        </is>
      </c>
      <c r="BD327" t="inlineStr">
        <is>
          <t>893712087</t>
        </is>
      </c>
    </row>
    <row r="328">
      <c r="A328" t="inlineStr">
        <is>
          <t>No</t>
        </is>
      </c>
      <c r="B328" t="inlineStr">
        <is>
          <t>GC65 .E185</t>
        </is>
      </c>
      <c r="C328" t="inlineStr">
        <is>
          <t>0                      GC 0065000E  185</t>
        </is>
      </c>
      <c r="D328" t="inlineStr">
        <is>
          <t>Exploring the deep frontier : the adventure of man in the sea / by Sylvia A. Earle and Al Giddings ; prepared by the Special Publications Division, National Geographic Society, Washington, D.C.</t>
        </is>
      </c>
      <c r="F328" t="inlineStr">
        <is>
          <t>No</t>
        </is>
      </c>
      <c r="G328" t="inlineStr">
        <is>
          <t>1</t>
        </is>
      </c>
      <c r="H328" t="inlineStr">
        <is>
          <t>No</t>
        </is>
      </c>
      <c r="I328" t="inlineStr">
        <is>
          <t>No</t>
        </is>
      </c>
      <c r="J328" t="inlineStr">
        <is>
          <t>0</t>
        </is>
      </c>
      <c r="K328" t="inlineStr">
        <is>
          <t>Earle, Sylvia A., 1935-</t>
        </is>
      </c>
      <c r="L328" t="inlineStr">
        <is>
          <t>[Washington, D.C.] : The Society, c1980.</t>
        </is>
      </c>
      <c r="M328" t="inlineStr">
        <is>
          <t>1980</t>
        </is>
      </c>
      <c r="O328" t="inlineStr">
        <is>
          <t>eng</t>
        </is>
      </c>
      <c r="P328" t="inlineStr">
        <is>
          <t>dcu</t>
        </is>
      </c>
      <c r="R328" t="inlineStr">
        <is>
          <t xml:space="preserve">GC </t>
        </is>
      </c>
      <c r="S328" t="n">
        <v>12</v>
      </c>
      <c r="T328" t="n">
        <v>12</v>
      </c>
      <c r="U328" t="inlineStr">
        <is>
          <t>2001-09-13</t>
        </is>
      </c>
      <c r="V328" t="inlineStr">
        <is>
          <t>2001-09-13</t>
        </is>
      </c>
      <c r="W328" t="inlineStr">
        <is>
          <t>1990-09-13</t>
        </is>
      </c>
      <c r="X328" t="inlineStr">
        <is>
          <t>1990-09-13</t>
        </is>
      </c>
      <c r="Y328" t="n">
        <v>830</v>
      </c>
      <c r="Z328" t="n">
        <v>776</v>
      </c>
      <c r="AA328" t="n">
        <v>781</v>
      </c>
      <c r="AB328" t="n">
        <v>4</v>
      </c>
      <c r="AC328" t="n">
        <v>4</v>
      </c>
      <c r="AD328" t="n">
        <v>7</v>
      </c>
      <c r="AE328" t="n">
        <v>7</v>
      </c>
      <c r="AF328" t="n">
        <v>2</v>
      </c>
      <c r="AG328" t="n">
        <v>2</v>
      </c>
      <c r="AH328" t="n">
        <v>1</v>
      </c>
      <c r="AI328" t="n">
        <v>1</v>
      </c>
      <c r="AJ328" t="n">
        <v>4</v>
      </c>
      <c r="AK328" t="n">
        <v>4</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HYPERLINK("https://creighton-primo.hosted.exlibrisgroup.com/primo-explore/search?tab=default_tab&amp;search_scope=EVERYTHING&amp;vid=01CRU&amp;lang=en_US&amp;offset=0&amp;query=any,contains,991004944889702656","Catalog Record")</f>
        <v/>
      </c>
      <c r="AT328">
        <f>HYPERLINK("http://www.worldcat.org/oclc/6199742","WorldCat Record")</f>
        <v/>
      </c>
      <c r="AU328" t="inlineStr">
        <is>
          <t>687859989:eng</t>
        </is>
      </c>
      <c r="AV328" t="inlineStr">
        <is>
          <t>6199742</t>
        </is>
      </c>
      <c r="AW328" t="inlineStr">
        <is>
          <t>991004944889702656</t>
        </is>
      </c>
      <c r="AX328" t="inlineStr">
        <is>
          <t>991004944889702656</t>
        </is>
      </c>
      <c r="AY328" t="inlineStr">
        <is>
          <t>2262166880002656</t>
        </is>
      </c>
      <c r="AZ328" t="inlineStr">
        <is>
          <t>BOOK</t>
        </is>
      </c>
      <c r="BB328" t="inlineStr">
        <is>
          <t>9780870443435</t>
        </is>
      </c>
      <c r="BC328" t="inlineStr">
        <is>
          <t>32285000286582</t>
        </is>
      </c>
      <c r="BD328" t="inlineStr">
        <is>
          <t>893795434</t>
        </is>
      </c>
    </row>
    <row r="329">
      <c r="A329" t="inlineStr">
        <is>
          <t>No</t>
        </is>
      </c>
      <c r="B329" t="inlineStr">
        <is>
          <t>GC65 .S69 1970</t>
        </is>
      </c>
      <c r="C329" t="inlineStr">
        <is>
          <t>0                      GC 0065000S  69          1970</t>
        </is>
      </c>
      <c r="D329" t="inlineStr">
        <is>
          <t>Wide ocean, discoveries at sea / by Gardner Soule.</t>
        </is>
      </c>
      <c r="F329" t="inlineStr">
        <is>
          <t>No</t>
        </is>
      </c>
      <c r="G329" t="inlineStr">
        <is>
          <t>1</t>
        </is>
      </c>
      <c r="H329" t="inlineStr">
        <is>
          <t>No</t>
        </is>
      </c>
      <c r="I329" t="inlineStr">
        <is>
          <t>No</t>
        </is>
      </c>
      <c r="J329" t="inlineStr">
        <is>
          <t>0</t>
        </is>
      </c>
      <c r="K329" t="inlineStr">
        <is>
          <t>Soule, Gardner.</t>
        </is>
      </c>
      <c r="L329" t="inlineStr">
        <is>
          <t>Chicago : Rand McNally, [1970]</t>
        </is>
      </c>
      <c r="M329" t="inlineStr">
        <is>
          <t>1970</t>
        </is>
      </c>
      <c r="O329" t="inlineStr">
        <is>
          <t>eng</t>
        </is>
      </c>
      <c r="P329" t="inlineStr">
        <is>
          <t>ilu</t>
        </is>
      </c>
      <c r="R329" t="inlineStr">
        <is>
          <t xml:space="preserve">GC </t>
        </is>
      </c>
      <c r="S329" t="n">
        <v>6</v>
      </c>
      <c r="T329" t="n">
        <v>6</v>
      </c>
      <c r="U329" t="inlineStr">
        <is>
          <t>1995-09-18</t>
        </is>
      </c>
      <c r="V329" t="inlineStr">
        <is>
          <t>1995-09-18</t>
        </is>
      </c>
      <c r="W329" t="inlineStr">
        <is>
          <t>1990-09-13</t>
        </is>
      </c>
      <c r="X329" t="inlineStr">
        <is>
          <t>1990-09-13</t>
        </is>
      </c>
      <c r="Y329" t="n">
        <v>326</v>
      </c>
      <c r="Z329" t="n">
        <v>301</v>
      </c>
      <c r="AA329" t="n">
        <v>311</v>
      </c>
      <c r="AB329" t="n">
        <v>4</v>
      </c>
      <c r="AC329" t="n">
        <v>4</v>
      </c>
      <c r="AD329" t="n">
        <v>7</v>
      </c>
      <c r="AE329" t="n">
        <v>7</v>
      </c>
      <c r="AF329" t="n">
        <v>2</v>
      </c>
      <c r="AG329" t="n">
        <v>2</v>
      </c>
      <c r="AH329" t="n">
        <v>1</v>
      </c>
      <c r="AI329" t="n">
        <v>1</v>
      </c>
      <c r="AJ329" t="n">
        <v>1</v>
      </c>
      <c r="AK329" t="n">
        <v>1</v>
      </c>
      <c r="AL329" t="n">
        <v>3</v>
      </c>
      <c r="AM329" t="n">
        <v>3</v>
      </c>
      <c r="AN329" t="n">
        <v>0</v>
      </c>
      <c r="AO329" t="n">
        <v>0</v>
      </c>
      <c r="AP329" t="inlineStr">
        <is>
          <t>No</t>
        </is>
      </c>
      <c r="AQ329" t="inlineStr">
        <is>
          <t>Yes</t>
        </is>
      </c>
      <c r="AR329">
        <f>HYPERLINK("http://catalog.hathitrust.org/Record/007156149","HathiTrust Record")</f>
        <v/>
      </c>
      <c r="AS329">
        <f>HYPERLINK("https://creighton-primo.hosted.exlibrisgroup.com/primo-explore/search?tab=default_tab&amp;search_scope=EVERYTHING&amp;vid=01CRU&amp;lang=en_US&amp;offset=0&amp;query=any,contains,991000604589702656","Catalog Record")</f>
        <v/>
      </c>
      <c r="AT329">
        <f>HYPERLINK("http://www.worldcat.org/oclc/98670","WorldCat Record")</f>
        <v/>
      </c>
      <c r="AU329" t="inlineStr">
        <is>
          <t>1330049:eng</t>
        </is>
      </c>
      <c r="AV329" t="inlineStr">
        <is>
          <t>98670</t>
        </is>
      </c>
      <c r="AW329" t="inlineStr">
        <is>
          <t>991000604589702656</t>
        </is>
      </c>
      <c r="AX329" t="inlineStr">
        <is>
          <t>991000604589702656</t>
        </is>
      </c>
      <c r="AY329" t="inlineStr">
        <is>
          <t>2272007290002656</t>
        </is>
      </c>
      <c r="AZ329" t="inlineStr">
        <is>
          <t>BOOK</t>
        </is>
      </c>
      <c r="BC329" t="inlineStr">
        <is>
          <t>32285000286590</t>
        </is>
      </c>
      <c r="BD329" t="inlineStr">
        <is>
          <t>893225143</t>
        </is>
      </c>
    </row>
    <row r="330">
      <c r="A330" t="inlineStr">
        <is>
          <t>No</t>
        </is>
      </c>
      <c r="B330" t="inlineStr">
        <is>
          <t>GC87.2.A86 E45 1996</t>
        </is>
      </c>
      <c r="C330" t="inlineStr">
        <is>
          <t>0                      GC 0087200A  86                 E  45          1996</t>
        </is>
      </c>
      <c r="D330" t="inlineStr">
        <is>
          <t>Deep Atlantic : life, death, and exploration in the abyss / Richard Ellis.</t>
        </is>
      </c>
      <c r="F330" t="inlineStr">
        <is>
          <t>No</t>
        </is>
      </c>
      <c r="G330" t="inlineStr">
        <is>
          <t>1</t>
        </is>
      </c>
      <c r="H330" t="inlineStr">
        <is>
          <t>No</t>
        </is>
      </c>
      <c r="I330" t="inlineStr">
        <is>
          <t>No</t>
        </is>
      </c>
      <c r="J330" t="inlineStr">
        <is>
          <t>0</t>
        </is>
      </c>
      <c r="K330" t="inlineStr">
        <is>
          <t>Ellis, Richard, 1938-</t>
        </is>
      </c>
      <c r="L330" t="inlineStr">
        <is>
          <t>New York : Alfred A. Knopf, 1996.</t>
        </is>
      </c>
      <c r="M330" t="inlineStr">
        <is>
          <t>1996</t>
        </is>
      </c>
      <c r="N330" t="inlineStr">
        <is>
          <t>1st ed.</t>
        </is>
      </c>
      <c r="O330" t="inlineStr">
        <is>
          <t>eng</t>
        </is>
      </c>
      <c r="P330" t="inlineStr">
        <is>
          <t>nyu</t>
        </is>
      </c>
      <c r="R330" t="inlineStr">
        <is>
          <t xml:space="preserve">GC </t>
        </is>
      </c>
      <c r="S330" t="n">
        <v>3</v>
      </c>
      <c r="T330" t="n">
        <v>3</v>
      </c>
      <c r="U330" t="inlineStr">
        <is>
          <t>2004-02-26</t>
        </is>
      </c>
      <c r="V330" t="inlineStr">
        <is>
          <t>2004-02-26</t>
        </is>
      </c>
      <c r="W330" t="inlineStr">
        <is>
          <t>1996-11-21</t>
        </is>
      </c>
      <c r="X330" t="inlineStr">
        <is>
          <t>1996-11-21</t>
        </is>
      </c>
      <c r="Y330" t="n">
        <v>844</v>
      </c>
      <c r="Z330" t="n">
        <v>776</v>
      </c>
      <c r="AA330" t="n">
        <v>824</v>
      </c>
      <c r="AB330" t="n">
        <v>3</v>
      </c>
      <c r="AC330" t="n">
        <v>3</v>
      </c>
      <c r="AD330" t="n">
        <v>12</v>
      </c>
      <c r="AE330" t="n">
        <v>12</v>
      </c>
      <c r="AF330" t="n">
        <v>6</v>
      </c>
      <c r="AG330" t="n">
        <v>6</v>
      </c>
      <c r="AH330" t="n">
        <v>2</v>
      </c>
      <c r="AI330" t="n">
        <v>2</v>
      </c>
      <c r="AJ330" t="n">
        <v>3</v>
      </c>
      <c r="AK330" t="n">
        <v>3</v>
      </c>
      <c r="AL330" t="n">
        <v>2</v>
      </c>
      <c r="AM330" t="n">
        <v>2</v>
      </c>
      <c r="AN330" t="n">
        <v>0</v>
      </c>
      <c r="AO330" t="n">
        <v>0</v>
      </c>
      <c r="AP330" t="inlineStr">
        <is>
          <t>No</t>
        </is>
      </c>
      <c r="AQ330" t="inlineStr">
        <is>
          <t>Yes</t>
        </is>
      </c>
      <c r="AR330">
        <f>HYPERLINK("http://catalog.hathitrust.org/Record/007217236","HathiTrust Record")</f>
        <v/>
      </c>
      <c r="AS330">
        <f>HYPERLINK("https://creighton-primo.hosted.exlibrisgroup.com/primo-explore/search?tab=default_tab&amp;search_scope=EVERYTHING&amp;vid=01CRU&amp;lang=en_US&amp;offset=0&amp;query=any,contains,991002574069702656","Catalog Record")</f>
        <v/>
      </c>
      <c r="AT330">
        <f>HYPERLINK("http://www.worldcat.org/oclc/33442740","WorldCat Record")</f>
        <v/>
      </c>
      <c r="AU330" t="inlineStr">
        <is>
          <t>969191:eng</t>
        </is>
      </c>
      <c r="AV330" t="inlineStr">
        <is>
          <t>33442740</t>
        </is>
      </c>
      <c r="AW330" t="inlineStr">
        <is>
          <t>991002574069702656</t>
        </is>
      </c>
      <c r="AX330" t="inlineStr">
        <is>
          <t>991002574069702656</t>
        </is>
      </c>
      <c r="AY330" t="inlineStr">
        <is>
          <t>2266557450002656</t>
        </is>
      </c>
      <c r="AZ330" t="inlineStr">
        <is>
          <t>BOOK</t>
        </is>
      </c>
      <c r="BB330" t="inlineStr">
        <is>
          <t>9780679433248</t>
        </is>
      </c>
      <c r="BC330" t="inlineStr">
        <is>
          <t>32285002385218</t>
        </is>
      </c>
      <c r="BD330" t="inlineStr">
        <is>
          <t>893691749</t>
        </is>
      </c>
    </row>
    <row r="331">
      <c r="A331" t="inlineStr">
        <is>
          <t>No</t>
        </is>
      </c>
      <c r="B331" t="inlineStr">
        <is>
          <t>GC89 .G74 1984</t>
        </is>
      </c>
      <c r="C331" t="inlineStr">
        <is>
          <t>0                      GC 0089000G  74          1984</t>
        </is>
      </c>
      <c r="D331" t="inlineStr">
        <is>
          <t>Greenhouse effect and sea level rise : a challenge for this generation / edited by Michael C. Barth, James G. Titus ; foreword by William D. Ruckelshaus.</t>
        </is>
      </c>
      <c r="F331" t="inlineStr">
        <is>
          <t>No</t>
        </is>
      </c>
      <c r="G331" t="inlineStr">
        <is>
          <t>1</t>
        </is>
      </c>
      <c r="H331" t="inlineStr">
        <is>
          <t>No</t>
        </is>
      </c>
      <c r="I331" t="inlineStr">
        <is>
          <t>No</t>
        </is>
      </c>
      <c r="J331" t="inlineStr">
        <is>
          <t>0</t>
        </is>
      </c>
      <c r="L331" t="inlineStr">
        <is>
          <t>New York : Van Nostrand Reinhold, c1984.</t>
        </is>
      </c>
      <c r="M331" t="inlineStr">
        <is>
          <t>1984</t>
        </is>
      </c>
      <c r="O331" t="inlineStr">
        <is>
          <t>eng</t>
        </is>
      </c>
      <c r="P331" t="inlineStr">
        <is>
          <t>nyu</t>
        </is>
      </c>
      <c r="R331" t="inlineStr">
        <is>
          <t xml:space="preserve">GC </t>
        </is>
      </c>
      <c r="S331" t="n">
        <v>4</v>
      </c>
      <c r="T331" t="n">
        <v>4</v>
      </c>
      <c r="U331" t="inlineStr">
        <is>
          <t>1994-03-30</t>
        </is>
      </c>
      <c r="V331" t="inlineStr">
        <is>
          <t>1994-03-30</t>
        </is>
      </c>
      <c r="W331" t="inlineStr">
        <is>
          <t>1992-07-29</t>
        </is>
      </c>
      <c r="X331" t="inlineStr">
        <is>
          <t>1992-07-29</t>
        </is>
      </c>
      <c r="Y331" t="n">
        <v>679</v>
      </c>
      <c r="Z331" t="n">
        <v>540</v>
      </c>
      <c r="AA331" t="n">
        <v>543</v>
      </c>
      <c r="AB331" t="n">
        <v>4</v>
      </c>
      <c r="AC331" t="n">
        <v>4</v>
      </c>
      <c r="AD331" t="n">
        <v>16</v>
      </c>
      <c r="AE331" t="n">
        <v>16</v>
      </c>
      <c r="AF331" t="n">
        <v>5</v>
      </c>
      <c r="AG331" t="n">
        <v>5</v>
      </c>
      <c r="AH331" t="n">
        <v>4</v>
      </c>
      <c r="AI331" t="n">
        <v>4</v>
      </c>
      <c r="AJ331" t="n">
        <v>5</v>
      </c>
      <c r="AK331" t="n">
        <v>5</v>
      </c>
      <c r="AL331" t="n">
        <v>3</v>
      </c>
      <c r="AM331" t="n">
        <v>3</v>
      </c>
      <c r="AN331" t="n">
        <v>0</v>
      </c>
      <c r="AO331" t="n">
        <v>0</v>
      </c>
      <c r="AP331" t="inlineStr">
        <is>
          <t>No</t>
        </is>
      </c>
      <c r="AQ331" t="inlineStr">
        <is>
          <t>Yes</t>
        </is>
      </c>
      <c r="AR331">
        <f>HYPERLINK("http://catalog.hathitrust.org/Record/000247443","HathiTrust Record")</f>
        <v/>
      </c>
      <c r="AS331">
        <f>HYPERLINK("https://creighton-primo.hosted.exlibrisgroup.com/primo-explore/search?tab=default_tab&amp;search_scope=EVERYTHING&amp;vid=01CRU&amp;lang=en_US&amp;offset=0&amp;query=any,contains,991000411659702656","Catalog Record")</f>
        <v/>
      </c>
      <c r="AT331">
        <f>HYPERLINK("http://www.worldcat.org/oclc/10711417","WorldCat Record")</f>
        <v/>
      </c>
      <c r="AU331" t="inlineStr">
        <is>
          <t>836662828:eng</t>
        </is>
      </c>
      <c r="AV331" t="inlineStr">
        <is>
          <t>10711417</t>
        </is>
      </c>
      <c r="AW331" t="inlineStr">
        <is>
          <t>991000411659702656</t>
        </is>
      </c>
      <c r="AX331" t="inlineStr">
        <is>
          <t>991000411659702656</t>
        </is>
      </c>
      <c r="AY331" t="inlineStr">
        <is>
          <t>2260193450002656</t>
        </is>
      </c>
      <c r="AZ331" t="inlineStr">
        <is>
          <t>BOOK</t>
        </is>
      </c>
      <c r="BB331" t="inlineStr">
        <is>
          <t>9780442209919</t>
        </is>
      </c>
      <c r="BC331" t="inlineStr">
        <is>
          <t>32285001208452</t>
        </is>
      </c>
      <c r="BD331" t="inlineStr">
        <is>
          <t>893784191</t>
        </is>
      </c>
    </row>
    <row r="332">
      <c r="A332" t="inlineStr">
        <is>
          <t>No</t>
        </is>
      </c>
      <c r="B332" t="inlineStr">
        <is>
          <t>GC89 .P84 2004</t>
        </is>
      </c>
      <c r="C332" t="inlineStr">
        <is>
          <t>0                      GC 0089000P  84          2004</t>
        </is>
      </c>
      <c r="D332" t="inlineStr">
        <is>
          <t>Changing sea levels : effects of tides, weather, and climate / David Pugh.</t>
        </is>
      </c>
      <c r="F332" t="inlineStr">
        <is>
          <t>No</t>
        </is>
      </c>
      <c r="G332" t="inlineStr">
        <is>
          <t>1</t>
        </is>
      </c>
      <c r="H332" t="inlineStr">
        <is>
          <t>No</t>
        </is>
      </c>
      <c r="I332" t="inlineStr">
        <is>
          <t>No</t>
        </is>
      </c>
      <c r="J332" t="inlineStr">
        <is>
          <t>0</t>
        </is>
      </c>
      <c r="K332" t="inlineStr">
        <is>
          <t>Pugh, D. T.</t>
        </is>
      </c>
      <c r="L332" t="inlineStr">
        <is>
          <t>Cambridge, U.K. ; New York : Cambridge University Press, 2004.</t>
        </is>
      </c>
      <c r="M332" t="inlineStr">
        <is>
          <t>2004</t>
        </is>
      </c>
      <c r="O332" t="inlineStr">
        <is>
          <t>eng</t>
        </is>
      </c>
      <c r="P332" t="inlineStr">
        <is>
          <t>enk</t>
        </is>
      </c>
      <c r="R332" t="inlineStr">
        <is>
          <t xml:space="preserve">GC </t>
        </is>
      </c>
      <c r="S332" t="n">
        <v>3</v>
      </c>
      <c r="T332" t="n">
        <v>3</v>
      </c>
      <c r="U332" t="inlineStr">
        <is>
          <t>2005-04-18</t>
        </is>
      </c>
      <c r="V332" t="inlineStr">
        <is>
          <t>2005-04-18</t>
        </is>
      </c>
      <c r="W332" t="inlineStr">
        <is>
          <t>2005-02-28</t>
        </is>
      </c>
      <c r="X332" t="inlineStr">
        <is>
          <t>2005-02-28</t>
        </is>
      </c>
      <c r="Y332" t="n">
        <v>349</v>
      </c>
      <c r="Z332" t="n">
        <v>200</v>
      </c>
      <c r="AA332" t="n">
        <v>200</v>
      </c>
      <c r="AB332" t="n">
        <v>2</v>
      </c>
      <c r="AC332" t="n">
        <v>2</v>
      </c>
      <c r="AD332" t="n">
        <v>4</v>
      </c>
      <c r="AE332" t="n">
        <v>4</v>
      </c>
      <c r="AF332" t="n">
        <v>1</v>
      </c>
      <c r="AG332" t="n">
        <v>1</v>
      </c>
      <c r="AH332" t="n">
        <v>1</v>
      </c>
      <c r="AI332" t="n">
        <v>1</v>
      </c>
      <c r="AJ332" t="n">
        <v>2</v>
      </c>
      <c r="AK332" t="n">
        <v>2</v>
      </c>
      <c r="AL332" t="n">
        <v>1</v>
      </c>
      <c r="AM332" t="n">
        <v>1</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HYPERLINK("https://creighton-primo.hosted.exlibrisgroup.com/primo-explore/search?tab=default_tab&amp;search_scope=EVERYTHING&amp;vid=01CRU&amp;lang=en_US&amp;offset=0&amp;query=any,contains,991004457229702656","Catalog Record")</f>
        <v/>
      </c>
      <c r="AT332">
        <f>HYPERLINK("http://www.worldcat.org/oclc/52813836","WorldCat Record")</f>
        <v/>
      </c>
      <c r="AU332" t="inlineStr">
        <is>
          <t>840567144:eng</t>
        </is>
      </c>
      <c r="AV332" t="inlineStr">
        <is>
          <t>52813836</t>
        </is>
      </c>
      <c r="AW332" t="inlineStr">
        <is>
          <t>991004457229702656</t>
        </is>
      </c>
      <c r="AX332" t="inlineStr">
        <is>
          <t>991004457229702656</t>
        </is>
      </c>
      <c r="AY332" t="inlineStr">
        <is>
          <t>2271435050002656</t>
        </is>
      </c>
      <c r="AZ332" t="inlineStr">
        <is>
          <t>BOOK</t>
        </is>
      </c>
      <c r="BB332" t="inlineStr">
        <is>
          <t>9780521532181</t>
        </is>
      </c>
      <c r="BC332" t="inlineStr">
        <is>
          <t>32285005027700</t>
        </is>
      </c>
      <c r="BD332" t="inlineStr">
        <is>
          <t>893430078</t>
        </is>
      </c>
    </row>
    <row r="333">
      <c r="A333" t="inlineStr">
        <is>
          <t>No</t>
        </is>
      </c>
      <c r="B333" t="inlineStr">
        <is>
          <t>GC97 .C46</t>
        </is>
      </c>
      <c r="C333" t="inlineStr">
        <is>
          <t>0                      GC 0097000C  46</t>
        </is>
      </c>
      <c r="D333" t="inlineStr">
        <is>
          <t>Chemistry and biogeochemistry of estuaries / edited by Eric Olausson and Ingemar Cato.</t>
        </is>
      </c>
      <c r="F333" t="inlineStr">
        <is>
          <t>No</t>
        </is>
      </c>
      <c r="G333" t="inlineStr">
        <is>
          <t>1</t>
        </is>
      </c>
      <c r="H333" t="inlineStr">
        <is>
          <t>No</t>
        </is>
      </c>
      <c r="I333" t="inlineStr">
        <is>
          <t>No</t>
        </is>
      </c>
      <c r="J333" t="inlineStr">
        <is>
          <t>0</t>
        </is>
      </c>
      <c r="L333" t="inlineStr">
        <is>
          <t>Chichester [Eng.] ; New York : Wiley, c1980.</t>
        </is>
      </c>
      <c r="M333" t="inlineStr">
        <is>
          <t>1980</t>
        </is>
      </c>
      <c r="O333" t="inlineStr">
        <is>
          <t>eng</t>
        </is>
      </c>
      <c r="P333" t="inlineStr">
        <is>
          <t>enk</t>
        </is>
      </c>
      <c r="R333" t="inlineStr">
        <is>
          <t xml:space="preserve">GC </t>
        </is>
      </c>
      <c r="S333" t="n">
        <v>4</v>
      </c>
      <c r="T333" t="n">
        <v>4</v>
      </c>
      <c r="U333" t="inlineStr">
        <is>
          <t>1993-11-18</t>
        </is>
      </c>
      <c r="V333" t="inlineStr">
        <is>
          <t>1993-11-18</t>
        </is>
      </c>
      <c r="W333" t="inlineStr">
        <is>
          <t>1990-08-09</t>
        </is>
      </c>
      <c r="X333" t="inlineStr">
        <is>
          <t>1990-08-09</t>
        </is>
      </c>
      <c r="Y333" t="n">
        <v>279</v>
      </c>
      <c r="Z333" t="n">
        <v>176</v>
      </c>
      <c r="AA333" t="n">
        <v>182</v>
      </c>
      <c r="AB333" t="n">
        <v>2</v>
      </c>
      <c r="AC333" t="n">
        <v>2</v>
      </c>
      <c r="AD333" t="n">
        <v>3</v>
      </c>
      <c r="AE333" t="n">
        <v>4</v>
      </c>
      <c r="AF333" t="n">
        <v>1</v>
      </c>
      <c r="AG333" t="n">
        <v>1</v>
      </c>
      <c r="AH333" t="n">
        <v>1</v>
      </c>
      <c r="AI333" t="n">
        <v>1</v>
      </c>
      <c r="AJ333" t="n">
        <v>0</v>
      </c>
      <c r="AK333" t="n">
        <v>1</v>
      </c>
      <c r="AL333" t="n">
        <v>1</v>
      </c>
      <c r="AM333" t="n">
        <v>1</v>
      </c>
      <c r="AN333" t="n">
        <v>0</v>
      </c>
      <c r="AO333" t="n">
        <v>0</v>
      </c>
      <c r="AP333" t="inlineStr">
        <is>
          <t>No</t>
        </is>
      </c>
      <c r="AQ333" t="inlineStr">
        <is>
          <t>Yes</t>
        </is>
      </c>
      <c r="AR333">
        <f>HYPERLINK("http://catalog.hathitrust.org/Record/000720555","HathiTrust Record")</f>
        <v/>
      </c>
      <c r="AS333">
        <f>HYPERLINK("https://creighton-primo.hosted.exlibrisgroup.com/primo-explore/search?tab=default_tab&amp;search_scope=EVERYTHING&amp;vid=01CRU&amp;lang=en_US&amp;offset=0&amp;query=any,contains,991004885959702656","Catalog Record")</f>
        <v/>
      </c>
      <c r="AT333">
        <f>HYPERLINK("http://www.worldcat.org/oclc/5831908","WorldCat Record")</f>
        <v/>
      </c>
      <c r="AU333" t="inlineStr">
        <is>
          <t>365512631:eng</t>
        </is>
      </c>
      <c r="AV333" t="inlineStr">
        <is>
          <t>5831908</t>
        </is>
      </c>
      <c r="AW333" t="inlineStr">
        <is>
          <t>991004885959702656</t>
        </is>
      </c>
      <c r="AX333" t="inlineStr">
        <is>
          <t>991004885959702656</t>
        </is>
      </c>
      <c r="AY333" t="inlineStr">
        <is>
          <t>2256095460002656</t>
        </is>
      </c>
      <c r="AZ333" t="inlineStr">
        <is>
          <t>BOOK</t>
        </is>
      </c>
      <c r="BB333" t="inlineStr">
        <is>
          <t>9780471276791</t>
        </is>
      </c>
      <c r="BC333" t="inlineStr">
        <is>
          <t>32285000272889</t>
        </is>
      </c>
      <c r="BD333" t="inlineStr">
        <is>
          <t>893722648</t>
        </is>
      </c>
    </row>
    <row r="334">
      <c r="A334" t="inlineStr">
        <is>
          <t>No</t>
        </is>
      </c>
      <c r="B334" t="inlineStr">
        <is>
          <t>GC97 .E785 2000</t>
        </is>
      </c>
      <c r="C334" t="inlineStr">
        <is>
          <t>0                      GC 0097000E  785         2000</t>
        </is>
      </c>
      <c r="D334" t="inlineStr">
        <is>
          <t>Estuarine science : a synthetic approach to research and practice / edited by John Hobbie.</t>
        </is>
      </c>
      <c r="F334" t="inlineStr">
        <is>
          <t>No</t>
        </is>
      </c>
      <c r="G334" t="inlineStr">
        <is>
          <t>1</t>
        </is>
      </c>
      <c r="H334" t="inlineStr">
        <is>
          <t>No</t>
        </is>
      </c>
      <c r="I334" t="inlineStr">
        <is>
          <t>No</t>
        </is>
      </c>
      <c r="J334" t="inlineStr">
        <is>
          <t>0</t>
        </is>
      </c>
      <c r="L334" t="inlineStr">
        <is>
          <t>Washington, D.C. : Island Press, c2000.</t>
        </is>
      </c>
      <c r="M334" t="inlineStr">
        <is>
          <t>2000</t>
        </is>
      </c>
      <c r="O334" t="inlineStr">
        <is>
          <t>eng</t>
        </is>
      </c>
      <c r="P334" t="inlineStr">
        <is>
          <t>dcu</t>
        </is>
      </c>
      <c r="R334" t="inlineStr">
        <is>
          <t xml:space="preserve">GC </t>
        </is>
      </c>
      <c r="S334" t="n">
        <v>1</v>
      </c>
      <c r="T334" t="n">
        <v>1</v>
      </c>
      <c r="U334" t="inlineStr">
        <is>
          <t>2003-04-30</t>
        </is>
      </c>
      <c r="V334" t="inlineStr">
        <is>
          <t>2003-04-30</t>
        </is>
      </c>
      <c r="W334" t="inlineStr">
        <is>
          <t>2003-04-30</t>
        </is>
      </c>
      <c r="X334" t="inlineStr">
        <is>
          <t>2003-04-30</t>
        </is>
      </c>
      <c r="Y334" t="n">
        <v>371</v>
      </c>
      <c r="Z334" t="n">
        <v>303</v>
      </c>
      <c r="AA334" t="n">
        <v>305</v>
      </c>
      <c r="AB334" t="n">
        <v>2</v>
      </c>
      <c r="AC334" t="n">
        <v>2</v>
      </c>
      <c r="AD334" t="n">
        <v>7</v>
      </c>
      <c r="AE334" t="n">
        <v>7</v>
      </c>
      <c r="AF334" t="n">
        <v>1</v>
      </c>
      <c r="AG334" t="n">
        <v>1</v>
      </c>
      <c r="AH334" t="n">
        <v>2</v>
      </c>
      <c r="AI334" t="n">
        <v>2</v>
      </c>
      <c r="AJ334" t="n">
        <v>4</v>
      </c>
      <c r="AK334" t="n">
        <v>4</v>
      </c>
      <c r="AL334" t="n">
        <v>1</v>
      </c>
      <c r="AM334" t="n">
        <v>1</v>
      </c>
      <c r="AN334" t="n">
        <v>0</v>
      </c>
      <c r="AO334" t="n">
        <v>0</v>
      </c>
      <c r="AP334" t="inlineStr">
        <is>
          <t>No</t>
        </is>
      </c>
      <c r="AQ334" t="inlineStr">
        <is>
          <t>Yes</t>
        </is>
      </c>
      <c r="AR334">
        <f>HYPERLINK("http://catalog.hathitrust.org/Record/007237420","HathiTrust Record")</f>
        <v/>
      </c>
      <c r="AS334">
        <f>HYPERLINK("https://creighton-primo.hosted.exlibrisgroup.com/primo-explore/search?tab=default_tab&amp;search_scope=EVERYTHING&amp;vid=01CRU&amp;lang=en_US&amp;offset=0&amp;query=any,contains,991004020739702656","Catalog Record")</f>
        <v/>
      </c>
      <c r="AT334">
        <f>HYPERLINK("http://www.worldcat.org/oclc/42690193","WorldCat Record")</f>
        <v/>
      </c>
      <c r="AU334" t="inlineStr">
        <is>
          <t>836990205:eng</t>
        </is>
      </c>
      <c r="AV334" t="inlineStr">
        <is>
          <t>42690193</t>
        </is>
      </c>
      <c r="AW334" t="inlineStr">
        <is>
          <t>991004020739702656</t>
        </is>
      </c>
      <c r="AX334" t="inlineStr">
        <is>
          <t>991004020739702656</t>
        </is>
      </c>
      <c r="AY334" t="inlineStr">
        <is>
          <t>2259058080002656</t>
        </is>
      </c>
      <c r="AZ334" t="inlineStr">
        <is>
          <t>BOOK</t>
        </is>
      </c>
      <c r="BB334" t="inlineStr">
        <is>
          <t>9781559636995</t>
        </is>
      </c>
      <c r="BC334" t="inlineStr">
        <is>
          <t>32285004744578</t>
        </is>
      </c>
      <c r="BD334" t="inlineStr">
        <is>
          <t>893337247</t>
        </is>
      </c>
    </row>
    <row r="335">
      <c r="A335" t="inlineStr">
        <is>
          <t>No</t>
        </is>
      </c>
      <c r="B335" t="inlineStr">
        <is>
          <t>GC98 .B76</t>
        </is>
      </c>
      <c r="C335" t="inlineStr">
        <is>
          <t>0                      GC 0098000B  76</t>
        </is>
      </c>
      <c r="D335" t="inlineStr">
        <is>
          <t>Chemical oceanography / [by] Wallace S. Broecker. Under the general editorship of Kenneth S. Deffeyes.</t>
        </is>
      </c>
      <c r="F335" t="inlineStr">
        <is>
          <t>No</t>
        </is>
      </c>
      <c r="G335" t="inlineStr">
        <is>
          <t>1</t>
        </is>
      </c>
      <c r="H335" t="inlineStr">
        <is>
          <t>No</t>
        </is>
      </c>
      <c r="I335" t="inlineStr">
        <is>
          <t>No</t>
        </is>
      </c>
      <c r="J335" t="inlineStr">
        <is>
          <t>0</t>
        </is>
      </c>
      <c r="K335" t="inlineStr">
        <is>
          <t>Broecker, Wallace S., 1931-2019.</t>
        </is>
      </c>
      <c r="L335" t="inlineStr">
        <is>
          <t>New York : Harcourt Brace Jovanovich, [1974]</t>
        </is>
      </c>
      <c r="M335" t="inlineStr">
        <is>
          <t>1974</t>
        </is>
      </c>
      <c r="O335" t="inlineStr">
        <is>
          <t>eng</t>
        </is>
      </c>
      <c r="P335" t="inlineStr">
        <is>
          <t>nyu</t>
        </is>
      </c>
      <c r="R335" t="inlineStr">
        <is>
          <t xml:space="preserve">GC </t>
        </is>
      </c>
      <c r="S335" t="n">
        <v>10</v>
      </c>
      <c r="T335" t="n">
        <v>10</v>
      </c>
      <c r="U335" t="inlineStr">
        <is>
          <t>1995-11-28</t>
        </is>
      </c>
      <c r="V335" t="inlineStr">
        <is>
          <t>1995-11-28</t>
        </is>
      </c>
      <c r="W335" t="inlineStr">
        <is>
          <t>1993-12-21</t>
        </is>
      </c>
      <c r="X335" t="inlineStr">
        <is>
          <t>1993-12-21</t>
        </is>
      </c>
      <c r="Y335" t="n">
        <v>476</v>
      </c>
      <c r="Z335" t="n">
        <v>361</v>
      </c>
      <c r="AA335" t="n">
        <v>367</v>
      </c>
      <c r="AB335" t="n">
        <v>2</v>
      </c>
      <c r="AC335" t="n">
        <v>2</v>
      </c>
      <c r="AD335" t="n">
        <v>8</v>
      </c>
      <c r="AE335" t="n">
        <v>8</v>
      </c>
      <c r="AF335" t="n">
        <v>1</v>
      </c>
      <c r="AG335" t="n">
        <v>1</v>
      </c>
      <c r="AH335" t="n">
        <v>4</v>
      </c>
      <c r="AI335" t="n">
        <v>4</v>
      </c>
      <c r="AJ335" t="n">
        <v>4</v>
      </c>
      <c r="AK335" t="n">
        <v>4</v>
      </c>
      <c r="AL335" t="n">
        <v>1</v>
      </c>
      <c r="AM335" t="n">
        <v>1</v>
      </c>
      <c r="AN335" t="n">
        <v>0</v>
      </c>
      <c r="AO335" t="n">
        <v>0</v>
      </c>
      <c r="AP335" t="inlineStr">
        <is>
          <t>No</t>
        </is>
      </c>
      <c r="AQ335" t="inlineStr">
        <is>
          <t>Yes</t>
        </is>
      </c>
      <c r="AR335">
        <f>HYPERLINK("http://catalog.hathitrust.org/Record/001273561","HathiTrust Record")</f>
        <v/>
      </c>
      <c r="AS335">
        <f>HYPERLINK("https://creighton-primo.hosted.exlibrisgroup.com/primo-explore/search?tab=default_tab&amp;search_scope=EVERYTHING&amp;vid=01CRU&amp;lang=en_US&amp;offset=0&amp;query=any,contains,991003448099702656","Catalog Record")</f>
        <v/>
      </c>
      <c r="AT335">
        <f>HYPERLINK("http://www.worldcat.org/oclc/983935","WorldCat Record")</f>
        <v/>
      </c>
      <c r="AU335" t="inlineStr">
        <is>
          <t>3943743730:eng</t>
        </is>
      </c>
      <c r="AV335" t="inlineStr">
        <is>
          <t>983935</t>
        </is>
      </c>
      <c r="AW335" t="inlineStr">
        <is>
          <t>991003448099702656</t>
        </is>
      </c>
      <c r="AX335" t="inlineStr">
        <is>
          <t>991003448099702656</t>
        </is>
      </c>
      <c r="AY335" t="inlineStr">
        <is>
          <t>2272597980002656</t>
        </is>
      </c>
      <c r="AZ335" t="inlineStr">
        <is>
          <t>BOOK</t>
        </is>
      </c>
      <c r="BB335" t="inlineStr">
        <is>
          <t>9780155064379</t>
        </is>
      </c>
      <c r="BC335" t="inlineStr">
        <is>
          <t>32285001826113</t>
        </is>
      </c>
      <c r="BD335" t="inlineStr">
        <is>
          <t>893598584</t>
        </is>
      </c>
    </row>
    <row r="336">
      <c r="A336" t="inlineStr">
        <is>
          <t>No</t>
        </is>
      </c>
      <c r="B336" t="inlineStr">
        <is>
          <t>GC98 .H6</t>
        </is>
      </c>
      <c r="C336" t="inlineStr">
        <is>
          <t>0                      GC 0098000H  6</t>
        </is>
      </c>
      <c r="D336" t="inlineStr">
        <is>
          <t>Marine chemistry : the structure of water and the chemistry of the hydrosphere / [by] R.A. Horne.</t>
        </is>
      </c>
      <c r="F336" t="inlineStr">
        <is>
          <t>No</t>
        </is>
      </c>
      <c r="G336" t="inlineStr">
        <is>
          <t>1</t>
        </is>
      </c>
      <c r="H336" t="inlineStr">
        <is>
          <t>No</t>
        </is>
      </c>
      <c r="I336" t="inlineStr">
        <is>
          <t>No</t>
        </is>
      </c>
      <c r="J336" t="inlineStr">
        <is>
          <t>0</t>
        </is>
      </c>
      <c r="K336" t="inlineStr">
        <is>
          <t>Horne, Ralph Albert, 1929-2013.</t>
        </is>
      </c>
      <c r="L336" t="inlineStr">
        <is>
          <t>New York : Wiley-Interscience, [1969]</t>
        </is>
      </c>
      <c r="M336" t="inlineStr">
        <is>
          <t>1969</t>
        </is>
      </c>
      <c r="O336" t="inlineStr">
        <is>
          <t>eng</t>
        </is>
      </c>
      <c r="P336" t="inlineStr">
        <is>
          <t>nyu</t>
        </is>
      </c>
      <c r="R336" t="inlineStr">
        <is>
          <t xml:space="preserve">GC </t>
        </is>
      </c>
      <c r="S336" t="n">
        <v>10</v>
      </c>
      <c r="T336" t="n">
        <v>10</v>
      </c>
      <c r="U336" t="inlineStr">
        <is>
          <t>1996-01-04</t>
        </is>
      </c>
      <c r="V336" t="inlineStr">
        <is>
          <t>1996-01-04</t>
        </is>
      </c>
      <c r="W336" t="inlineStr">
        <is>
          <t>1994-01-24</t>
        </is>
      </c>
      <c r="X336" t="inlineStr">
        <is>
          <t>1994-01-24</t>
        </is>
      </c>
      <c r="Y336" t="n">
        <v>662</v>
      </c>
      <c r="Z336" t="n">
        <v>517</v>
      </c>
      <c r="AA336" t="n">
        <v>519</v>
      </c>
      <c r="AB336" t="n">
        <v>4</v>
      </c>
      <c r="AC336" t="n">
        <v>4</v>
      </c>
      <c r="AD336" t="n">
        <v>18</v>
      </c>
      <c r="AE336" t="n">
        <v>18</v>
      </c>
      <c r="AF336" t="n">
        <v>8</v>
      </c>
      <c r="AG336" t="n">
        <v>8</v>
      </c>
      <c r="AH336" t="n">
        <v>3</v>
      </c>
      <c r="AI336" t="n">
        <v>3</v>
      </c>
      <c r="AJ336" t="n">
        <v>8</v>
      </c>
      <c r="AK336" t="n">
        <v>8</v>
      </c>
      <c r="AL336" t="n">
        <v>3</v>
      </c>
      <c r="AM336" t="n">
        <v>3</v>
      </c>
      <c r="AN336" t="n">
        <v>0</v>
      </c>
      <c r="AO336" t="n">
        <v>0</v>
      </c>
      <c r="AP336" t="inlineStr">
        <is>
          <t>No</t>
        </is>
      </c>
      <c r="AQ336" t="inlineStr">
        <is>
          <t>Yes</t>
        </is>
      </c>
      <c r="AR336">
        <f>HYPERLINK("http://catalog.hathitrust.org/Record/001273562","HathiTrust Record")</f>
        <v/>
      </c>
      <c r="AS336">
        <f>HYPERLINK("https://creighton-primo.hosted.exlibrisgroup.com/primo-explore/search?tab=default_tab&amp;search_scope=EVERYTHING&amp;vid=01CRU&amp;lang=en_US&amp;offset=0&amp;query=any,contains,991000004169702656","Catalog Record")</f>
        <v/>
      </c>
      <c r="AT336">
        <f>HYPERLINK("http://www.worldcat.org/oclc/12479","WorldCat Record")</f>
        <v/>
      </c>
      <c r="AU336" t="inlineStr">
        <is>
          <t>1135394:eng</t>
        </is>
      </c>
      <c r="AV336" t="inlineStr">
        <is>
          <t>12479</t>
        </is>
      </c>
      <c r="AW336" t="inlineStr">
        <is>
          <t>991000004169702656</t>
        </is>
      </c>
      <c r="AX336" t="inlineStr">
        <is>
          <t>991000004169702656</t>
        </is>
      </c>
      <c r="AY336" t="inlineStr">
        <is>
          <t>2265028720002656</t>
        </is>
      </c>
      <c r="AZ336" t="inlineStr">
        <is>
          <t>BOOK</t>
        </is>
      </c>
      <c r="BC336" t="inlineStr">
        <is>
          <t>32285001835775</t>
        </is>
      </c>
      <c r="BD336" t="inlineStr">
        <is>
          <t>893425319</t>
        </is>
      </c>
    </row>
    <row r="337">
      <c r="A337" t="inlineStr">
        <is>
          <t>No</t>
        </is>
      </c>
      <c r="B337" t="inlineStr">
        <is>
          <t>GE105 .B64 1995</t>
        </is>
      </c>
      <c r="C337" t="inlineStr">
        <is>
          <t>0                      GE 0105000B  64          1995</t>
        </is>
      </c>
      <c r="D337" t="inlineStr">
        <is>
          <t>Environmental physics / Egbert Boeker and Rienk van Grondelle.</t>
        </is>
      </c>
      <c r="F337" t="inlineStr">
        <is>
          <t>No</t>
        </is>
      </c>
      <c r="G337" t="inlineStr">
        <is>
          <t>1</t>
        </is>
      </c>
      <c r="H337" t="inlineStr">
        <is>
          <t>No</t>
        </is>
      </c>
      <c r="I337" t="inlineStr">
        <is>
          <t>No</t>
        </is>
      </c>
      <c r="J337" t="inlineStr">
        <is>
          <t>0</t>
        </is>
      </c>
      <c r="K337" t="inlineStr">
        <is>
          <t>Boeker, Egbert.</t>
        </is>
      </c>
      <c r="L337" t="inlineStr">
        <is>
          <t>Chichester [England] ; New York : Wiley, c1995.</t>
        </is>
      </c>
      <c r="M337" t="inlineStr">
        <is>
          <t>1995</t>
        </is>
      </c>
      <c r="O337" t="inlineStr">
        <is>
          <t>eng</t>
        </is>
      </c>
      <c r="P337" t="inlineStr">
        <is>
          <t>enk</t>
        </is>
      </c>
      <c r="R337" t="inlineStr">
        <is>
          <t xml:space="preserve">GE </t>
        </is>
      </c>
      <c r="S337" t="n">
        <v>2</v>
      </c>
      <c r="T337" t="n">
        <v>2</v>
      </c>
      <c r="U337" t="inlineStr">
        <is>
          <t>1997-11-04</t>
        </is>
      </c>
      <c r="V337" t="inlineStr">
        <is>
          <t>1997-11-04</t>
        </is>
      </c>
      <c r="W337" t="inlineStr">
        <is>
          <t>1996-11-12</t>
        </is>
      </c>
      <c r="X337" t="inlineStr">
        <is>
          <t>1996-11-12</t>
        </is>
      </c>
      <c r="Y337" t="n">
        <v>548</v>
      </c>
      <c r="Z337" t="n">
        <v>367</v>
      </c>
      <c r="AA337" t="n">
        <v>497</v>
      </c>
      <c r="AB337" t="n">
        <v>5</v>
      </c>
      <c r="AC337" t="n">
        <v>5</v>
      </c>
      <c r="AD337" t="n">
        <v>19</v>
      </c>
      <c r="AE337" t="n">
        <v>24</v>
      </c>
      <c r="AF337" t="n">
        <v>6</v>
      </c>
      <c r="AG337" t="n">
        <v>9</v>
      </c>
      <c r="AH337" t="n">
        <v>4</v>
      </c>
      <c r="AI337" t="n">
        <v>5</v>
      </c>
      <c r="AJ337" t="n">
        <v>12</v>
      </c>
      <c r="AK337" t="n">
        <v>14</v>
      </c>
      <c r="AL337" t="n">
        <v>4</v>
      </c>
      <c r="AM337" t="n">
        <v>4</v>
      </c>
      <c r="AN337" t="n">
        <v>0</v>
      </c>
      <c r="AO337" t="n">
        <v>0</v>
      </c>
      <c r="AP337" t="inlineStr">
        <is>
          <t>No</t>
        </is>
      </c>
      <c r="AQ337" t="inlineStr">
        <is>
          <t>Yes</t>
        </is>
      </c>
      <c r="AR337">
        <f>HYPERLINK("http://catalog.hathitrust.org/Record/002936465","HathiTrust Record")</f>
        <v/>
      </c>
      <c r="AS337">
        <f>HYPERLINK("https://creighton-primo.hosted.exlibrisgroup.com/primo-explore/search?tab=default_tab&amp;search_scope=EVERYTHING&amp;vid=01CRU&amp;lang=en_US&amp;offset=0&amp;query=any,contains,991002312409702656","Catalog Record")</f>
        <v/>
      </c>
      <c r="AT337">
        <f>HYPERLINK("http://www.worldcat.org/oclc/30027946","WorldCat Record")</f>
        <v/>
      </c>
      <c r="AU337" t="inlineStr">
        <is>
          <t>60269:eng</t>
        </is>
      </c>
      <c r="AV337" t="inlineStr">
        <is>
          <t>30027946</t>
        </is>
      </c>
      <c r="AW337" t="inlineStr">
        <is>
          <t>991002312409702656</t>
        </is>
      </c>
      <c r="AX337" t="inlineStr">
        <is>
          <t>991002312409702656</t>
        </is>
      </c>
      <c r="AY337" t="inlineStr">
        <is>
          <t>2258445370002656</t>
        </is>
      </c>
      <c r="AZ337" t="inlineStr">
        <is>
          <t>BOOK</t>
        </is>
      </c>
      <c r="BB337" t="inlineStr">
        <is>
          <t>9780471939313</t>
        </is>
      </c>
      <c r="BC337" t="inlineStr">
        <is>
          <t>32285002371713</t>
        </is>
      </c>
      <c r="BD337" t="inlineStr">
        <is>
          <t>893517144</t>
        </is>
      </c>
    </row>
    <row r="338">
      <c r="A338" t="inlineStr">
        <is>
          <t>No</t>
        </is>
      </c>
      <c r="B338" t="inlineStr">
        <is>
          <t>GE105 .B68 1995</t>
        </is>
      </c>
      <c r="C338" t="inlineStr">
        <is>
          <t>0                      GE 0105000B  68          1995</t>
        </is>
      </c>
      <c r="D338" t="inlineStr">
        <is>
          <t>Environmental science : Earth as a living planet / Daniel B. Botkin, Edward A. Keller with assistance from Dorothy B. Rosenthal ... [et al.].</t>
        </is>
      </c>
      <c r="F338" t="inlineStr">
        <is>
          <t>No</t>
        </is>
      </c>
      <c r="G338" t="inlineStr">
        <is>
          <t>1</t>
        </is>
      </c>
      <c r="H338" t="inlineStr">
        <is>
          <t>No</t>
        </is>
      </c>
      <c r="I338" t="inlineStr">
        <is>
          <t>No</t>
        </is>
      </c>
      <c r="J338" t="inlineStr">
        <is>
          <t>0</t>
        </is>
      </c>
      <c r="K338" t="inlineStr">
        <is>
          <t>Botkin, Daniel B.</t>
        </is>
      </c>
      <c r="L338" t="inlineStr">
        <is>
          <t>New York : Wiley, c1995.</t>
        </is>
      </c>
      <c r="M338" t="inlineStr">
        <is>
          <t>1995</t>
        </is>
      </c>
      <c r="O338" t="inlineStr">
        <is>
          <t>eng</t>
        </is>
      </c>
      <c r="P338" t="inlineStr">
        <is>
          <t>nyu</t>
        </is>
      </c>
      <c r="R338" t="inlineStr">
        <is>
          <t xml:space="preserve">GE </t>
        </is>
      </c>
      <c r="S338" t="n">
        <v>8</v>
      </c>
      <c r="T338" t="n">
        <v>8</v>
      </c>
      <c r="U338" t="inlineStr">
        <is>
          <t>2001-08-12</t>
        </is>
      </c>
      <c r="V338" t="inlineStr">
        <is>
          <t>2001-08-12</t>
        </is>
      </c>
      <c r="W338" t="inlineStr">
        <is>
          <t>1996-01-26</t>
        </is>
      </c>
      <c r="X338" t="inlineStr">
        <is>
          <t>1996-01-26</t>
        </is>
      </c>
      <c r="Y338" t="n">
        <v>231</v>
      </c>
      <c r="Z338" t="n">
        <v>145</v>
      </c>
      <c r="AA338" t="n">
        <v>496</v>
      </c>
      <c r="AB338" t="n">
        <v>1</v>
      </c>
      <c r="AC338" t="n">
        <v>2</v>
      </c>
      <c r="AD338" t="n">
        <v>8</v>
      </c>
      <c r="AE338" t="n">
        <v>15</v>
      </c>
      <c r="AF338" t="n">
        <v>2</v>
      </c>
      <c r="AG338" t="n">
        <v>4</v>
      </c>
      <c r="AH338" t="n">
        <v>3</v>
      </c>
      <c r="AI338" t="n">
        <v>6</v>
      </c>
      <c r="AJ338" t="n">
        <v>5</v>
      </c>
      <c r="AK338" t="n">
        <v>8</v>
      </c>
      <c r="AL338" t="n">
        <v>0</v>
      </c>
      <c r="AM338" t="n">
        <v>1</v>
      </c>
      <c r="AN338" t="n">
        <v>0</v>
      </c>
      <c r="AO338" t="n">
        <v>0</v>
      </c>
      <c r="AP338" t="inlineStr">
        <is>
          <t>No</t>
        </is>
      </c>
      <c r="AQ338" t="inlineStr">
        <is>
          <t>Yes</t>
        </is>
      </c>
      <c r="AR338">
        <f>HYPERLINK("http://catalog.hathitrust.org/Record/002960725","HathiTrust Record")</f>
        <v/>
      </c>
      <c r="AS338">
        <f>HYPERLINK("https://creighton-primo.hosted.exlibrisgroup.com/primo-explore/search?tab=default_tab&amp;search_scope=EVERYTHING&amp;vid=01CRU&amp;lang=en_US&amp;offset=0&amp;query=any,contains,991002397109702656","Catalog Record")</f>
        <v/>
      </c>
      <c r="AT338">
        <f>HYPERLINK("http://www.worldcat.org/oclc/31134235","WorldCat Record")</f>
        <v/>
      </c>
      <c r="AU338" t="inlineStr">
        <is>
          <t>796423978:eng</t>
        </is>
      </c>
      <c r="AV338" t="inlineStr">
        <is>
          <t>31134235</t>
        </is>
      </c>
      <c r="AW338" t="inlineStr">
        <is>
          <t>991002397109702656</t>
        </is>
      </c>
      <c r="AX338" t="inlineStr">
        <is>
          <t>991002397109702656</t>
        </is>
      </c>
      <c r="AY338" t="inlineStr">
        <is>
          <t>2272767420002656</t>
        </is>
      </c>
      <c r="AZ338" t="inlineStr">
        <is>
          <t>BOOK</t>
        </is>
      </c>
      <c r="BB338" t="inlineStr">
        <is>
          <t>9780471545484</t>
        </is>
      </c>
      <c r="BC338" t="inlineStr">
        <is>
          <t>32285002126125</t>
        </is>
      </c>
      <c r="BD338" t="inlineStr">
        <is>
          <t>893523560</t>
        </is>
      </c>
    </row>
    <row r="339">
      <c r="A339" t="inlineStr">
        <is>
          <t>No</t>
        </is>
      </c>
      <c r="B339" t="inlineStr">
        <is>
          <t>GE105 .E542 1995</t>
        </is>
      </c>
      <c r="C339" t="inlineStr">
        <is>
          <t>0                      GE 0105000E  542         1995</t>
        </is>
      </c>
      <c r="D339" t="inlineStr">
        <is>
          <t>Field and laboratory activities in Environmental science / Eldon D. Enger, Bradley F. Smith with contributions by Paul Nowak, Jr.</t>
        </is>
      </c>
      <c r="F339" t="inlineStr">
        <is>
          <t>No</t>
        </is>
      </c>
      <c r="G339" t="inlineStr">
        <is>
          <t>1</t>
        </is>
      </c>
      <c r="H339" t="inlineStr">
        <is>
          <t>No</t>
        </is>
      </c>
      <c r="I339" t="inlineStr">
        <is>
          <t>No</t>
        </is>
      </c>
      <c r="J339" t="inlineStr">
        <is>
          <t>0</t>
        </is>
      </c>
      <c r="K339" t="inlineStr">
        <is>
          <t>Enger, Eldon D.</t>
        </is>
      </c>
      <c r="L339" t="inlineStr">
        <is>
          <t>Dubuque, IA : W.C. Brown, c1995.</t>
        </is>
      </c>
      <c r="M339" t="inlineStr">
        <is>
          <t>1995</t>
        </is>
      </c>
      <c r="N339" t="inlineStr">
        <is>
          <t>5th ed.</t>
        </is>
      </c>
      <c r="O339" t="inlineStr">
        <is>
          <t>eng</t>
        </is>
      </c>
      <c r="P339" t="inlineStr">
        <is>
          <t>iau</t>
        </is>
      </c>
      <c r="R339" t="inlineStr">
        <is>
          <t xml:space="preserve">GE </t>
        </is>
      </c>
      <c r="S339" t="n">
        <v>3</v>
      </c>
      <c r="T339" t="n">
        <v>3</v>
      </c>
      <c r="U339" t="inlineStr">
        <is>
          <t>1996-08-23</t>
        </is>
      </c>
      <c r="V339" t="inlineStr">
        <is>
          <t>1996-08-23</t>
        </is>
      </c>
      <c r="W339" t="inlineStr">
        <is>
          <t>1995-08-21</t>
        </is>
      </c>
      <c r="X339" t="inlineStr">
        <is>
          <t>1995-08-21</t>
        </is>
      </c>
      <c r="Y339" t="n">
        <v>29</v>
      </c>
      <c r="Z339" t="n">
        <v>24</v>
      </c>
      <c r="AA339" t="n">
        <v>28</v>
      </c>
      <c r="AB339" t="n">
        <v>1</v>
      </c>
      <c r="AC339" t="n">
        <v>1</v>
      </c>
      <c r="AD339" t="n">
        <v>0</v>
      </c>
      <c r="AE339" t="n">
        <v>0</v>
      </c>
      <c r="AF339" t="n">
        <v>0</v>
      </c>
      <c r="AG339" t="n">
        <v>0</v>
      </c>
      <c r="AH339" t="n">
        <v>0</v>
      </c>
      <c r="AI339" t="n">
        <v>0</v>
      </c>
      <c r="AJ339" t="n">
        <v>0</v>
      </c>
      <c r="AK339" t="n">
        <v>0</v>
      </c>
      <c r="AL339" t="n">
        <v>0</v>
      </c>
      <c r="AM339" t="n">
        <v>0</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HYPERLINK("https://creighton-primo.hosted.exlibrisgroup.com/primo-explore/search?tab=default_tab&amp;search_scope=EVERYTHING&amp;vid=01CRU&amp;lang=en_US&amp;offset=0&amp;query=any,contains,991002474249702656","Catalog Record")</f>
        <v/>
      </c>
      <c r="AT339">
        <f>HYPERLINK("http://www.worldcat.org/oclc/32209554","WorldCat Record")</f>
        <v/>
      </c>
      <c r="AU339" t="inlineStr">
        <is>
          <t>3857846852:eng</t>
        </is>
      </c>
      <c r="AV339" t="inlineStr">
        <is>
          <t>32209554</t>
        </is>
      </c>
      <c r="AW339" t="inlineStr">
        <is>
          <t>991002474249702656</t>
        </is>
      </c>
      <c r="AX339" t="inlineStr">
        <is>
          <t>991002474249702656</t>
        </is>
      </c>
      <c r="AY339" t="inlineStr">
        <is>
          <t>2259522120002656</t>
        </is>
      </c>
      <c r="AZ339" t="inlineStr">
        <is>
          <t>BOOK</t>
        </is>
      </c>
      <c r="BB339" t="inlineStr">
        <is>
          <t>9780697159090</t>
        </is>
      </c>
      <c r="BC339" t="inlineStr">
        <is>
          <t>32285002077963</t>
        </is>
      </c>
      <c r="BD339" t="inlineStr">
        <is>
          <t>893792507</t>
        </is>
      </c>
    </row>
    <row r="340">
      <c r="A340" t="inlineStr">
        <is>
          <t>No</t>
        </is>
      </c>
      <c r="B340" t="inlineStr">
        <is>
          <t>GE105 .K38 1998</t>
        </is>
      </c>
      <c r="C340" t="inlineStr">
        <is>
          <t>0                      GE 0105000K  38          1998</t>
        </is>
      </c>
      <c r="D340" t="inlineStr">
        <is>
          <t>The ABCs of environmental science / William B. Katz.</t>
        </is>
      </c>
      <c r="F340" t="inlineStr">
        <is>
          <t>No</t>
        </is>
      </c>
      <c r="G340" t="inlineStr">
        <is>
          <t>1</t>
        </is>
      </c>
      <c r="H340" t="inlineStr">
        <is>
          <t>No</t>
        </is>
      </c>
      <c r="I340" t="inlineStr">
        <is>
          <t>No</t>
        </is>
      </c>
      <c r="J340" t="inlineStr">
        <is>
          <t>0</t>
        </is>
      </c>
      <c r="K340" t="inlineStr">
        <is>
          <t>Katz, William B., 1917-</t>
        </is>
      </c>
      <c r="L340" t="inlineStr">
        <is>
          <t>Rockville, MD : Government Institutes, c1998.</t>
        </is>
      </c>
      <c r="M340" t="inlineStr">
        <is>
          <t>1998</t>
        </is>
      </c>
      <c r="O340" t="inlineStr">
        <is>
          <t>eng</t>
        </is>
      </c>
      <c r="P340" t="inlineStr">
        <is>
          <t>mdu</t>
        </is>
      </c>
      <c r="R340" t="inlineStr">
        <is>
          <t xml:space="preserve">GE </t>
        </is>
      </c>
      <c r="S340" t="n">
        <v>4</v>
      </c>
      <c r="T340" t="n">
        <v>4</v>
      </c>
      <c r="U340" t="inlineStr">
        <is>
          <t>2002-04-16</t>
        </is>
      </c>
      <c r="V340" t="inlineStr">
        <is>
          <t>2002-04-16</t>
        </is>
      </c>
      <c r="W340" t="inlineStr">
        <is>
          <t>1999-05-17</t>
        </is>
      </c>
      <c r="X340" t="inlineStr">
        <is>
          <t>1999-05-17</t>
        </is>
      </c>
      <c r="Y340" t="n">
        <v>333</v>
      </c>
      <c r="Z340" t="n">
        <v>297</v>
      </c>
      <c r="AA340" t="n">
        <v>297</v>
      </c>
      <c r="AB340" t="n">
        <v>1</v>
      </c>
      <c r="AC340" t="n">
        <v>1</v>
      </c>
      <c r="AD340" t="n">
        <v>9</v>
      </c>
      <c r="AE340" t="n">
        <v>9</v>
      </c>
      <c r="AF340" t="n">
        <v>2</v>
      </c>
      <c r="AG340" t="n">
        <v>2</v>
      </c>
      <c r="AH340" t="n">
        <v>2</v>
      </c>
      <c r="AI340" t="n">
        <v>2</v>
      </c>
      <c r="AJ340" t="n">
        <v>3</v>
      </c>
      <c r="AK340" t="n">
        <v>3</v>
      </c>
      <c r="AL340" t="n">
        <v>0</v>
      </c>
      <c r="AM340" t="n">
        <v>0</v>
      </c>
      <c r="AN340" t="n">
        <v>2</v>
      </c>
      <c r="AO340" t="n">
        <v>2</v>
      </c>
      <c r="AP340" t="inlineStr">
        <is>
          <t>No</t>
        </is>
      </c>
      <c r="AQ340" t="inlineStr">
        <is>
          <t>No</t>
        </is>
      </c>
      <c r="AS340">
        <f>HYPERLINK("https://creighton-primo.hosted.exlibrisgroup.com/primo-explore/search?tab=default_tab&amp;search_scope=EVERYTHING&amp;vid=01CRU&amp;lang=en_US&amp;offset=0&amp;query=any,contains,991002949849702656","Catalog Record")</f>
        <v/>
      </c>
      <c r="AT340">
        <f>HYPERLINK("http://www.worldcat.org/oclc/39307403","WorldCat Record")</f>
        <v/>
      </c>
      <c r="AU340" t="inlineStr">
        <is>
          <t>41540622:eng</t>
        </is>
      </c>
      <c r="AV340" t="inlineStr">
        <is>
          <t>39307403</t>
        </is>
      </c>
      <c r="AW340" t="inlineStr">
        <is>
          <t>991002949849702656</t>
        </is>
      </c>
      <c r="AX340" t="inlineStr">
        <is>
          <t>991002949849702656</t>
        </is>
      </c>
      <c r="AY340" t="inlineStr">
        <is>
          <t>2255544980002656</t>
        </is>
      </c>
      <c r="AZ340" t="inlineStr">
        <is>
          <t>BOOK</t>
        </is>
      </c>
      <c r="BB340" t="inlineStr">
        <is>
          <t>9780865876279</t>
        </is>
      </c>
      <c r="BC340" t="inlineStr">
        <is>
          <t>32285003570966</t>
        </is>
      </c>
      <c r="BD340" t="inlineStr">
        <is>
          <t>893511396</t>
        </is>
      </c>
    </row>
    <row r="341">
      <c r="A341" t="inlineStr">
        <is>
          <t>No</t>
        </is>
      </c>
      <c r="B341" t="inlineStr">
        <is>
          <t>GE105 .M37 2001</t>
        </is>
      </c>
      <c r="C341" t="inlineStr">
        <is>
          <t>0                      GE 0105000M  37          2001</t>
        </is>
      </c>
      <c r="D341" t="inlineStr">
        <is>
          <t>Introduction to environmental physics : planet earth, life and climate / Nigel Mason, Peter Hughes ; with Randall McMullan ... [et al.] ; with a foreword by Sir John Houghton.</t>
        </is>
      </c>
      <c r="F341" t="inlineStr">
        <is>
          <t>No</t>
        </is>
      </c>
      <c r="G341" t="inlineStr">
        <is>
          <t>1</t>
        </is>
      </c>
      <c r="H341" t="inlineStr">
        <is>
          <t>No</t>
        </is>
      </c>
      <c r="I341" t="inlineStr">
        <is>
          <t>No</t>
        </is>
      </c>
      <c r="J341" t="inlineStr">
        <is>
          <t>0</t>
        </is>
      </c>
      <c r="K341" t="inlineStr">
        <is>
          <t>Mason, Nigel.</t>
        </is>
      </c>
      <c r="L341" t="inlineStr">
        <is>
          <t>London ; New York : Taylor &amp; Francis, 2001.</t>
        </is>
      </c>
      <c r="M341" t="inlineStr">
        <is>
          <t>2001</t>
        </is>
      </c>
      <c r="O341" t="inlineStr">
        <is>
          <t>eng</t>
        </is>
      </c>
      <c r="P341" t="inlineStr">
        <is>
          <t>enk</t>
        </is>
      </c>
      <c r="R341" t="inlineStr">
        <is>
          <t xml:space="preserve">GE </t>
        </is>
      </c>
      <c r="S341" t="n">
        <v>1</v>
      </c>
      <c r="T341" t="n">
        <v>1</v>
      </c>
      <c r="U341" t="inlineStr">
        <is>
          <t>2007-06-14</t>
        </is>
      </c>
      <c r="V341" t="inlineStr">
        <is>
          <t>2007-06-14</t>
        </is>
      </c>
      <c r="W341" t="inlineStr">
        <is>
          <t>2007-06-14</t>
        </is>
      </c>
      <c r="X341" t="inlineStr">
        <is>
          <t>2007-06-14</t>
        </is>
      </c>
      <c r="Y341" t="n">
        <v>272</v>
      </c>
      <c r="Z341" t="n">
        <v>102</v>
      </c>
      <c r="AA341" t="n">
        <v>137</v>
      </c>
      <c r="AB341" t="n">
        <v>2</v>
      </c>
      <c r="AC341" t="n">
        <v>2</v>
      </c>
      <c r="AD341" t="n">
        <v>4</v>
      </c>
      <c r="AE341" t="n">
        <v>4</v>
      </c>
      <c r="AF341" t="n">
        <v>2</v>
      </c>
      <c r="AG341" t="n">
        <v>2</v>
      </c>
      <c r="AH341" t="n">
        <v>1</v>
      </c>
      <c r="AI341" t="n">
        <v>1</v>
      </c>
      <c r="AJ341" t="n">
        <v>2</v>
      </c>
      <c r="AK341" t="n">
        <v>2</v>
      </c>
      <c r="AL341" t="n">
        <v>1</v>
      </c>
      <c r="AM341" t="n">
        <v>1</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HYPERLINK("https://creighton-primo.hosted.exlibrisgroup.com/primo-explore/search?tab=default_tab&amp;search_scope=EVERYTHING&amp;vid=01CRU&amp;lang=en_US&amp;offset=0&amp;query=any,contains,991005093589702656","Catalog Record")</f>
        <v/>
      </c>
      <c r="AT341">
        <f>HYPERLINK("http://www.worldcat.org/oclc/47201986","WorldCat Record")</f>
        <v/>
      </c>
      <c r="AU341" t="inlineStr">
        <is>
          <t>890523514:eng</t>
        </is>
      </c>
      <c r="AV341" t="inlineStr">
        <is>
          <t>47201986</t>
        </is>
      </c>
      <c r="AW341" t="inlineStr">
        <is>
          <t>991005093589702656</t>
        </is>
      </c>
      <c r="AX341" t="inlineStr">
        <is>
          <t>991005093589702656</t>
        </is>
      </c>
      <c r="AY341" t="inlineStr">
        <is>
          <t>2257352150002656</t>
        </is>
      </c>
      <c r="AZ341" t="inlineStr">
        <is>
          <t>BOOK</t>
        </is>
      </c>
      <c r="BB341" t="inlineStr">
        <is>
          <t>9780748407644</t>
        </is>
      </c>
      <c r="BC341" t="inlineStr">
        <is>
          <t>32285005317366</t>
        </is>
      </c>
      <c r="BD341" t="inlineStr">
        <is>
          <t>893338492</t>
        </is>
      </c>
    </row>
    <row r="342">
      <c r="A342" t="inlineStr">
        <is>
          <t>No</t>
        </is>
      </c>
      <c r="B342" t="inlineStr">
        <is>
          <t>GE105 .M385 2005</t>
        </is>
      </c>
      <c r="C342" t="inlineStr">
        <is>
          <t>0                      GE 0105000M  385         2005</t>
        </is>
      </c>
      <c r="D342" t="inlineStr">
        <is>
          <t>Wisdom for a livable planet : the visionary work of Terri Swearingen, Dave Foreman, Wes Jackson, Helena Norberg-Hodge, Werner Fornos, Herman Daly, Stephen Schneider and David Orr / Carl N. McDaniel.</t>
        </is>
      </c>
      <c r="F342" t="inlineStr">
        <is>
          <t>No</t>
        </is>
      </c>
      <c r="G342" t="inlineStr">
        <is>
          <t>1</t>
        </is>
      </c>
      <c r="H342" t="inlineStr">
        <is>
          <t>No</t>
        </is>
      </c>
      <c r="I342" t="inlineStr">
        <is>
          <t>No</t>
        </is>
      </c>
      <c r="J342" t="inlineStr">
        <is>
          <t>0</t>
        </is>
      </c>
      <c r="K342" t="inlineStr">
        <is>
          <t>McDaniel, Carl N., 1942-</t>
        </is>
      </c>
      <c r="L342" t="inlineStr">
        <is>
          <t>San Antonio, Tex. : Trinity University Press, c2005.</t>
        </is>
      </c>
      <c r="M342" t="inlineStr">
        <is>
          <t>2005</t>
        </is>
      </c>
      <c r="O342" t="inlineStr">
        <is>
          <t>eng</t>
        </is>
      </c>
      <c r="P342" t="inlineStr">
        <is>
          <t>txu</t>
        </is>
      </c>
      <c r="R342" t="inlineStr">
        <is>
          <t xml:space="preserve">GE </t>
        </is>
      </c>
      <c r="S342" t="n">
        <v>7</v>
      </c>
      <c r="T342" t="n">
        <v>7</v>
      </c>
      <c r="U342" t="inlineStr">
        <is>
          <t>2008-09-24</t>
        </is>
      </c>
      <c r="V342" t="inlineStr">
        <is>
          <t>2008-09-24</t>
        </is>
      </c>
      <c r="W342" t="inlineStr">
        <is>
          <t>2005-04-30</t>
        </is>
      </c>
      <c r="X342" t="inlineStr">
        <is>
          <t>2005-04-30</t>
        </is>
      </c>
      <c r="Y342" t="n">
        <v>481</v>
      </c>
      <c r="Z342" t="n">
        <v>439</v>
      </c>
      <c r="AA342" t="n">
        <v>500</v>
      </c>
      <c r="AB342" t="n">
        <v>2</v>
      </c>
      <c r="AC342" t="n">
        <v>4</v>
      </c>
      <c r="AD342" t="n">
        <v>11</v>
      </c>
      <c r="AE342" t="n">
        <v>14</v>
      </c>
      <c r="AF342" t="n">
        <v>3</v>
      </c>
      <c r="AG342" t="n">
        <v>4</v>
      </c>
      <c r="AH342" t="n">
        <v>5</v>
      </c>
      <c r="AI342" t="n">
        <v>6</v>
      </c>
      <c r="AJ342" t="n">
        <v>3</v>
      </c>
      <c r="AK342" t="n">
        <v>3</v>
      </c>
      <c r="AL342" t="n">
        <v>1</v>
      </c>
      <c r="AM342" t="n">
        <v>3</v>
      </c>
      <c r="AN342" t="n">
        <v>0</v>
      </c>
      <c r="AO342" t="n">
        <v>0</v>
      </c>
      <c r="AP342" t="inlineStr">
        <is>
          <t>No</t>
        </is>
      </c>
      <c r="AQ342" t="inlineStr">
        <is>
          <t>Yes</t>
        </is>
      </c>
      <c r="AR342">
        <f>HYPERLINK("http://catalog.hathitrust.org/Record/005033279","HathiTrust Record")</f>
        <v/>
      </c>
      <c r="AS342">
        <f>HYPERLINK("https://creighton-primo.hosted.exlibrisgroup.com/primo-explore/search?tab=default_tab&amp;search_scope=EVERYTHING&amp;vid=01CRU&amp;lang=en_US&amp;offset=0&amp;query=any,contains,991004533019702656","Catalog Record")</f>
        <v/>
      </c>
      <c r="AT342">
        <f>HYPERLINK("http://www.worldcat.org/oclc/56318044","WorldCat Record")</f>
        <v/>
      </c>
      <c r="AU342" t="inlineStr">
        <is>
          <t>1149878:eng</t>
        </is>
      </c>
      <c r="AV342" t="inlineStr">
        <is>
          <t>56318044</t>
        </is>
      </c>
      <c r="AW342" t="inlineStr">
        <is>
          <t>991004533019702656</t>
        </is>
      </c>
      <c r="AX342" t="inlineStr">
        <is>
          <t>991004533019702656</t>
        </is>
      </c>
      <c r="AY342" t="inlineStr">
        <is>
          <t>2266933640002656</t>
        </is>
      </c>
      <c r="AZ342" t="inlineStr">
        <is>
          <t>BOOK</t>
        </is>
      </c>
      <c r="BB342" t="inlineStr">
        <is>
          <t>9781595340085</t>
        </is>
      </c>
      <c r="BC342" t="inlineStr">
        <is>
          <t>32285005034177</t>
        </is>
      </c>
      <c r="BD342" t="inlineStr">
        <is>
          <t>893618775</t>
        </is>
      </c>
    </row>
    <row r="343">
      <c r="A343" t="inlineStr">
        <is>
          <t>No</t>
        </is>
      </c>
      <c r="B343" t="inlineStr">
        <is>
          <t>GE105 .S68 1996</t>
        </is>
      </c>
      <c r="C343" t="inlineStr">
        <is>
          <t>0                      GE 0105000S  68          1996</t>
        </is>
      </c>
      <c r="D343" t="inlineStr">
        <is>
          <t>Global ecology in human perspective / Charles H. Southwick.</t>
        </is>
      </c>
      <c r="F343" t="inlineStr">
        <is>
          <t>No</t>
        </is>
      </c>
      <c r="G343" t="inlineStr">
        <is>
          <t>1</t>
        </is>
      </c>
      <c r="H343" t="inlineStr">
        <is>
          <t>No</t>
        </is>
      </c>
      <c r="I343" t="inlineStr">
        <is>
          <t>No</t>
        </is>
      </c>
      <c r="J343" t="inlineStr">
        <is>
          <t>0</t>
        </is>
      </c>
      <c r="K343" t="inlineStr">
        <is>
          <t>Southwick, Charles H.</t>
        </is>
      </c>
      <c r="L343" t="inlineStr">
        <is>
          <t>New York : Oxford University Press, 1996.</t>
        </is>
      </c>
      <c r="M343" t="inlineStr">
        <is>
          <t>1996</t>
        </is>
      </c>
      <c r="O343" t="inlineStr">
        <is>
          <t>eng</t>
        </is>
      </c>
      <c r="P343" t="inlineStr">
        <is>
          <t>nyu</t>
        </is>
      </c>
      <c r="R343" t="inlineStr">
        <is>
          <t xml:space="preserve">GE </t>
        </is>
      </c>
      <c r="S343" t="n">
        <v>10</v>
      </c>
      <c r="T343" t="n">
        <v>10</v>
      </c>
      <c r="U343" t="inlineStr">
        <is>
          <t>2006-11-18</t>
        </is>
      </c>
      <c r="V343" t="inlineStr">
        <is>
          <t>2006-11-18</t>
        </is>
      </c>
      <c r="W343" t="inlineStr">
        <is>
          <t>1996-05-06</t>
        </is>
      </c>
      <c r="X343" t="inlineStr">
        <is>
          <t>1996-05-06</t>
        </is>
      </c>
      <c r="Y343" t="n">
        <v>805</v>
      </c>
      <c r="Z343" t="n">
        <v>661</v>
      </c>
      <c r="AA343" t="n">
        <v>985</v>
      </c>
      <c r="AB343" t="n">
        <v>3</v>
      </c>
      <c r="AC343" t="n">
        <v>5</v>
      </c>
      <c r="AD343" t="n">
        <v>28</v>
      </c>
      <c r="AE343" t="n">
        <v>32</v>
      </c>
      <c r="AF343" t="n">
        <v>13</v>
      </c>
      <c r="AG343" t="n">
        <v>16</v>
      </c>
      <c r="AH343" t="n">
        <v>5</v>
      </c>
      <c r="AI343" t="n">
        <v>5</v>
      </c>
      <c r="AJ343" t="n">
        <v>13</v>
      </c>
      <c r="AK343" t="n">
        <v>14</v>
      </c>
      <c r="AL343" t="n">
        <v>2</v>
      </c>
      <c r="AM343" t="n">
        <v>3</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HYPERLINK("https://creighton-primo.hosted.exlibrisgroup.com/primo-explore/search?tab=default_tab&amp;search_scope=EVERYTHING&amp;vid=01CRU&amp;lang=en_US&amp;offset=0&amp;query=any,contains,991002513729702656","Catalog Record")</f>
        <v/>
      </c>
      <c r="AT343">
        <f>HYPERLINK("http://www.worldcat.org/oclc/32697722","WorldCat Record")</f>
        <v/>
      </c>
      <c r="AU343" t="inlineStr">
        <is>
          <t>986450:eng</t>
        </is>
      </c>
      <c r="AV343" t="inlineStr">
        <is>
          <t>32697722</t>
        </is>
      </c>
      <c r="AW343" t="inlineStr">
        <is>
          <t>991002513729702656</t>
        </is>
      </c>
      <c r="AX343" t="inlineStr">
        <is>
          <t>991002513729702656</t>
        </is>
      </c>
      <c r="AY343" t="inlineStr">
        <is>
          <t>2264911500002656</t>
        </is>
      </c>
      <c r="AZ343" t="inlineStr">
        <is>
          <t>BOOK</t>
        </is>
      </c>
      <c r="BB343" t="inlineStr">
        <is>
          <t>9780195098679</t>
        </is>
      </c>
      <c r="BC343" t="inlineStr">
        <is>
          <t>32285002159308</t>
        </is>
      </c>
      <c r="BD343" t="inlineStr">
        <is>
          <t>893239149</t>
        </is>
      </c>
    </row>
    <row r="344">
      <c r="A344" t="inlineStr">
        <is>
          <t>No</t>
        </is>
      </c>
      <c r="B344" t="inlineStr">
        <is>
          <t>GE140 .K36 2001</t>
        </is>
      </c>
      <c r="C344" t="inlineStr">
        <is>
          <t>0                      GE 0140000K  36          2001</t>
        </is>
      </c>
      <c r="D344" t="inlineStr">
        <is>
          <t>Triumph of the mundane : the unseen trends that shape our lives and environment / Hal Kane.</t>
        </is>
      </c>
      <c r="F344" t="inlineStr">
        <is>
          <t>No</t>
        </is>
      </c>
      <c r="G344" t="inlineStr">
        <is>
          <t>1</t>
        </is>
      </c>
      <c r="H344" t="inlineStr">
        <is>
          <t>No</t>
        </is>
      </c>
      <c r="I344" t="inlineStr">
        <is>
          <t>No</t>
        </is>
      </c>
      <c r="J344" t="inlineStr">
        <is>
          <t>0</t>
        </is>
      </c>
      <c r="K344" t="inlineStr">
        <is>
          <t>Kane, Hal.</t>
        </is>
      </c>
      <c r="L344" t="inlineStr">
        <is>
          <t>Washington, D.C. : Island Press, c2001.</t>
        </is>
      </c>
      <c r="M344" t="inlineStr">
        <is>
          <t>2001</t>
        </is>
      </c>
      <c r="O344" t="inlineStr">
        <is>
          <t>eng</t>
        </is>
      </c>
      <c r="P344" t="inlineStr">
        <is>
          <t>dcu</t>
        </is>
      </c>
      <c r="R344" t="inlineStr">
        <is>
          <t xml:space="preserve">GE </t>
        </is>
      </c>
      <c r="S344" t="n">
        <v>2</v>
      </c>
      <c r="T344" t="n">
        <v>2</v>
      </c>
      <c r="U344" t="inlineStr">
        <is>
          <t>2004-10-24</t>
        </is>
      </c>
      <c r="V344" t="inlineStr">
        <is>
          <t>2004-10-24</t>
        </is>
      </c>
      <c r="W344" t="inlineStr">
        <is>
          <t>2001-01-10</t>
        </is>
      </c>
      <c r="X344" t="inlineStr">
        <is>
          <t>2001-01-10</t>
        </is>
      </c>
      <c r="Y344" t="n">
        <v>471</v>
      </c>
      <c r="Z344" t="n">
        <v>433</v>
      </c>
      <c r="AA344" t="n">
        <v>441</v>
      </c>
      <c r="AB344" t="n">
        <v>2</v>
      </c>
      <c r="AC344" t="n">
        <v>2</v>
      </c>
      <c r="AD344" t="n">
        <v>11</v>
      </c>
      <c r="AE344" t="n">
        <v>11</v>
      </c>
      <c r="AF344" t="n">
        <v>3</v>
      </c>
      <c r="AG344" t="n">
        <v>3</v>
      </c>
      <c r="AH344" t="n">
        <v>4</v>
      </c>
      <c r="AI344" t="n">
        <v>4</v>
      </c>
      <c r="AJ344" t="n">
        <v>6</v>
      </c>
      <c r="AK344" t="n">
        <v>6</v>
      </c>
      <c r="AL344" t="n">
        <v>1</v>
      </c>
      <c r="AM344" t="n">
        <v>1</v>
      </c>
      <c r="AN344" t="n">
        <v>0</v>
      </c>
      <c r="AO344" t="n">
        <v>0</v>
      </c>
      <c r="AP344" t="inlineStr">
        <is>
          <t>No</t>
        </is>
      </c>
      <c r="AQ344" t="inlineStr">
        <is>
          <t>Yes</t>
        </is>
      </c>
      <c r="AR344">
        <f>HYPERLINK("http://catalog.hathitrust.org/Record/004137684","HathiTrust Record")</f>
        <v/>
      </c>
      <c r="AS344">
        <f>HYPERLINK("https://creighton-primo.hosted.exlibrisgroup.com/primo-explore/search?tab=default_tab&amp;search_scope=EVERYTHING&amp;vid=01CRU&amp;lang=en_US&amp;offset=0&amp;query=any,contains,991003450869702656","Catalog Record")</f>
        <v/>
      </c>
      <c r="AT344">
        <f>HYPERLINK("http://www.worldcat.org/oclc/45123210","WorldCat Record")</f>
        <v/>
      </c>
      <c r="AU344" t="inlineStr">
        <is>
          <t>340762891:eng</t>
        </is>
      </c>
      <c r="AV344" t="inlineStr">
        <is>
          <t>45123210</t>
        </is>
      </c>
      <c r="AW344" t="inlineStr">
        <is>
          <t>991003450869702656</t>
        </is>
      </c>
      <c r="AX344" t="inlineStr">
        <is>
          <t>991003450869702656</t>
        </is>
      </c>
      <c r="AY344" t="inlineStr">
        <is>
          <t>2254796280002656</t>
        </is>
      </c>
      <c r="AZ344" t="inlineStr">
        <is>
          <t>BOOK</t>
        </is>
      </c>
      <c r="BB344" t="inlineStr">
        <is>
          <t>9781559637152</t>
        </is>
      </c>
      <c r="BC344" t="inlineStr">
        <is>
          <t>32285004281977</t>
        </is>
      </c>
      <c r="BD344" t="inlineStr">
        <is>
          <t>893499299</t>
        </is>
      </c>
    </row>
    <row r="345">
      <c r="A345" t="inlineStr">
        <is>
          <t>No</t>
        </is>
      </c>
      <c r="B345" t="inlineStr">
        <is>
          <t>GE140 .P56 2001</t>
        </is>
      </c>
      <c r="C345" t="inlineStr">
        <is>
          <t>0                      GE 0140000P  56          2001</t>
        </is>
      </c>
      <c r="D345" t="inlineStr">
        <is>
          <t>The world according to Pimm : a scientist audits the Earth / Stuart L. Pimm.</t>
        </is>
      </c>
      <c r="F345" t="inlineStr">
        <is>
          <t>No</t>
        </is>
      </c>
      <c r="G345" t="inlineStr">
        <is>
          <t>1</t>
        </is>
      </c>
      <c r="H345" t="inlineStr">
        <is>
          <t>No</t>
        </is>
      </c>
      <c r="I345" t="inlineStr">
        <is>
          <t>No</t>
        </is>
      </c>
      <c r="J345" t="inlineStr">
        <is>
          <t>0</t>
        </is>
      </c>
      <c r="K345" t="inlineStr">
        <is>
          <t>Pimm, Stuart L. (Stuart Leonard)</t>
        </is>
      </c>
      <c r="L345" t="inlineStr">
        <is>
          <t>New York : McGraw-Hill, c2001.</t>
        </is>
      </c>
      <c r="M345" t="inlineStr">
        <is>
          <t>2001</t>
        </is>
      </c>
      <c r="O345" t="inlineStr">
        <is>
          <t>eng</t>
        </is>
      </c>
      <c r="P345" t="inlineStr">
        <is>
          <t>nyu</t>
        </is>
      </c>
      <c r="R345" t="inlineStr">
        <is>
          <t xml:space="preserve">GE </t>
        </is>
      </c>
      <c r="S345" t="n">
        <v>3</v>
      </c>
      <c r="T345" t="n">
        <v>3</v>
      </c>
      <c r="U345" t="inlineStr">
        <is>
          <t>2007-11-01</t>
        </is>
      </c>
      <c r="V345" t="inlineStr">
        <is>
          <t>2007-11-01</t>
        </is>
      </c>
      <c r="W345" t="inlineStr">
        <is>
          <t>2002-10-30</t>
        </is>
      </c>
      <c r="X345" t="inlineStr">
        <is>
          <t>2002-10-30</t>
        </is>
      </c>
      <c r="Y345" t="n">
        <v>896</v>
      </c>
      <c r="Z345" t="n">
        <v>803</v>
      </c>
      <c r="AA345" t="n">
        <v>808</v>
      </c>
      <c r="AB345" t="n">
        <v>4</v>
      </c>
      <c r="AC345" t="n">
        <v>4</v>
      </c>
      <c r="AD345" t="n">
        <v>23</v>
      </c>
      <c r="AE345" t="n">
        <v>23</v>
      </c>
      <c r="AF345" t="n">
        <v>11</v>
      </c>
      <c r="AG345" t="n">
        <v>11</v>
      </c>
      <c r="AH345" t="n">
        <v>5</v>
      </c>
      <c r="AI345" t="n">
        <v>5</v>
      </c>
      <c r="AJ345" t="n">
        <v>10</v>
      </c>
      <c r="AK345" t="n">
        <v>10</v>
      </c>
      <c r="AL345" t="n">
        <v>3</v>
      </c>
      <c r="AM345" t="n">
        <v>3</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HYPERLINK("https://creighton-primo.hosted.exlibrisgroup.com/primo-explore/search?tab=default_tab&amp;search_scope=EVERYTHING&amp;vid=01CRU&amp;lang=en_US&amp;offset=0&amp;query=any,contains,991003922779702656","Catalog Record")</f>
        <v/>
      </c>
      <c r="AT345">
        <f>HYPERLINK("http://www.worldcat.org/oclc/46314854","WorldCat Record")</f>
        <v/>
      </c>
      <c r="AU345" t="inlineStr">
        <is>
          <t>14005586:eng</t>
        </is>
      </c>
      <c r="AV345" t="inlineStr">
        <is>
          <t>46314854</t>
        </is>
      </c>
      <c r="AW345" t="inlineStr">
        <is>
          <t>991003922779702656</t>
        </is>
      </c>
      <c r="AX345" t="inlineStr">
        <is>
          <t>991003922779702656</t>
        </is>
      </c>
      <c r="AY345" t="inlineStr">
        <is>
          <t>2258722000002656</t>
        </is>
      </c>
      <c r="AZ345" t="inlineStr">
        <is>
          <t>BOOK</t>
        </is>
      </c>
      <c r="BB345" t="inlineStr">
        <is>
          <t>9780071374903</t>
        </is>
      </c>
      <c r="BC345" t="inlineStr">
        <is>
          <t>32285004659834</t>
        </is>
      </c>
      <c r="BD345" t="inlineStr">
        <is>
          <t>893535713</t>
        </is>
      </c>
    </row>
    <row r="346">
      <c r="A346" t="inlineStr">
        <is>
          <t>No</t>
        </is>
      </c>
      <c r="B346" t="inlineStr">
        <is>
          <t>GE140 .P74 2001</t>
        </is>
      </c>
      <c r="C346" t="inlineStr">
        <is>
          <t>0                      GE 0140000P  74          2001</t>
        </is>
      </c>
      <c r="D346" t="inlineStr">
        <is>
          <t>The wellbeing of nations : a country-by-country index of quality of life and the environment / Robert Prescott-Allen ; in cooperation with International Development Research Centre ... [et. al.].</t>
        </is>
      </c>
      <c r="F346" t="inlineStr">
        <is>
          <t>No</t>
        </is>
      </c>
      <c r="G346" t="inlineStr">
        <is>
          <t>1</t>
        </is>
      </c>
      <c r="H346" t="inlineStr">
        <is>
          <t>No</t>
        </is>
      </c>
      <c r="I346" t="inlineStr">
        <is>
          <t>No</t>
        </is>
      </c>
      <c r="J346" t="inlineStr">
        <is>
          <t>0</t>
        </is>
      </c>
      <c r="K346" t="inlineStr">
        <is>
          <t>Prescott-Allen, Robert, 1942-</t>
        </is>
      </c>
      <c r="L346" t="inlineStr">
        <is>
          <t>Washington [D.C.] : Island Press, c2001.</t>
        </is>
      </c>
      <c r="M346" t="inlineStr">
        <is>
          <t>2001</t>
        </is>
      </c>
      <c r="O346" t="inlineStr">
        <is>
          <t>eng</t>
        </is>
      </c>
      <c r="P346" t="inlineStr">
        <is>
          <t>dcu</t>
        </is>
      </c>
      <c r="R346" t="inlineStr">
        <is>
          <t xml:space="preserve">GE </t>
        </is>
      </c>
      <c r="S346" t="n">
        <v>2</v>
      </c>
      <c r="T346" t="n">
        <v>2</v>
      </c>
      <c r="U346" t="inlineStr">
        <is>
          <t>2004-10-24</t>
        </is>
      </c>
      <c r="V346" t="inlineStr">
        <is>
          <t>2004-10-24</t>
        </is>
      </c>
      <c r="W346" t="inlineStr">
        <is>
          <t>2002-01-14</t>
        </is>
      </c>
      <c r="X346" t="inlineStr">
        <is>
          <t>2002-01-14</t>
        </is>
      </c>
      <c r="Y346" t="n">
        <v>506</v>
      </c>
      <c r="Z346" t="n">
        <v>345</v>
      </c>
      <c r="AA346" t="n">
        <v>354</v>
      </c>
      <c r="AB346" t="n">
        <v>2</v>
      </c>
      <c r="AC346" t="n">
        <v>2</v>
      </c>
      <c r="AD346" t="n">
        <v>12</v>
      </c>
      <c r="AE346" t="n">
        <v>12</v>
      </c>
      <c r="AF346" t="n">
        <v>2</v>
      </c>
      <c r="AG346" t="n">
        <v>2</v>
      </c>
      <c r="AH346" t="n">
        <v>6</v>
      </c>
      <c r="AI346" t="n">
        <v>6</v>
      </c>
      <c r="AJ346" t="n">
        <v>6</v>
      </c>
      <c r="AK346" t="n">
        <v>6</v>
      </c>
      <c r="AL346" t="n">
        <v>1</v>
      </c>
      <c r="AM346" t="n">
        <v>1</v>
      </c>
      <c r="AN346" t="n">
        <v>0</v>
      </c>
      <c r="AO346" t="n">
        <v>0</v>
      </c>
      <c r="AP346" t="inlineStr">
        <is>
          <t>No</t>
        </is>
      </c>
      <c r="AQ346" t="inlineStr">
        <is>
          <t>Yes</t>
        </is>
      </c>
      <c r="AR346">
        <f>HYPERLINK("http://catalog.hathitrust.org/Record/004210438","HathiTrust Record")</f>
        <v/>
      </c>
      <c r="AS346">
        <f>HYPERLINK("https://creighton-primo.hosted.exlibrisgroup.com/primo-explore/search?tab=default_tab&amp;search_scope=EVERYTHING&amp;vid=01CRU&amp;lang=en_US&amp;offset=0&amp;query=any,contains,991003611709702656","Catalog Record")</f>
        <v/>
      </c>
      <c r="AT346">
        <f>HYPERLINK("http://www.worldcat.org/oclc/47766972","WorldCat Record")</f>
        <v/>
      </c>
      <c r="AU346" t="inlineStr">
        <is>
          <t>293028867:eng</t>
        </is>
      </c>
      <c r="AV346" t="inlineStr">
        <is>
          <t>47766972</t>
        </is>
      </c>
      <c r="AW346" t="inlineStr">
        <is>
          <t>991003611709702656</t>
        </is>
      </c>
      <c r="AX346" t="inlineStr">
        <is>
          <t>991003611709702656</t>
        </is>
      </c>
      <c r="AY346" t="inlineStr">
        <is>
          <t>2255650940002656</t>
        </is>
      </c>
      <c r="AZ346" t="inlineStr">
        <is>
          <t>BOOK</t>
        </is>
      </c>
      <c r="BB346" t="inlineStr">
        <is>
          <t>9780889369559</t>
        </is>
      </c>
      <c r="BC346" t="inlineStr">
        <is>
          <t>32285004428495</t>
        </is>
      </c>
      <c r="BD346" t="inlineStr">
        <is>
          <t>893686720</t>
        </is>
      </c>
    </row>
    <row r="347">
      <c r="A347" t="inlineStr">
        <is>
          <t>No</t>
        </is>
      </c>
      <c r="B347" t="inlineStr">
        <is>
          <t>GE140 .R46 1996</t>
        </is>
      </c>
      <c r="C347" t="inlineStr">
        <is>
          <t>0                      GE 0140000R  46          1996</t>
        </is>
      </c>
      <c r="D347" t="inlineStr">
        <is>
          <t>Fighting for survival : environmental decline, social conflict, and the new age of insecurity / Michael Renner.</t>
        </is>
      </c>
      <c r="F347" t="inlineStr">
        <is>
          <t>No</t>
        </is>
      </c>
      <c r="G347" t="inlineStr">
        <is>
          <t>1</t>
        </is>
      </c>
      <c r="H347" t="inlineStr">
        <is>
          <t>No</t>
        </is>
      </c>
      <c r="I347" t="inlineStr">
        <is>
          <t>No</t>
        </is>
      </c>
      <c r="J347" t="inlineStr">
        <is>
          <t>0</t>
        </is>
      </c>
      <c r="K347" t="inlineStr">
        <is>
          <t>Renner, Michael, 1957-</t>
        </is>
      </c>
      <c r="L347" t="inlineStr">
        <is>
          <t>New York : Norton, c1996.</t>
        </is>
      </c>
      <c r="M347" t="inlineStr">
        <is>
          <t>1996</t>
        </is>
      </c>
      <c r="N347" t="inlineStr">
        <is>
          <t>1st ed.</t>
        </is>
      </c>
      <c r="O347" t="inlineStr">
        <is>
          <t>eng</t>
        </is>
      </c>
      <c r="P347" t="inlineStr">
        <is>
          <t>nyu</t>
        </is>
      </c>
      <c r="Q347" t="inlineStr">
        <is>
          <t>Worldwatch environmental alert series</t>
        </is>
      </c>
      <c r="R347" t="inlineStr">
        <is>
          <t xml:space="preserve">GE </t>
        </is>
      </c>
      <c r="S347" t="n">
        <v>12</v>
      </c>
      <c r="T347" t="n">
        <v>12</v>
      </c>
      <c r="U347" t="inlineStr">
        <is>
          <t>2007-10-10</t>
        </is>
      </c>
      <c r="V347" t="inlineStr">
        <is>
          <t>2007-10-10</t>
        </is>
      </c>
      <c r="W347" t="inlineStr">
        <is>
          <t>1997-04-24</t>
        </is>
      </c>
      <c r="X347" t="inlineStr">
        <is>
          <t>1997-04-24</t>
        </is>
      </c>
      <c r="Y347" t="n">
        <v>727</v>
      </c>
      <c r="Z347" t="n">
        <v>617</v>
      </c>
      <c r="AA347" t="n">
        <v>621</v>
      </c>
      <c r="AB347" t="n">
        <v>6</v>
      </c>
      <c r="AC347" t="n">
        <v>6</v>
      </c>
      <c r="AD347" t="n">
        <v>23</v>
      </c>
      <c r="AE347" t="n">
        <v>23</v>
      </c>
      <c r="AF347" t="n">
        <v>7</v>
      </c>
      <c r="AG347" t="n">
        <v>7</v>
      </c>
      <c r="AH347" t="n">
        <v>6</v>
      </c>
      <c r="AI347" t="n">
        <v>6</v>
      </c>
      <c r="AJ347" t="n">
        <v>11</v>
      </c>
      <c r="AK347" t="n">
        <v>11</v>
      </c>
      <c r="AL347" t="n">
        <v>5</v>
      </c>
      <c r="AM347" t="n">
        <v>5</v>
      </c>
      <c r="AN347" t="n">
        <v>1</v>
      </c>
      <c r="AO347" t="n">
        <v>1</v>
      </c>
      <c r="AP347" t="inlineStr">
        <is>
          <t>No</t>
        </is>
      </c>
      <c r="AQ347" t="inlineStr">
        <is>
          <t>No</t>
        </is>
      </c>
      <c r="AS347">
        <f>HYPERLINK("https://creighton-primo.hosted.exlibrisgroup.com/primo-explore/search?tab=default_tab&amp;search_scope=EVERYTHING&amp;vid=01CRU&amp;lang=en_US&amp;offset=0&amp;query=any,contains,991002735409702656","Catalog Record")</f>
        <v/>
      </c>
      <c r="AT347">
        <f>HYPERLINK("http://www.worldcat.org/oclc/35906639","WorldCat Record")</f>
        <v/>
      </c>
      <c r="AU347" t="inlineStr">
        <is>
          <t>892351199:eng</t>
        </is>
      </c>
      <c r="AV347" t="inlineStr">
        <is>
          <t>35906639</t>
        </is>
      </c>
      <c r="AW347" t="inlineStr">
        <is>
          <t>991002735409702656</t>
        </is>
      </c>
      <c r="AX347" t="inlineStr">
        <is>
          <t>991002735409702656</t>
        </is>
      </c>
      <c r="AY347" t="inlineStr">
        <is>
          <t>2258330580002656</t>
        </is>
      </c>
      <c r="AZ347" t="inlineStr">
        <is>
          <t>BOOK</t>
        </is>
      </c>
      <c r="BB347" t="inlineStr">
        <is>
          <t>9780393039962</t>
        </is>
      </c>
      <c r="BC347" t="inlineStr">
        <is>
          <t>32285002540580</t>
        </is>
      </c>
      <c r="BD347" t="inlineStr">
        <is>
          <t>893603945</t>
        </is>
      </c>
    </row>
    <row r="348">
      <c r="A348" t="inlineStr">
        <is>
          <t>No</t>
        </is>
      </c>
      <c r="B348" t="inlineStr">
        <is>
          <t>GE140 .R66 2000</t>
        </is>
      </c>
      <c r="C348" t="inlineStr">
        <is>
          <t>0                      GE 0140000R  66          2000</t>
        </is>
      </c>
      <c r="D348" t="inlineStr">
        <is>
          <t>The root causes of biodiversity loss / edited by Alexander Wood, Pamela Stedman-Edwards, and Johanna Mang.</t>
        </is>
      </c>
      <c r="F348" t="inlineStr">
        <is>
          <t>No</t>
        </is>
      </c>
      <c r="G348" t="inlineStr">
        <is>
          <t>1</t>
        </is>
      </c>
      <c r="H348" t="inlineStr">
        <is>
          <t>No</t>
        </is>
      </c>
      <c r="I348" t="inlineStr">
        <is>
          <t>No</t>
        </is>
      </c>
      <c r="J348" t="inlineStr">
        <is>
          <t>0</t>
        </is>
      </c>
      <c r="L348" t="inlineStr">
        <is>
          <t>London ; Sterling, VA : Earthscan, 2000.</t>
        </is>
      </c>
      <c r="M348" t="inlineStr">
        <is>
          <t>2000</t>
        </is>
      </c>
      <c r="O348" t="inlineStr">
        <is>
          <t>eng</t>
        </is>
      </c>
      <c r="P348" t="inlineStr">
        <is>
          <t>enk</t>
        </is>
      </c>
      <c r="R348" t="inlineStr">
        <is>
          <t xml:space="preserve">GE </t>
        </is>
      </c>
      <c r="S348" t="n">
        <v>3</v>
      </c>
      <c r="T348" t="n">
        <v>3</v>
      </c>
      <c r="U348" t="inlineStr">
        <is>
          <t>2007-04-03</t>
        </is>
      </c>
      <c r="V348" t="inlineStr">
        <is>
          <t>2007-04-03</t>
        </is>
      </c>
      <c r="W348" t="inlineStr">
        <is>
          <t>2002-02-04</t>
        </is>
      </c>
      <c r="X348" t="inlineStr">
        <is>
          <t>2002-02-04</t>
        </is>
      </c>
      <c r="Y348" t="n">
        <v>527</v>
      </c>
      <c r="Z348" t="n">
        <v>362</v>
      </c>
      <c r="AA348" t="n">
        <v>864</v>
      </c>
      <c r="AB348" t="n">
        <v>5</v>
      </c>
      <c r="AC348" t="n">
        <v>6</v>
      </c>
      <c r="AD348" t="n">
        <v>18</v>
      </c>
      <c r="AE348" t="n">
        <v>23</v>
      </c>
      <c r="AF348" t="n">
        <v>5</v>
      </c>
      <c r="AG348" t="n">
        <v>9</v>
      </c>
      <c r="AH348" t="n">
        <v>4</v>
      </c>
      <c r="AI348" t="n">
        <v>4</v>
      </c>
      <c r="AJ348" t="n">
        <v>9</v>
      </c>
      <c r="AK348" t="n">
        <v>9</v>
      </c>
      <c r="AL348" t="n">
        <v>4</v>
      </c>
      <c r="AM348" t="n">
        <v>5</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HYPERLINK("https://creighton-primo.hosted.exlibrisgroup.com/primo-explore/search?tab=default_tab&amp;search_scope=EVERYTHING&amp;vid=01CRU&amp;lang=en_US&amp;offset=0&amp;query=any,contains,991003662029702656","Catalog Record")</f>
        <v/>
      </c>
      <c r="AT348">
        <f>HYPERLINK("http://www.worldcat.org/oclc/43969026","WorldCat Record")</f>
        <v/>
      </c>
      <c r="AU348" t="inlineStr">
        <is>
          <t>407487764:eng</t>
        </is>
      </c>
      <c r="AV348" t="inlineStr">
        <is>
          <t>43969026</t>
        </is>
      </c>
      <c r="AW348" t="inlineStr">
        <is>
          <t>991003662029702656</t>
        </is>
      </c>
      <c r="AX348" t="inlineStr">
        <is>
          <t>991003662029702656</t>
        </is>
      </c>
      <c r="AY348" t="inlineStr">
        <is>
          <t>2255556090002656</t>
        </is>
      </c>
      <c r="AZ348" t="inlineStr">
        <is>
          <t>BOOK</t>
        </is>
      </c>
      <c r="BB348" t="inlineStr">
        <is>
          <t>9781853836992</t>
        </is>
      </c>
      <c r="BC348" t="inlineStr">
        <is>
          <t>32285004451786</t>
        </is>
      </c>
      <c r="BD348" t="inlineStr">
        <is>
          <t>893800004</t>
        </is>
      </c>
    </row>
    <row r="349">
      <c r="A349" t="inlineStr">
        <is>
          <t>No</t>
        </is>
      </c>
      <c r="B349" t="inlineStr">
        <is>
          <t>GE145 .B33 1994</t>
        </is>
      </c>
      <c r="C349" t="inlineStr">
        <is>
          <t>0                      GE 0145000B  33          1994</t>
        </is>
      </c>
      <c r="D349" t="inlineStr">
        <is>
          <t>Ecotoxicology of organic contaminants / Eros Bacci.</t>
        </is>
      </c>
      <c r="F349" t="inlineStr">
        <is>
          <t>No</t>
        </is>
      </c>
      <c r="G349" t="inlineStr">
        <is>
          <t>1</t>
        </is>
      </c>
      <c r="H349" t="inlineStr">
        <is>
          <t>No</t>
        </is>
      </c>
      <c r="I349" t="inlineStr">
        <is>
          <t>No</t>
        </is>
      </c>
      <c r="J349" t="inlineStr">
        <is>
          <t>0</t>
        </is>
      </c>
      <c r="K349" t="inlineStr">
        <is>
          <t>Bacci, Eros.</t>
        </is>
      </c>
      <c r="L349" t="inlineStr">
        <is>
          <t>Boca Raton : Lewis Publishers, c1994.</t>
        </is>
      </c>
      <c r="M349" t="inlineStr">
        <is>
          <t>1994</t>
        </is>
      </c>
      <c r="O349" t="inlineStr">
        <is>
          <t>eng</t>
        </is>
      </c>
      <c r="P349" t="inlineStr">
        <is>
          <t>flu</t>
        </is>
      </c>
      <c r="R349" t="inlineStr">
        <is>
          <t xml:space="preserve">GE </t>
        </is>
      </c>
      <c r="S349" t="n">
        <v>1</v>
      </c>
      <c r="T349" t="n">
        <v>1</v>
      </c>
      <c r="U349" t="inlineStr">
        <is>
          <t>2008-01-19</t>
        </is>
      </c>
      <c r="V349" t="inlineStr">
        <is>
          <t>2008-01-19</t>
        </is>
      </c>
      <c r="W349" t="inlineStr">
        <is>
          <t>1997-01-23</t>
        </is>
      </c>
      <c r="X349" t="inlineStr">
        <is>
          <t>1997-01-23</t>
        </is>
      </c>
      <c r="Y349" t="n">
        <v>192</v>
      </c>
      <c r="Z349" t="n">
        <v>131</v>
      </c>
      <c r="AA349" t="n">
        <v>132</v>
      </c>
      <c r="AB349" t="n">
        <v>2</v>
      </c>
      <c r="AC349" t="n">
        <v>2</v>
      </c>
      <c r="AD349" t="n">
        <v>6</v>
      </c>
      <c r="AE349" t="n">
        <v>6</v>
      </c>
      <c r="AF349" t="n">
        <v>2</v>
      </c>
      <c r="AG349" t="n">
        <v>2</v>
      </c>
      <c r="AH349" t="n">
        <v>2</v>
      </c>
      <c r="AI349" t="n">
        <v>2</v>
      </c>
      <c r="AJ349" t="n">
        <v>2</v>
      </c>
      <c r="AK349" t="n">
        <v>2</v>
      </c>
      <c r="AL349" t="n">
        <v>1</v>
      </c>
      <c r="AM349" t="n">
        <v>1</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HYPERLINK("https://creighton-primo.hosted.exlibrisgroup.com/primo-explore/search?tab=default_tab&amp;search_scope=EVERYTHING&amp;vid=01CRU&amp;lang=en_US&amp;offset=0&amp;query=any,contains,991002198979702656","Catalog Record")</f>
        <v/>
      </c>
      <c r="AT349">
        <f>HYPERLINK("http://www.worldcat.org/oclc/28291155","WorldCat Record")</f>
        <v/>
      </c>
      <c r="AU349" t="inlineStr">
        <is>
          <t>30927935:eng</t>
        </is>
      </c>
      <c r="AV349" t="inlineStr">
        <is>
          <t>28291155</t>
        </is>
      </c>
      <c r="AW349" t="inlineStr">
        <is>
          <t>991002198979702656</t>
        </is>
      </c>
      <c r="AX349" t="inlineStr">
        <is>
          <t>991002198979702656</t>
        </is>
      </c>
      <c r="AY349" t="inlineStr">
        <is>
          <t>2257948120002656</t>
        </is>
      </c>
      <c r="AZ349" t="inlineStr">
        <is>
          <t>BOOK</t>
        </is>
      </c>
      <c r="BB349" t="inlineStr">
        <is>
          <t>9781566700221</t>
        </is>
      </c>
      <c r="BC349" t="inlineStr">
        <is>
          <t>32285002410800</t>
        </is>
      </c>
      <c r="BD349" t="inlineStr">
        <is>
          <t>893335044</t>
        </is>
      </c>
    </row>
    <row r="350">
      <c r="A350" t="inlineStr">
        <is>
          <t>No</t>
        </is>
      </c>
      <c r="B350" t="inlineStr">
        <is>
          <t>GE149 .G547 2003</t>
        </is>
      </c>
      <c r="C350" t="inlineStr">
        <is>
          <t>0                      GE 0149000G  547         2003</t>
        </is>
      </c>
      <c r="D350" t="inlineStr">
        <is>
          <t>Global environmental challenges of the twenty-first century : resources, consumption, and sustainable solutions / edited by David E. Lorey.</t>
        </is>
      </c>
      <c r="F350" t="inlineStr">
        <is>
          <t>No</t>
        </is>
      </c>
      <c r="G350" t="inlineStr">
        <is>
          <t>1</t>
        </is>
      </c>
      <c r="H350" t="inlineStr">
        <is>
          <t>No</t>
        </is>
      </c>
      <c r="I350" t="inlineStr">
        <is>
          <t>No</t>
        </is>
      </c>
      <c r="J350" t="inlineStr">
        <is>
          <t>0</t>
        </is>
      </c>
      <c r="L350" t="inlineStr">
        <is>
          <t>Wilmington, Del. : SR Books, c2003.</t>
        </is>
      </c>
      <c r="M350" t="inlineStr">
        <is>
          <t>2003</t>
        </is>
      </c>
      <c r="O350" t="inlineStr">
        <is>
          <t>eng</t>
        </is>
      </c>
      <c r="P350" t="inlineStr">
        <is>
          <t>deu</t>
        </is>
      </c>
      <c r="Q350" t="inlineStr">
        <is>
          <t>The world beat series ; no. 3</t>
        </is>
      </c>
      <c r="R350" t="inlineStr">
        <is>
          <t xml:space="preserve">GE </t>
        </is>
      </c>
      <c r="S350" t="n">
        <v>6</v>
      </c>
      <c r="T350" t="n">
        <v>6</v>
      </c>
      <c r="U350" t="inlineStr">
        <is>
          <t>2008-11-08</t>
        </is>
      </c>
      <c r="V350" t="inlineStr">
        <is>
          <t>2008-11-08</t>
        </is>
      </c>
      <c r="W350" t="inlineStr">
        <is>
          <t>2003-03-06</t>
        </is>
      </c>
      <c r="X350" t="inlineStr">
        <is>
          <t>2003-03-06</t>
        </is>
      </c>
      <c r="Y350" t="n">
        <v>255</v>
      </c>
      <c r="Z350" t="n">
        <v>209</v>
      </c>
      <c r="AA350" t="n">
        <v>233</v>
      </c>
      <c r="AB350" t="n">
        <v>3</v>
      </c>
      <c r="AC350" t="n">
        <v>3</v>
      </c>
      <c r="AD350" t="n">
        <v>8</v>
      </c>
      <c r="AE350" t="n">
        <v>9</v>
      </c>
      <c r="AF350" t="n">
        <v>2</v>
      </c>
      <c r="AG350" t="n">
        <v>3</v>
      </c>
      <c r="AH350" t="n">
        <v>3</v>
      </c>
      <c r="AI350" t="n">
        <v>4</v>
      </c>
      <c r="AJ350" t="n">
        <v>4</v>
      </c>
      <c r="AK350" t="n">
        <v>4</v>
      </c>
      <c r="AL350" t="n">
        <v>2</v>
      </c>
      <c r="AM350" t="n">
        <v>2</v>
      </c>
      <c r="AN350" t="n">
        <v>0</v>
      </c>
      <c r="AO350" t="n">
        <v>0</v>
      </c>
      <c r="AP350" t="inlineStr">
        <is>
          <t>No</t>
        </is>
      </c>
      <c r="AQ350" t="inlineStr">
        <is>
          <t>Yes</t>
        </is>
      </c>
      <c r="AR350">
        <f>HYPERLINK("http://catalog.hathitrust.org/Record/004293323","HathiTrust Record")</f>
        <v/>
      </c>
      <c r="AS350">
        <f>HYPERLINK("https://creighton-primo.hosted.exlibrisgroup.com/primo-explore/search?tab=default_tab&amp;search_scope=EVERYTHING&amp;vid=01CRU&amp;lang=en_US&amp;offset=0&amp;query=any,contains,991003968549702656","Catalog Record")</f>
        <v/>
      </c>
      <c r="AT350">
        <f>HYPERLINK("http://www.worldcat.org/oclc/50023696","WorldCat Record")</f>
        <v/>
      </c>
      <c r="AU350" t="inlineStr">
        <is>
          <t>890673046:eng</t>
        </is>
      </c>
      <c r="AV350" t="inlineStr">
        <is>
          <t>50023696</t>
        </is>
      </c>
      <c r="AW350" t="inlineStr">
        <is>
          <t>991003968549702656</t>
        </is>
      </c>
      <c r="AX350" t="inlineStr">
        <is>
          <t>991003968549702656</t>
        </is>
      </c>
      <c r="AY350" t="inlineStr">
        <is>
          <t>2259363510002656</t>
        </is>
      </c>
      <c r="AZ350" t="inlineStr">
        <is>
          <t>BOOK</t>
        </is>
      </c>
      <c r="BB350" t="inlineStr">
        <is>
          <t>9780842050487</t>
        </is>
      </c>
      <c r="BC350" t="inlineStr">
        <is>
          <t>32285004683453</t>
        </is>
      </c>
      <c r="BD350" t="inlineStr">
        <is>
          <t>893324772</t>
        </is>
      </c>
    </row>
    <row r="351">
      <c r="A351" t="inlineStr">
        <is>
          <t>No</t>
        </is>
      </c>
      <c r="B351" t="inlineStr">
        <is>
          <t>GE149 .L3513 2007</t>
        </is>
      </c>
      <c r="C351" t="inlineStr">
        <is>
          <t>0                      GE 0149000L  3513        2007</t>
        </is>
      </c>
      <c r="D351" t="inlineStr">
        <is>
          <t>The middle path : avoiding environmental catastrophe / Eric Lambin ; translated by M.B. DeBevoise.</t>
        </is>
      </c>
      <c r="F351" t="inlineStr">
        <is>
          <t>No</t>
        </is>
      </c>
      <c r="G351" t="inlineStr">
        <is>
          <t>1</t>
        </is>
      </c>
      <c r="H351" t="inlineStr">
        <is>
          <t>No</t>
        </is>
      </c>
      <c r="I351" t="inlineStr">
        <is>
          <t>No</t>
        </is>
      </c>
      <c r="J351" t="inlineStr">
        <is>
          <t>0</t>
        </is>
      </c>
      <c r="K351" t="inlineStr">
        <is>
          <t>Lambin, Eric F.</t>
        </is>
      </c>
      <c r="L351" t="inlineStr">
        <is>
          <t>Chicago : University of Chicago Press, 2007.</t>
        </is>
      </c>
      <c r="M351" t="inlineStr">
        <is>
          <t>2007</t>
        </is>
      </c>
      <c r="O351" t="inlineStr">
        <is>
          <t>eng</t>
        </is>
      </c>
      <c r="P351" t="inlineStr">
        <is>
          <t>ilu</t>
        </is>
      </c>
      <c r="R351" t="inlineStr">
        <is>
          <t xml:space="preserve">GE </t>
        </is>
      </c>
      <c r="S351" t="n">
        <v>4</v>
      </c>
      <c r="T351" t="n">
        <v>4</v>
      </c>
      <c r="U351" t="inlineStr">
        <is>
          <t>2010-04-23</t>
        </is>
      </c>
      <c r="V351" t="inlineStr">
        <is>
          <t>2010-04-23</t>
        </is>
      </c>
      <c r="W351" t="inlineStr">
        <is>
          <t>2008-06-02</t>
        </is>
      </c>
      <c r="X351" t="inlineStr">
        <is>
          <t>2008-06-02</t>
        </is>
      </c>
      <c r="Y351" t="n">
        <v>669</v>
      </c>
      <c r="Z351" t="n">
        <v>589</v>
      </c>
      <c r="AA351" t="n">
        <v>596</v>
      </c>
      <c r="AB351" t="n">
        <v>4</v>
      </c>
      <c r="AC351" t="n">
        <v>4</v>
      </c>
      <c r="AD351" t="n">
        <v>18</v>
      </c>
      <c r="AE351" t="n">
        <v>18</v>
      </c>
      <c r="AF351" t="n">
        <v>5</v>
      </c>
      <c r="AG351" t="n">
        <v>5</v>
      </c>
      <c r="AH351" t="n">
        <v>4</v>
      </c>
      <c r="AI351" t="n">
        <v>4</v>
      </c>
      <c r="AJ351" t="n">
        <v>7</v>
      </c>
      <c r="AK351" t="n">
        <v>7</v>
      </c>
      <c r="AL351" t="n">
        <v>3</v>
      </c>
      <c r="AM351" t="n">
        <v>3</v>
      </c>
      <c r="AN351" t="n">
        <v>1</v>
      </c>
      <c r="AO351" t="n">
        <v>1</v>
      </c>
      <c r="AP351" t="inlineStr">
        <is>
          <t>No</t>
        </is>
      </c>
      <c r="AQ351" t="inlineStr">
        <is>
          <t>Yes</t>
        </is>
      </c>
      <c r="AR351">
        <f>HYPERLINK("http://catalog.hathitrust.org/Record/005599673","HathiTrust Record")</f>
        <v/>
      </c>
      <c r="AS351">
        <f>HYPERLINK("https://creighton-primo.hosted.exlibrisgroup.com/primo-explore/search?tab=default_tab&amp;search_scope=EVERYTHING&amp;vid=01CRU&amp;lang=en_US&amp;offset=0&amp;query=any,contains,991005214339702656","Catalog Record")</f>
        <v/>
      </c>
      <c r="AT351">
        <f>HYPERLINK("http://www.worldcat.org/oclc/80359996","WorldCat Record")</f>
        <v/>
      </c>
      <c r="AU351" t="inlineStr">
        <is>
          <t>4161911122:eng</t>
        </is>
      </c>
      <c r="AV351" t="inlineStr">
        <is>
          <t>80359996</t>
        </is>
      </c>
      <c r="AW351" t="inlineStr">
        <is>
          <t>991005214339702656</t>
        </is>
      </c>
      <c r="AX351" t="inlineStr">
        <is>
          <t>991005214339702656</t>
        </is>
      </c>
      <c r="AY351" t="inlineStr">
        <is>
          <t>2259494040002656</t>
        </is>
      </c>
      <c r="AZ351" t="inlineStr">
        <is>
          <t>BOOK</t>
        </is>
      </c>
      <c r="BB351" t="inlineStr">
        <is>
          <t>9780226468532</t>
        </is>
      </c>
      <c r="BC351" t="inlineStr">
        <is>
          <t>32285005440960</t>
        </is>
      </c>
      <c r="BD351" t="inlineStr">
        <is>
          <t>893424740</t>
        </is>
      </c>
    </row>
    <row r="352">
      <c r="A352" t="inlineStr">
        <is>
          <t>No</t>
        </is>
      </c>
      <c r="B352" t="inlineStr">
        <is>
          <t>GE149 .L45 2008</t>
        </is>
      </c>
      <c r="C352" t="inlineStr">
        <is>
          <t>0                      GE 0149000L  45          2008</t>
        </is>
      </c>
      <c r="D352" t="inlineStr">
        <is>
          <t>Environmental change and globalization : double exposures / Robin M. Leichenko and Karen L. O'Brien.</t>
        </is>
      </c>
      <c r="F352" t="inlineStr">
        <is>
          <t>No</t>
        </is>
      </c>
      <c r="G352" t="inlineStr">
        <is>
          <t>1</t>
        </is>
      </c>
      <c r="H352" t="inlineStr">
        <is>
          <t>No</t>
        </is>
      </c>
      <c r="I352" t="inlineStr">
        <is>
          <t>No</t>
        </is>
      </c>
      <c r="J352" t="inlineStr">
        <is>
          <t>0</t>
        </is>
      </c>
      <c r="K352" t="inlineStr">
        <is>
          <t>Leichenko, Robin M.</t>
        </is>
      </c>
      <c r="L352" t="inlineStr">
        <is>
          <t>Oxford ; New York : Oxford University Press, c2008.</t>
        </is>
      </c>
      <c r="M352" t="inlineStr">
        <is>
          <t>2008</t>
        </is>
      </c>
      <c r="O352" t="inlineStr">
        <is>
          <t>eng</t>
        </is>
      </c>
      <c r="P352" t="inlineStr">
        <is>
          <t>enk</t>
        </is>
      </c>
      <c r="R352" t="inlineStr">
        <is>
          <t xml:space="preserve">GE </t>
        </is>
      </c>
      <c r="S352" t="n">
        <v>2</v>
      </c>
      <c r="T352" t="n">
        <v>2</v>
      </c>
      <c r="U352" t="inlineStr">
        <is>
          <t>2008-12-18</t>
        </is>
      </c>
      <c r="V352" t="inlineStr">
        <is>
          <t>2008-12-18</t>
        </is>
      </c>
      <c r="W352" t="inlineStr">
        <is>
          <t>2008-11-19</t>
        </is>
      </c>
      <c r="X352" t="inlineStr">
        <is>
          <t>2008-11-19</t>
        </is>
      </c>
      <c r="Y352" t="n">
        <v>342</v>
      </c>
      <c r="Z352" t="n">
        <v>250</v>
      </c>
      <c r="AA352" t="n">
        <v>623</v>
      </c>
      <c r="AB352" t="n">
        <v>2</v>
      </c>
      <c r="AC352" t="n">
        <v>22</v>
      </c>
      <c r="AD352" t="n">
        <v>13</v>
      </c>
      <c r="AE352" t="n">
        <v>25</v>
      </c>
      <c r="AF352" t="n">
        <v>5</v>
      </c>
      <c r="AG352" t="n">
        <v>6</v>
      </c>
      <c r="AH352" t="n">
        <v>5</v>
      </c>
      <c r="AI352" t="n">
        <v>7</v>
      </c>
      <c r="AJ352" t="n">
        <v>5</v>
      </c>
      <c r="AK352" t="n">
        <v>5</v>
      </c>
      <c r="AL352" t="n">
        <v>1</v>
      </c>
      <c r="AM352" t="n">
        <v>10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HYPERLINK("https://creighton-primo.hosted.exlibrisgroup.com/primo-explore/search?tab=default_tab&amp;search_scope=EVERYTHING&amp;vid=01CRU&amp;lang=en_US&amp;offset=0&amp;query=any,contains,991005274449702656","Catalog Record")</f>
        <v/>
      </c>
      <c r="AT352">
        <f>HYPERLINK("http://www.worldcat.org/oclc/173809026","WorldCat Record")</f>
        <v/>
      </c>
      <c r="AU352" t="inlineStr">
        <is>
          <t>793951759:eng</t>
        </is>
      </c>
      <c r="AV352" t="inlineStr">
        <is>
          <t>173809026</t>
        </is>
      </c>
      <c r="AW352" t="inlineStr">
        <is>
          <t>991005274449702656</t>
        </is>
      </c>
      <c r="AX352" t="inlineStr">
        <is>
          <t>991005274449702656</t>
        </is>
      </c>
      <c r="AY352" t="inlineStr">
        <is>
          <t>2259633500002656</t>
        </is>
      </c>
      <c r="AZ352" t="inlineStr">
        <is>
          <t>BOOK</t>
        </is>
      </c>
      <c r="BB352" t="inlineStr">
        <is>
          <t>9780195177312</t>
        </is>
      </c>
      <c r="BC352" t="inlineStr">
        <is>
          <t>32285005467823</t>
        </is>
      </c>
      <c r="BD352" t="inlineStr">
        <is>
          <t>893431152</t>
        </is>
      </c>
    </row>
    <row r="353">
      <c r="A353" t="inlineStr">
        <is>
          <t>No</t>
        </is>
      </c>
      <c r="B353" t="inlineStr">
        <is>
          <t>GE150 .C95 1993</t>
        </is>
      </c>
      <c r="C353" t="inlineStr">
        <is>
          <t>0                      GE 0150000C  95          1993</t>
        </is>
      </c>
      <c r="D353" t="inlineStr">
        <is>
          <t>The environment / F. Kurt Cylke, Jr.</t>
        </is>
      </c>
      <c r="F353" t="inlineStr">
        <is>
          <t>No</t>
        </is>
      </c>
      <c r="G353" t="inlineStr">
        <is>
          <t>1</t>
        </is>
      </c>
      <c r="H353" t="inlineStr">
        <is>
          <t>No</t>
        </is>
      </c>
      <c r="I353" t="inlineStr">
        <is>
          <t>No</t>
        </is>
      </c>
      <c r="J353" t="inlineStr">
        <is>
          <t>0</t>
        </is>
      </c>
      <c r="K353" t="inlineStr">
        <is>
          <t>Cylke, F. Kurt.</t>
        </is>
      </c>
      <c r="L353" t="inlineStr">
        <is>
          <t>New York, NY : HarperCollins College Publishers, c1993.</t>
        </is>
      </c>
      <c r="M353" t="inlineStr">
        <is>
          <t>1993</t>
        </is>
      </c>
      <c r="O353" t="inlineStr">
        <is>
          <t>eng</t>
        </is>
      </c>
      <c r="P353" t="inlineStr">
        <is>
          <t>nyu</t>
        </is>
      </c>
      <c r="R353" t="inlineStr">
        <is>
          <t xml:space="preserve">GE </t>
        </is>
      </c>
      <c r="S353" t="n">
        <v>13</v>
      </c>
      <c r="T353" t="n">
        <v>13</v>
      </c>
      <c r="U353" t="inlineStr">
        <is>
          <t>2005-01-21</t>
        </is>
      </c>
      <c r="V353" t="inlineStr">
        <is>
          <t>2005-01-21</t>
        </is>
      </c>
      <c r="W353" t="inlineStr">
        <is>
          <t>1994-05-17</t>
        </is>
      </c>
      <c r="X353" t="inlineStr">
        <is>
          <t>1994-05-17</t>
        </is>
      </c>
      <c r="Y353" t="n">
        <v>73</v>
      </c>
      <c r="Z353" t="n">
        <v>57</v>
      </c>
      <c r="AA353" t="n">
        <v>59</v>
      </c>
      <c r="AB353" t="n">
        <v>1</v>
      </c>
      <c r="AC353" t="n">
        <v>1</v>
      </c>
      <c r="AD353" t="n">
        <v>2</v>
      </c>
      <c r="AE353" t="n">
        <v>2</v>
      </c>
      <c r="AF353" t="n">
        <v>1</v>
      </c>
      <c r="AG353" t="n">
        <v>1</v>
      </c>
      <c r="AH353" t="n">
        <v>0</v>
      </c>
      <c r="AI353" t="n">
        <v>0</v>
      </c>
      <c r="AJ353" t="n">
        <v>1</v>
      </c>
      <c r="AK353" t="n">
        <v>1</v>
      </c>
      <c r="AL353" t="n">
        <v>0</v>
      </c>
      <c r="AM353" t="n">
        <v>0</v>
      </c>
      <c r="AN353" t="n">
        <v>0</v>
      </c>
      <c r="AO353" t="n">
        <v>0</v>
      </c>
      <c r="AP353" t="inlineStr">
        <is>
          <t>No</t>
        </is>
      </c>
      <c r="AQ353" t="inlineStr">
        <is>
          <t>Yes</t>
        </is>
      </c>
      <c r="AR353">
        <f>HYPERLINK("http://catalog.hathitrust.org/Record/009805243","HathiTrust Record")</f>
        <v/>
      </c>
      <c r="AS353">
        <f>HYPERLINK("https://creighton-primo.hosted.exlibrisgroup.com/primo-explore/search?tab=default_tab&amp;search_scope=EVERYTHING&amp;vid=01CRU&amp;lang=en_US&amp;offset=0&amp;query=any,contains,991002159259702656","Catalog Record")</f>
        <v/>
      </c>
      <c r="AT353">
        <f>HYPERLINK("http://www.worldcat.org/oclc/27812443","WorldCat Record")</f>
        <v/>
      </c>
      <c r="AU353" t="inlineStr">
        <is>
          <t>325952:eng</t>
        </is>
      </c>
      <c r="AV353" t="inlineStr">
        <is>
          <t>27812443</t>
        </is>
      </c>
      <c r="AW353" t="inlineStr">
        <is>
          <t>991002159259702656</t>
        </is>
      </c>
      <c r="AX353" t="inlineStr">
        <is>
          <t>991002159259702656</t>
        </is>
      </c>
      <c r="AY353" t="inlineStr">
        <is>
          <t>2258160690002656</t>
        </is>
      </c>
      <c r="AZ353" t="inlineStr">
        <is>
          <t>BOOK</t>
        </is>
      </c>
      <c r="BB353" t="inlineStr">
        <is>
          <t>9780065016383</t>
        </is>
      </c>
      <c r="BC353" t="inlineStr">
        <is>
          <t>32285001896678</t>
        </is>
      </c>
      <c r="BD353" t="inlineStr">
        <is>
          <t>893685036</t>
        </is>
      </c>
    </row>
    <row r="354">
      <c r="A354" t="inlineStr">
        <is>
          <t>No</t>
        </is>
      </c>
      <c r="B354" t="inlineStr">
        <is>
          <t>GE150 .F67 1998</t>
        </is>
      </c>
      <c r="C354" t="inlineStr">
        <is>
          <t>0                      GE 0150000F  67          1998</t>
        </is>
      </c>
      <c r="D354" t="inlineStr">
        <is>
          <t>The promise and peril of environmental justice / Christopher H. Foreman Jr.</t>
        </is>
      </c>
      <c r="F354" t="inlineStr">
        <is>
          <t>No</t>
        </is>
      </c>
      <c r="G354" t="inlineStr">
        <is>
          <t>1</t>
        </is>
      </c>
      <c r="H354" t="inlineStr">
        <is>
          <t>No</t>
        </is>
      </c>
      <c r="I354" t="inlineStr">
        <is>
          <t>No</t>
        </is>
      </c>
      <c r="J354" t="inlineStr">
        <is>
          <t>0</t>
        </is>
      </c>
      <c r="K354" t="inlineStr">
        <is>
          <t>Foreman, Christopher H.</t>
        </is>
      </c>
      <c r="L354" t="inlineStr">
        <is>
          <t>Washington, D.C. : Brookings Institution, c1998.</t>
        </is>
      </c>
      <c r="M354" t="inlineStr">
        <is>
          <t>1998</t>
        </is>
      </c>
      <c r="O354" t="inlineStr">
        <is>
          <t>eng</t>
        </is>
      </c>
      <c r="P354" t="inlineStr">
        <is>
          <t>dcu</t>
        </is>
      </c>
      <c r="R354" t="inlineStr">
        <is>
          <t xml:space="preserve">GE </t>
        </is>
      </c>
      <c r="S354" t="n">
        <v>4</v>
      </c>
      <c r="T354" t="n">
        <v>4</v>
      </c>
      <c r="U354" t="inlineStr">
        <is>
          <t>2006-03-24</t>
        </is>
      </c>
      <c r="V354" t="inlineStr">
        <is>
          <t>2006-03-24</t>
        </is>
      </c>
      <c r="W354" t="inlineStr">
        <is>
          <t>1998-10-06</t>
        </is>
      </c>
      <c r="X354" t="inlineStr">
        <is>
          <t>1998-10-06</t>
        </is>
      </c>
      <c r="Y354" t="n">
        <v>743</v>
      </c>
      <c r="Z354" t="n">
        <v>672</v>
      </c>
      <c r="AA354" t="n">
        <v>822</v>
      </c>
      <c r="AB354" t="n">
        <v>4</v>
      </c>
      <c r="AC354" t="n">
        <v>4</v>
      </c>
      <c r="AD354" t="n">
        <v>31</v>
      </c>
      <c r="AE354" t="n">
        <v>41</v>
      </c>
      <c r="AF354" t="n">
        <v>7</v>
      </c>
      <c r="AG354" t="n">
        <v>13</v>
      </c>
      <c r="AH354" t="n">
        <v>6</v>
      </c>
      <c r="AI354" t="n">
        <v>9</v>
      </c>
      <c r="AJ354" t="n">
        <v>9</v>
      </c>
      <c r="AK354" t="n">
        <v>13</v>
      </c>
      <c r="AL354" t="n">
        <v>3</v>
      </c>
      <c r="AM354" t="n">
        <v>3</v>
      </c>
      <c r="AN354" t="n">
        <v>11</v>
      </c>
      <c r="AO354" t="n">
        <v>11</v>
      </c>
      <c r="AP354" t="inlineStr">
        <is>
          <t>No</t>
        </is>
      </c>
      <c r="AQ354" t="inlineStr">
        <is>
          <t>No</t>
        </is>
      </c>
      <c r="AS354">
        <f>HYPERLINK("https://creighton-primo.hosted.exlibrisgroup.com/primo-explore/search?tab=default_tab&amp;search_scope=EVERYTHING&amp;vid=01CRU&amp;lang=en_US&amp;offset=0&amp;query=any,contains,991002955139702656","Catalog Record")</f>
        <v/>
      </c>
      <c r="AT354">
        <f>HYPERLINK("http://www.worldcat.org/oclc/39399418","WorldCat Record")</f>
        <v/>
      </c>
      <c r="AU354" t="inlineStr">
        <is>
          <t>20794182:eng</t>
        </is>
      </c>
      <c r="AV354" t="inlineStr">
        <is>
          <t>39399418</t>
        </is>
      </c>
      <c r="AW354" t="inlineStr">
        <is>
          <t>991002955139702656</t>
        </is>
      </c>
      <c r="AX354" t="inlineStr">
        <is>
          <t>991002955139702656</t>
        </is>
      </c>
      <c r="AY354" t="inlineStr">
        <is>
          <t>2267956780002656</t>
        </is>
      </c>
      <c r="AZ354" t="inlineStr">
        <is>
          <t>BOOK</t>
        </is>
      </c>
      <c r="BB354" t="inlineStr">
        <is>
          <t>9780815728788</t>
        </is>
      </c>
      <c r="BC354" t="inlineStr">
        <is>
          <t>32285003472346</t>
        </is>
      </c>
      <c r="BD354" t="inlineStr">
        <is>
          <t>893904179</t>
        </is>
      </c>
    </row>
    <row r="355">
      <c r="A355" t="inlineStr">
        <is>
          <t>No</t>
        </is>
      </c>
      <c r="B355" t="inlineStr">
        <is>
          <t>GE150 .K46 1995</t>
        </is>
      </c>
      <c r="C355" t="inlineStr">
        <is>
          <t>0                      GE 0150000K  46          1995</t>
        </is>
      </c>
      <c r="D355" t="inlineStr">
        <is>
          <t>Environmental values in American culture / Willett Kempton, James S. Boster, and Jennifer A. Hartley.</t>
        </is>
      </c>
      <c r="F355" t="inlineStr">
        <is>
          <t>No</t>
        </is>
      </c>
      <c r="G355" t="inlineStr">
        <is>
          <t>1</t>
        </is>
      </c>
      <c r="H355" t="inlineStr">
        <is>
          <t>No</t>
        </is>
      </c>
      <c r="I355" t="inlineStr">
        <is>
          <t>No</t>
        </is>
      </c>
      <c r="J355" t="inlineStr">
        <is>
          <t>0</t>
        </is>
      </c>
      <c r="K355" t="inlineStr">
        <is>
          <t>Kempton, Willett, 1948-</t>
        </is>
      </c>
      <c r="L355" t="inlineStr">
        <is>
          <t>Cambridge, Mass. : MIT Press, c1995.</t>
        </is>
      </c>
      <c r="M355" t="inlineStr">
        <is>
          <t>1995</t>
        </is>
      </c>
      <c r="O355" t="inlineStr">
        <is>
          <t>eng</t>
        </is>
      </c>
      <c r="P355" t="inlineStr">
        <is>
          <t>mau</t>
        </is>
      </c>
      <c r="R355" t="inlineStr">
        <is>
          <t xml:space="preserve">GE </t>
        </is>
      </c>
      <c r="S355" t="n">
        <v>18</v>
      </c>
      <c r="T355" t="n">
        <v>18</v>
      </c>
      <c r="U355" t="inlineStr">
        <is>
          <t>2009-10-28</t>
        </is>
      </c>
      <c r="V355" t="inlineStr">
        <is>
          <t>2009-10-28</t>
        </is>
      </c>
      <c r="W355" t="inlineStr">
        <is>
          <t>1995-04-26</t>
        </is>
      </c>
      <c r="X355" t="inlineStr">
        <is>
          <t>1995-04-26</t>
        </is>
      </c>
      <c r="Y355" t="n">
        <v>700</v>
      </c>
      <c r="Z355" t="n">
        <v>603</v>
      </c>
      <c r="AA355" t="n">
        <v>1259</v>
      </c>
      <c r="AB355" t="n">
        <v>4</v>
      </c>
      <c r="AC355" t="n">
        <v>4</v>
      </c>
      <c r="AD355" t="n">
        <v>32</v>
      </c>
      <c r="AE355" t="n">
        <v>37</v>
      </c>
      <c r="AF355" t="n">
        <v>13</v>
      </c>
      <c r="AG355" t="n">
        <v>15</v>
      </c>
      <c r="AH355" t="n">
        <v>7</v>
      </c>
      <c r="AI355" t="n">
        <v>8</v>
      </c>
      <c r="AJ355" t="n">
        <v>15</v>
      </c>
      <c r="AK355" t="n">
        <v>18</v>
      </c>
      <c r="AL355" t="n">
        <v>3</v>
      </c>
      <c r="AM355" t="n">
        <v>3</v>
      </c>
      <c r="AN355" t="n">
        <v>2</v>
      </c>
      <c r="AO355" t="n">
        <v>2</v>
      </c>
      <c r="AP355" t="inlineStr">
        <is>
          <t>No</t>
        </is>
      </c>
      <c r="AQ355" t="inlineStr">
        <is>
          <t>No</t>
        </is>
      </c>
      <c r="AS355">
        <f>HYPERLINK("https://creighton-primo.hosted.exlibrisgroup.com/primo-explore/search?tab=default_tab&amp;search_scope=EVERYTHING&amp;vid=01CRU&amp;lang=en_US&amp;offset=0&amp;query=any,contains,991002367519702656","Catalog Record")</f>
        <v/>
      </c>
      <c r="AT355">
        <f>HYPERLINK("http://www.worldcat.org/oclc/30778910","WorldCat Record")</f>
        <v/>
      </c>
      <c r="AU355" t="inlineStr">
        <is>
          <t>32974328:eng</t>
        </is>
      </c>
      <c r="AV355" t="inlineStr">
        <is>
          <t>30778910</t>
        </is>
      </c>
      <c r="AW355" t="inlineStr">
        <is>
          <t>991002367519702656</t>
        </is>
      </c>
      <c r="AX355" t="inlineStr">
        <is>
          <t>991002367519702656</t>
        </is>
      </c>
      <c r="AY355" t="inlineStr">
        <is>
          <t>2271866960002656</t>
        </is>
      </c>
      <c r="AZ355" t="inlineStr">
        <is>
          <t>BOOK</t>
        </is>
      </c>
      <c r="BB355" t="inlineStr">
        <is>
          <t>9780262111911</t>
        </is>
      </c>
      <c r="BC355" t="inlineStr">
        <is>
          <t>32285002036316</t>
        </is>
      </c>
      <c r="BD355" t="inlineStr">
        <is>
          <t>893773529</t>
        </is>
      </c>
    </row>
    <row r="356">
      <c r="A356" t="inlineStr">
        <is>
          <t>No</t>
        </is>
      </c>
      <c r="B356" t="inlineStr">
        <is>
          <t>GE150 .L47 1997</t>
        </is>
      </c>
      <c r="C356" t="inlineStr">
        <is>
          <t>0                      GE 0150000L  47          1997</t>
        </is>
      </c>
      <c r="D356" t="inlineStr">
        <is>
          <t>Eco-pioneers : practical visionaries solving today's environmental problems / Steve Lerner.</t>
        </is>
      </c>
      <c r="F356" t="inlineStr">
        <is>
          <t>No</t>
        </is>
      </c>
      <c r="G356" t="inlineStr">
        <is>
          <t>1</t>
        </is>
      </c>
      <c r="H356" t="inlineStr">
        <is>
          <t>No</t>
        </is>
      </c>
      <c r="I356" t="inlineStr">
        <is>
          <t>No</t>
        </is>
      </c>
      <c r="J356" t="inlineStr">
        <is>
          <t>0</t>
        </is>
      </c>
      <c r="K356" t="inlineStr">
        <is>
          <t>Lerner, Steve.</t>
        </is>
      </c>
      <c r="L356" t="inlineStr">
        <is>
          <t>Cambridge, Mass. : MIT Press, c1997.</t>
        </is>
      </c>
      <c r="M356" t="inlineStr">
        <is>
          <t>1997</t>
        </is>
      </c>
      <c r="O356" t="inlineStr">
        <is>
          <t>eng</t>
        </is>
      </c>
      <c r="P356" t="inlineStr">
        <is>
          <t>mau</t>
        </is>
      </c>
      <c r="R356" t="inlineStr">
        <is>
          <t xml:space="preserve">GE </t>
        </is>
      </c>
      <c r="S356" t="n">
        <v>9</v>
      </c>
      <c r="T356" t="n">
        <v>9</v>
      </c>
      <c r="U356" t="inlineStr">
        <is>
          <t>2009-10-18</t>
        </is>
      </c>
      <c r="V356" t="inlineStr">
        <is>
          <t>2009-10-18</t>
        </is>
      </c>
      <c r="W356" t="inlineStr">
        <is>
          <t>1998-03-12</t>
        </is>
      </c>
      <c r="X356" t="inlineStr">
        <is>
          <t>1998-03-12</t>
        </is>
      </c>
      <c r="Y356" t="n">
        <v>809</v>
      </c>
      <c r="Z356" t="n">
        <v>693</v>
      </c>
      <c r="AA356" t="n">
        <v>1395</v>
      </c>
      <c r="AB356" t="n">
        <v>4</v>
      </c>
      <c r="AC356" t="n">
        <v>6</v>
      </c>
      <c r="AD356" t="n">
        <v>30</v>
      </c>
      <c r="AE356" t="n">
        <v>36</v>
      </c>
      <c r="AF356" t="n">
        <v>12</v>
      </c>
      <c r="AG356" t="n">
        <v>16</v>
      </c>
      <c r="AH356" t="n">
        <v>9</v>
      </c>
      <c r="AI356" t="n">
        <v>9</v>
      </c>
      <c r="AJ356" t="n">
        <v>15</v>
      </c>
      <c r="AK356" t="n">
        <v>17</v>
      </c>
      <c r="AL356" t="n">
        <v>3</v>
      </c>
      <c r="AM356" t="n">
        <v>4</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HYPERLINK("https://creighton-primo.hosted.exlibrisgroup.com/primo-explore/search?tab=default_tab&amp;search_scope=EVERYTHING&amp;vid=01CRU&amp;lang=en_US&amp;offset=0&amp;query=any,contains,991002791089702656","Catalog Record")</f>
        <v/>
      </c>
      <c r="AT356">
        <f>HYPERLINK("http://www.worldcat.org/oclc/36656387","WorldCat Record")</f>
        <v/>
      </c>
      <c r="AU356" t="inlineStr">
        <is>
          <t>308977826:eng</t>
        </is>
      </c>
      <c r="AV356" t="inlineStr">
        <is>
          <t>36656387</t>
        </is>
      </c>
      <c r="AW356" t="inlineStr">
        <is>
          <t>991002791089702656</t>
        </is>
      </c>
      <c r="AX356" t="inlineStr">
        <is>
          <t>991002791089702656</t>
        </is>
      </c>
      <c r="AY356" t="inlineStr">
        <is>
          <t>2265615120002656</t>
        </is>
      </c>
      <c r="AZ356" t="inlineStr">
        <is>
          <t>BOOK</t>
        </is>
      </c>
      <c r="BB356" t="inlineStr">
        <is>
          <t>9780262122078</t>
        </is>
      </c>
      <c r="BC356" t="inlineStr">
        <is>
          <t>32285003357901</t>
        </is>
      </c>
      <c r="BD356" t="inlineStr">
        <is>
          <t>893428019</t>
        </is>
      </c>
    </row>
    <row r="357">
      <c r="A357" t="inlineStr">
        <is>
          <t>No</t>
        </is>
      </c>
      <c r="B357" t="inlineStr">
        <is>
          <t>GE155.C2 I84 2006</t>
        </is>
      </c>
      <c r="C357" t="inlineStr">
        <is>
          <t>0                      GE 0155000C  2                  I  84          2006</t>
        </is>
      </c>
      <c r="D357" t="inlineStr">
        <is>
          <t>Mining California : an ecological history / Andrew C. Isenberg.</t>
        </is>
      </c>
      <c r="F357" t="inlineStr">
        <is>
          <t>No</t>
        </is>
      </c>
      <c r="G357" t="inlineStr">
        <is>
          <t>1</t>
        </is>
      </c>
      <c r="H357" t="inlineStr">
        <is>
          <t>No</t>
        </is>
      </c>
      <c r="I357" t="inlineStr">
        <is>
          <t>No</t>
        </is>
      </c>
      <c r="J357" t="inlineStr">
        <is>
          <t>0</t>
        </is>
      </c>
      <c r="K357" t="inlineStr">
        <is>
          <t>Isenberg, Andrew C. (Andrew Christian)</t>
        </is>
      </c>
      <c r="L357" t="inlineStr">
        <is>
          <t>New York : Hill and Wang, 2006, c2005.</t>
        </is>
      </c>
      <c r="M357" t="inlineStr">
        <is>
          <t>2006</t>
        </is>
      </c>
      <c r="N357" t="inlineStr">
        <is>
          <t>1st pbk. ed.</t>
        </is>
      </c>
      <c r="O357" t="inlineStr">
        <is>
          <t>eng</t>
        </is>
      </c>
      <c r="P357" t="inlineStr">
        <is>
          <t>nyu</t>
        </is>
      </c>
      <c r="R357" t="inlineStr">
        <is>
          <t xml:space="preserve">GE </t>
        </is>
      </c>
      <c r="S357" t="n">
        <v>1</v>
      </c>
      <c r="T357" t="n">
        <v>1</v>
      </c>
      <c r="U357" t="inlineStr">
        <is>
          <t>2007-04-12</t>
        </is>
      </c>
      <c r="V357" t="inlineStr">
        <is>
          <t>2007-04-12</t>
        </is>
      </c>
      <c r="W357" t="inlineStr">
        <is>
          <t>2007-04-12</t>
        </is>
      </c>
      <c r="X357" t="inlineStr">
        <is>
          <t>2007-04-12</t>
        </is>
      </c>
      <c r="Y357" t="n">
        <v>540</v>
      </c>
      <c r="Z357" t="n">
        <v>503</v>
      </c>
      <c r="AA357" t="n">
        <v>510</v>
      </c>
      <c r="AB357" t="n">
        <v>6</v>
      </c>
      <c r="AC357" t="n">
        <v>6</v>
      </c>
      <c r="AD357" t="n">
        <v>24</v>
      </c>
      <c r="AE357" t="n">
        <v>24</v>
      </c>
      <c r="AF357" t="n">
        <v>11</v>
      </c>
      <c r="AG357" t="n">
        <v>11</v>
      </c>
      <c r="AH357" t="n">
        <v>5</v>
      </c>
      <c r="AI357" t="n">
        <v>5</v>
      </c>
      <c r="AJ357" t="n">
        <v>10</v>
      </c>
      <c r="AK357" t="n">
        <v>10</v>
      </c>
      <c r="AL357" t="n">
        <v>5</v>
      </c>
      <c r="AM357" t="n">
        <v>5</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HYPERLINK("https://creighton-primo.hosted.exlibrisgroup.com/primo-explore/search?tab=default_tab&amp;search_scope=EVERYTHING&amp;vid=01CRU&amp;lang=en_US&amp;offset=0&amp;query=any,contains,991005063709702656","Catalog Record")</f>
        <v/>
      </c>
      <c r="AT357">
        <f>HYPERLINK("http://www.worldcat.org/oclc/57069109","WorldCat Record")</f>
        <v/>
      </c>
      <c r="AU357" t="inlineStr">
        <is>
          <t>425233:eng</t>
        </is>
      </c>
      <c r="AV357" t="inlineStr">
        <is>
          <t>57069109</t>
        </is>
      </c>
      <c r="AW357" t="inlineStr">
        <is>
          <t>991005063709702656</t>
        </is>
      </c>
      <c r="AX357" t="inlineStr">
        <is>
          <t>991005063709702656</t>
        </is>
      </c>
      <c r="AY357" t="inlineStr">
        <is>
          <t>2267564940002656</t>
        </is>
      </c>
      <c r="AZ357" t="inlineStr">
        <is>
          <t>BOOK</t>
        </is>
      </c>
      <c r="BB357" t="inlineStr">
        <is>
          <t>9780809069323</t>
        </is>
      </c>
      <c r="BC357" t="inlineStr">
        <is>
          <t>32285005286637</t>
        </is>
      </c>
      <c r="BD357" t="inlineStr">
        <is>
          <t>893501260</t>
        </is>
      </c>
    </row>
    <row r="358">
      <c r="A358" t="inlineStr">
        <is>
          <t>No</t>
        </is>
      </c>
      <c r="B358" t="inlineStr">
        <is>
          <t>GE155.M85 L36 2005</t>
        </is>
      </c>
      <c r="C358" t="inlineStr">
        <is>
          <t>0                      GE 0155000M  85                 L  36          2005</t>
        </is>
      </c>
      <c r="D358" t="inlineStr">
        <is>
          <t>Big Muddy blues : true tales and twisted politics along Lewis and Clark's Missouri River / Bill Lambrecht.</t>
        </is>
      </c>
      <c r="F358" t="inlineStr">
        <is>
          <t>No</t>
        </is>
      </c>
      <c r="G358" t="inlineStr">
        <is>
          <t>1</t>
        </is>
      </c>
      <c r="H358" t="inlineStr">
        <is>
          <t>No</t>
        </is>
      </c>
      <c r="I358" t="inlineStr">
        <is>
          <t>No</t>
        </is>
      </c>
      <c r="J358" t="inlineStr">
        <is>
          <t>0</t>
        </is>
      </c>
      <c r="K358" t="inlineStr">
        <is>
          <t>Lambrecht, Bill.</t>
        </is>
      </c>
      <c r="L358" t="inlineStr">
        <is>
          <t>New York : Thomas Dunne Books, 2005.</t>
        </is>
      </c>
      <c r="M358" t="inlineStr">
        <is>
          <t>2005</t>
        </is>
      </c>
      <c r="N358" t="inlineStr">
        <is>
          <t>1st ed.</t>
        </is>
      </c>
      <c r="O358" t="inlineStr">
        <is>
          <t>eng</t>
        </is>
      </c>
      <c r="P358" t="inlineStr">
        <is>
          <t>nyu</t>
        </is>
      </c>
      <c r="R358" t="inlineStr">
        <is>
          <t xml:space="preserve">GE </t>
        </is>
      </c>
      <c r="S358" t="n">
        <v>3</v>
      </c>
      <c r="T358" t="n">
        <v>3</v>
      </c>
      <c r="U358" t="inlineStr">
        <is>
          <t>2008-02-11</t>
        </is>
      </c>
      <c r="V358" t="inlineStr">
        <is>
          <t>2008-02-11</t>
        </is>
      </c>
      <c r="W358" t="inlineStr">
        <is>
          <t>2005-04-19</t>
        </is>
      </c>
      <c r="X358" t="inlineStr">
        <is>
          <t>2005-04-19</t>
        </is>
      </c>
      <c r="Y358" t="n">
        <v>483</v>
      </c>
      <c r="Z358" t="n">
        <v>469</v>
      </c>
      <c r="AA358" t="n">
        <v>476</v>
      </c>
      <c r="AB358" t="n">
        <v>12</v>
      </c>
      <c r="AC358" t="n">
        <v>12</v>
      </c>
      <c r="AD358" t="n">
        <v>13</v>
      </c>
      <c r="AE358" t="n">
        <v>13</v>
      </c>
      <c r="AF358" t="n">
        <v>3</v>
      </c>
      <c r="AG358" t="n">
        <v>3</v>
      </c>
      <c r="AH358" t="n">
        <v>3</v>
      </c>
      <c r="AI358" t="n">
        <v>3</v>
      </c>
      <c r="AJ358" t="n">
        <v>6</v>
      </c>
      <c r="AK358" t="n">
        <v>6</v>
      </c>
      <c r="AL358" t="n">
        <v>4</v>
      </c>
      <c r="AM358" t="n">
        <v>4</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HYPERLINK("https://creighton-primo.hosted.exlibrisgroup.com/primo-explore/search?tab=default_tab&amp;search_scope=EVERYTHING&amp;vid=01CRU&amp;lang=en_US&amp;offset=0&amp;query=any,contains,991004502639702656","Catalog Record")</f>
        <v/>
      </c>
      <c r="AT358">
        <f>HYPERLINK("http://www.worldcat.org/oclc/56686446","WorldCat Record")</f>
        <v/>
      </c>
      <c r="AU358" t="inlineStr">
        <is>
          <t>1002861:eng</t>
        </is>
      </c>
      <c r="AV358" t="inlineStr">
        <is>
          <t>56686446</t>
        </is>
      </c>
      <c r="AW358" t="inlineStr">
        <is>
          <t>991004502639702656</t>
        </is>
      </c>
      <c r="AX358" t="inlineStr">
        <is>
          <t>991004502639702656</t>
        </is>
      </c>
      <c r="AY358" t="inlineStr">
        <is>
          <t>2272161080002656</t>
        </is>
      </c>
      <c r="AZ358" t="inlineStr">
        <is>
          <t>BOOK</t>
        </is>
      </c>
      <c r="BB358" t="inlineStr">
        <is>
          <t>9780312327835</t>
        </is>
      </c>
      <c r="BC358" t="inlineStr">
        <is>
          <t>32285005031975</t>
        </is>
      </c>
      <c r="BD358" t="inlineStr">
        <is>
          <t>893776090</t>
        </is>
      </c>
    </row>
    <row r="359">
      <c r="A359" t="inlineStr">
        <is>
          <t>No</t>
        </is>
      </c>
      <c r="B359" t="inlineStr">
        <is>
          <t>GE160.A685 O26 1997</t>
        </is>
      </c>
      <c r="C359" t="inlineStr">
        <is>
          <t>0                      GE 0160000A  685                O  26          1997</t>
        </is>
      </c>
      <c r="D359" t="inlineStr">
        <is>
          <t>Amazon journal : dispatches from a vanishing frontier / Geoffrey O'Connor.</t>
        </is>
      </c>
      <c r="F359" t="inlineStr">
        <is>
          <t>No</t>
        </is>
      </c>
      <c r="G359" t="inlineStr">
        <is>
          <t>1</t>
        </is>
      </c>
      <c r="H359" t="inlineStr">
        <is>
          <t>No</t>
        </is>
      </c>
      <c r="I359" t="inlineStr">
        <is>
          <t>No</t>
        </is>
      </c>
      <c r="J359" t="inlineStr">
        <is>
          <t>0</t>
        </is>
      </c>
      <c r="K359" t="inlineStr">
        <is>
          <t>O'Connor, Geoffrey.</t>
        </is>
      </c>
      <c r="L359" t="inlineStr">
        <is>
          <t>New York : Dutton, c1997.</t>
        </is>
      </c>
      <c r="M359" t="inlineStr">
        <is>
          <t>1997</t>
        </is>
      </c>
      <c r="O359" t="inlineStr">
        <is>
          <t>eng</t>
        </is>
      </c>
      <c r="P359" t="inlineStr">
        <is>
          <t>nyu</t>
        </is>
      </c>
      <c r="R359" t="inlineStr">
        <is>
          <t xml:space="preserve">GE </t>
        </is>
      </c>
      <c r="S359" t="n">
        <v>1</v>
      </c>
      <c r="T359" t="n">
        <v>1</v>
      </c>
      <c r="U359" t="inlineStr">
        <is>
          <t>2002-10-03</t>
        </is>
      </c>
      <c r="V359" t="inlineStr">
        <is>
          <t>2002-10-03</t>
        </is>
      </c>
      <c r="W359" t="inlineStr">
        <is>
          <t>2002-10-03</t>
        </is>
      </c>
      <c r="X359" t="inlineStr">
        <is>
          <t>2002-10-03</t>
        </is>
      </c>
      <c r="Y359" t="n">
        <v>484</v>
      </c>
      <c r="Z359" t="n">
        <v>442</v>
      </c>
      <c r="AA359" t="n">
        <v>489</v>
      </c>
      <c r="AB359" t="n">
        <v>3</v>
      </c>
      <c r="AC359" t="n">
        <v>3</v>
      </c>
      <c r="AD359" t="n">
        <v>11</v>
      </c>
      <c r="AE359" t="n">
        <v>12</v>
      </c>
      <c r="AF359" t="n">
        <v>2</v>
      </c>
      <c r="AG359" t="n">
        <v>3</v>
      </c>
      <c r="AH359" t="n">
        <v>3</v>
      </c>
      <c r="AI359" t="n">
        <v>4</v>
      </c>
      <c r="AJ359" t="n">
        <v>7</v>
      </c>
      <c r="AK359" t="n">
        <v>7</v>
      </c>
      <c r="AL359" t="n">
        <v>1</v>
      </c>
      <c r="AM359" t="n">
        <v>1</v>
      </c>
      <c r="AN359" t="n">
        <v>0</v>
      </c>
      <c r="AO359" t="n">
        <v>0</v>
      </c>
      <c r="AP359" t="inlineStr">
        <is>
          <t>No</t>
        </is>
      </c>
      <c r="AQ359" t="inlineStr">
        <is>
          <t>Yes</t>
        </is>
      </c>
      <c r="AR359">
        <f>HYPERLINK("http://catalog.hathitrust.org/Record/003239817","HathiTrust Record")</f>
        <v/>
      </c>
      <c r="AS359">
        <f>HYPERLINK("https://creighton-primo.hosted.exlibrisgroup.com/primo-explore/search?tab=default_tab&amp;search_scope=EVERYTHING&amp;vid=01CRU&amp;lang=en_US&amp;offset=0&amp;query=any,contains,991003906289702656","Catalog Record")</f>
        <v/>
      </c>
      <c r="AT359">
        <f>HYPERLINK("http://www.worldcat.org/oclc/37179671","WorldCat Record")</f>
        <v/>
      </c>
      <c r="AU359" t="inlineStr">
        <is>
          <t>559548:eng</t>
        </is>
      </c>
      <c r="AV359" t="inlineStr">
        <is>
          <t>37179671</t>
        </is>
      </c>
      <c r="AW359" t="inlineStr">
        <is>
          <t>991003906289702656</t>
        </is>
      </c>
      <c r="AX359" t="inlineStr">
        <is>
          <t>991003906289702656</t>
        </is>
      </c>
      <c r="AY359" t="inlineStr">
        <is>
          <t>2256688290002656</t>
        </is>
      </c>
      <c r="AZ359" t="inlineStr">
        <is>
          <t>BOOK</t>
        </is>
      </c>
      <c r="BB359" t="inlineStr">
        <is>
          <t>9780525941132</t>
        </is>
      </c>
      <c r="BC359" t="inlineStr">
        <is>
          <t>32285004652128</t>
        </is>
      </c>
      <c r="BD359" t="inlineStr">
        <is>
          <t>893429415</t>
        </is>
      </c>
    </row>
    <row r="360">
      <c r="A360" t="inlineStr">
        <is>
          <t>No</t>
        </is>
      </c>
      <c r="B360" t="inlineStr">
        <is>
          <t>GE160.G75 D87 1995</t>
        </is>
      </c>
      <c r="C360" t="inlineStr">
        <is>
          <t>0                      GE 0160000G  75                 D  87          1995</t>
        </is>
      </c>
      <c r="D360" t="inlineStr">
        <is>
          <t>The making of a conservative environmentalist : with reflections on government, industry, scientists, the media, education, economic growth, the public, the Great Lakes, activists, and the sunsetting of toxic chemicals / Gordon K. Durnil.</t>
        </is>
      </c>
      <c r="F360" t="inlineStr">
        <is>
          <t>No</t>
        </is>
      </c>
      <c r="G360" t="inlineStr">
        <is>
          <t>1</t>
        </is>
      </c>
      <c r="H360" t="inlineStr">
        <is>
          <t>No</t>
        </is>
      </c>
      <c r="I360" t="inlineStr">
        <is>
          <t>No</t>
        </is>
      </c>
      <c r="J360" t="inlineStr">
        <is>
          <t>0</t>
        </is>
      </c>
      <c r="K360" t="inlineStr">
        <is>
          <t>Durnil, Gordon K., 1936-</t>
        </is>
      </c>
      <c r="L360" t="inlineStr">
        <is>
          <t>Bloomington : Indiana University Press, c1995.</t>
        </is>
      </c>
      <c r="M360" t="inlineStr">
        <is>
          <t>1995</t>
        </is>
      </c>
      <c r="O360" t="inlineStr">
        <is>
          <t>eng</t>
        </is>
      </c>
      <c r="P360" t="inlineStr">
        <is>
          <t>inu</t>
        </is>
      </c>
      <c r="R360" t="inlineStr">
        <is>
          <t xml:space="preserve">GE </t>
        </is>
      </c>
      <c r="S360" t="n">
        <v>7</v>
      </c>
      <c r="T360" t="n">
        <v>7</v>
      </c>
      <c r="U360" t="inlineStr">
        <is>
          <t>2009-10-28</t>
        </is>
      </c>
      <c r="V360" t="inlineStr">
        <is>
          <t>2009-10-28</t>
        </is>
      </c>
      <c r="W360" t="inlineStr">
        <is>
          <t>1995-11-14</t>
        </is>
      </c>
      <c r="X360" t="inlineStr">
        <is>
          <t>1995-11-14</t>
        </is>
      </c>
      <c r="Y360" t="n">
        <v>644</v>
      </c>
      <c r="Z360" t="n">
        <v>591</v>
      </c>
      <c r="AA360" t="n">
        <v>597</v>
      </c>
      <c r="AB360" t="n">
        <v>3</v>
      </c>
      <c r="AC360" t="n">
        <v>3</v>
      </c>
      <c r="AD360" t="n">
        <v>29</v>
      </c>
      <c r="AE360" t="n">
        <v>29</v>
      </c>
      <c r="AF360" t="n">
        <v>11</v>
      </c>
      <c r="AG360" t="n">
        <v>11</v>
      </c>
      <c r="AH360" t="n">
        <v>5</v>
      </c>
      <c r="AI360" t="n">
        <v>5</v>
      </c>
      <c r="AJ360" t="n">
        <v>12</v>
      </c>
      <c r="AK360" t="n">
        <v>12</v>
      </c>
      <c r="AL360" t="n">
        <v>2</v>
      </c>
      <c r="AM360" t="n">
        <v>2</v>
      </c>
      <c r="AN360" t="n">
        <v>5</v>
      </c>
      <c r="AO360" t="n">
        <v>5</v>
      </c>
      <c r="AP360" t="inlineStr">
        <is>
          <t>No</t>
        </is>
      </c>
      <c r="AQ360" t="inlineStr">
        <is>
          <t>Yes</t>
        </is>
      </c>
      <c r="AR360">
        <f>HYPERLINK("http://catalog.hathitrust.org/Record/003003884","HathiTrust Record")</f>
        <v/>
      </c>
      <c r="AS360">
        <f>HYPERLINK("https://creighton-primo.hosted.exlibrisgroup.com/primo-explore/search?tab=default_tab&amp;search_scope=EVERYTHING&amp;vid=01CRU&amp;lang=en_US&amp;offset=0&amp;query=any,contains,991002421229702656","Catalog Record")</f>
        <v/>
      </c>
      <c r="AT360">
        <f>HYPERLINK("http://www.worldcat.org/oclc/31519519","WorldCat Record")</f>
        <v/>
      </c>
      <c r="AU360" t="inlineStr">
        <is>
          <t>375728210:eng</t>
        </is>
      </c>
      <c r="AV360" t="inlineStr">
        <is>
          <t>31519519</t>
        </is>
      </c>
      <c r="AW360" t="inlineStr">
        <is>
          <t>991002421229702656</t>
        </is>
      </c>
      <c r="AX360" t="inlineStr">
        <is>
          <t>991002421229702656</t>
        </is>
      </c>
      <c r="AY360" t="inlineStr">
        <is>
          <t>2267454690002656</t>
        </is>
      </c>
      <c r="AZ360" t="inlineStr">
        <is>
          <t>BOOK</t>
        </is>
      </c>
      <c r="BB360" t="inlineStr">
        <is>
          <t>9780253328731</t>
        </is>
      </c>
      <c r="BC360" t="inlineStr">
        <is>
          <t>32285002103132</t>
        </is>
      </c>
      <c r="BD360" t="inlineStr">
        <is>
          <t>893892524</t>
        </is>
      </c>
    </row>
    <row r="361">
      <c r="A361" t="inlineStr">
        <is>
          <t>No</t>
        </is>
      </c>
      <c r="B361" t="inlineStr">
        <is>
          <t>GE160.H33 G66 1999</t>
        </is>
      </c>
      <c r="C361" t="inlineStr">
        <is>
          <t>0                      GE 0160000H  33                 G  66          1999</t>
        </is>
      </c>
      <c r="D361" t="inlineStr">
        <is>
          <t>Haití, SOS ambiental y social / Geraldino González.</t>
        </is>
      </c>
      <c r="F361" t="inlineStr">
        <is>
          <t>No</t>
        </is>
      </c>
      <c r="G361" t="inlineStr">
        <is>
          <t>1</t>
        </is>
      </c>
      <c r="H361" t="inlineStr">
        <is>
          <t>No</t>
        </is>
      </c>
      <c r="I361" t="inlineStr">
        <is>
          <t>No</t>
        </is>
      </c>
      <c r="J361" t="inlineStr">
        <is>
          <t>0</t>
        </is>
      </c>
      <c r="K361" t="inlineStr">
        <is>
          <t>González, Geraldino, 1957-</t>
        </is>
      </c>
      <c r="L361" t="inlineStr">
        <is>
          <t>Santo Domingo, República Dominicana : Editora El Nuevo Diario, 1999.</t>
        </is>
      </c>
      <c r="M361" t="inlineStr">
        <is>
          <t>1999</t>
        </is>
      </c>
      <c r="N361" t="inlineStr">
        <is>
          <t>1. ed.</t>
        </is>
      </c>
      <c r="O361" t="inlineStr">
        <is>
          <t>spa</t>
        </is>
      </c>
      <c r="P361" t="inlineStr">
        <is>
          <t xml:space="preserve">dr </t>
        </is>
      </c>
      <c r="R361" t="inlineStr">
        <is>
          <t xml:space="preserve">GE </t>
        </is>
      </c>
      <c r="S361" t="n">
        <v>2</v>
      </c>
      <c r="T361" t="n">
        <v>2</v>
      </c>
      <c r="U361" t="inlineStr">
        <is>
          <t>2010-03-02</t>
        </is>
      </c>
      <c r="V361" t="inlineStr">
        <is>
          <t>2010-03-02</t>
        </is>
      </c>
      <c r="W361" t="inlineStr">
        <is>
          <t>2000-09-19</t>
        </is>
      </c>
      <c r="X361" t="inlineStr">
        <is>
          <t>2000-09-19</t>
        </is>
      </c>
      <c r="Y361" t="n">
        <v>19</v>
      </c>
      <c r="Z361" t="n">
        <v>19</v>
      </c>
      <c r="AA361" t="n">
        <v>22</v>
      </c>
      <c r="AB361" t="n">
        <v>1</v>
      </c>
      <c r="AC361" t="n">
        <v>1</v>
      </c>
      <c r="AD361" t="n">
        <v>1</v>
      </c>
      <c r="AE361" t="n">
        <v>1</v>
      </c>
      <c r="AF361" t="n">
        <v>0</v>
      </c>
      <c r="AG361" t="n">
        <v>0</v>
      </c>
      <c r="AH361" t="n">
        <v>1</v>
      </c>
      <c r="AI361" t="n">
        <v>1</v>
      </c>
      <c r="AJ361" t="n">
        <v>0</v>
      </c>
      <c r="AK361" t="n">
        <v>0</v>
      </c>
      <c r="AL361" t="n">
        <v>0</v>
      </c>
      <c r="AM361" t="n">
        <v>0</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HYPERLINK("https://creighton-primo.hosted.exlibrisgroup.com/primo-explore/search?tab=default_tab&amp;search_scope=EVERYTHING&amp;vid=01CRU&amp;lang=en_US&amp;offset=0&amp;query=any,contains,991003284989702656","Catalog Record")</f>
        <v/>
      </c>
      <c r="AT361">
        <f>HYPERLINK("http://www.worldcat.org/oclc/46642089","WorldCat Record")</f>
        <v/>
      </c>
      <c r="AU361" t="inlineStr">
        <is>
          <t>34183626:spa</t>
        </is>
      </c>
      <c r="AV361" t="inlineStr">
        <is>
          <t>46642089</t>
        </is>
      </c>
      <c r="AW361" t="inlineStr">
        <is>
          <t>991003284989702656</t>
        </is>
      </c>
      <c r="AX361" t="inlineStr">
        <is>
          <t>991003284989702656</t>
        </is>
      </c>
      <c r="AY361" t="inlineStr">
        <is>
          <t>2259476150002656</t>
        </is>
      </c>
      <c r="AZ361" t="inlineStr">
        <is>
          <t>BOOK</t>
        </is>
      </c>
      <c r="BC361" t="inlineStr">
        <is>
          <t>32285003763181</t>
        </is>
      </c>
      <c r="BD361" t="inlineStr">
        <is>
          <t>893887316</t>
        </is>
      </c>
    </row>
    <row r="362">
      <c r="A362" t="inlineStr">
        <is>
          <t>No</t>
        </is>
      </c>
      <c r="B362" t="inlineStr">
        <is>
          <t>GE160.M6 B47 2002</t>
        </is>
      </c>
      <c r="C362" t="inlineStr">
        <is>
          <t>0                      GE 0160000M  6                  B  47          2002</t>
        </is>
      </c>
      <c r="D362" t="inlineStr">
        <is>
          <t>Red delta : fighting for life at the end of the Colorado River / Charles Bergman.</t>
        </is>
      </c>
      <c r="F362" t="inlineStr">
        <is>
          <t>No</t>
        </is>
      </c>
      <c r="G362" t="inlineStr">
        <is>
          <t>1</t>
        </is>
      </c>
      <c r="H362" t="inlineStr">
        <is>
          <t>No</t>
        </is>
      </c>
      <c r="I362" t="inlineStr">
        <is>
          <t>No</t>
        </is>
      </c>
      <c r="J362" t="inlineStr">
        <is>
          <t>0</t>
        </is>
      </c>
      <c r="K362" t="inlineStr">
        <is>
          <t>Bergman, Charles.</t>
        </is>
      </c>
      <c r="L362" t="inlineStr">
        <is>
          <t>Golden, Colo. : Fulcrum Pub., c2002.</t>
        </is>
      </c>
      <c r="M362" t="inlineStr">
        <is>
          <t>2002</t>
        </is>
      </c>
      <c r="O362" t="inlineStr">
        <is>
          <t>eng</t>
        </is>
      </c>
      <c r="P362" t="inlineStr">
        <is>
          <t>cou</t>
        </is>
      </c>
      <c r="R362" t="inlineStr">
        <is>
          <t xml:space="preserve">GE </t>
        </is>
      </c>
      <c r="S362" t="n">
        <v>1</v>
      </c>
      <c r="T362" t="n">
        <v>1</v>
      </c>
      <c r="U362" t="inlineStr">
        <is>
          <t>2004-03-22</t>
        </is>
      </c>
      <c r="V362" t="inlineStr">
        <is>
          <t>2004-03-22</t>
        </is>
      </c>
      <c r="W362" t="inlineStr">
        <is>
          <t>2004-03-22</t>
        </is>
      </c>
      <c r="X362" t="inlineStr">
        <is>
          <t>2004-03-22</t>
        </is>
      </c>
      <c r="Y362" t="n">
        <v>305</v>
      </c>
      <c r="Z362" t="n">
        <v>297</v>
      </c>
      <c r="AA362" t="n">
        <v>302</v>
      </c>
      <c r="AB362" t="n">
        <v>2</v>
      </c>
      <c r="AC362" t="n">
        <v>2</v>
      </c>
      <c r="AD362" t="n">
        <v>7</v>
      </c>
      <c r="AE362" t="n">
        <v>7</v>
      </c>
      <c r="AF362" t="n">
        <v>4</v>
      </c>
      <c r="AG362" t="n">
        <v>4</v>
      </c>
      <c r="AH362" t="n">
        <v>1</v>
      </c>
      <c r="AI362" t="n">
        <v>1</v>
      </c>
      <c r="AJ362" t="n">
        <v>2</v>
      </c>
      <c r="AK362" t="n">
        <v>2</v>
      </c>
      <c r="AL362" t="n">
        <v>1</v>
      </c>
      <c r="AM362" t="n">
        <v>1</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HYPERLINK("https://creighton-primo.hosted.exlibrisgroup.com/primo-explore/search?tab=default_tab&amp;search_scope=EVERYTHING&amp;vid=01CRU&amp;lang=en_US&amp;offset=0&amp;query=any,contains,991004257179702656","Catalog Record")</f>
        <v/>
      </c>
      <c r="AT362">
        <f>HYPERLINK("http://www.worldcat.org/oclc/49415612","WorldCat Record")</f>
        <v/>
      </c>
      <c r="AU362" t="inlineStr">
        <is>
          <t>314998209:eng</t>
        </is>
      </c>
      <c r="AV362" t="inlineStr">
        <is>
          <t>49415612</t>
        </is>
      </c>
      <c r="AW362" t="inlineStr">
        <is>
          <t>991004257179702656</t>
        </is>
      </c>
      <c r="AX362" t="inlineStr">
        <is>
          <t>991004257179702656</t>
        </is>
      </c>
      <c r="AY362" t="inlineStr">
        <is>
          <t>2261210470002656</t>
        </is>
      </c>
      <c r="AZ362" t="inlineStr">
        <is>
          <t>BOOK</t>
        </is>
      </c>
      <c r="BB362" t="inlineStr">
        <is>
          <t>9781555914608</t>
        </is>
      </c>
      <c r="BC362" t="inlineStr">
        <is>
          <t>32285004895263</t>
        </is>
      </c>
      <c r="BD362" t="inlineStr">
        <is>
          <t>893624518</t>
        </is>
      </c>
    </row>
    <row r="363">
      <c r="A363" t="inlineStr">
        <is>
          <t>No</t>
        </is>
      </c>
      <c r="B363" t="inlineStr">
        <is>
          <t>GE160.S65 K66 1994</t>
        </is>
      </c>
      <c r="C363" t="inlineStr">
        <is>
          <t>0                      GE 0160000S  65                 K  66          1994</t>
        </is>
      </c>
      <c r="D363" t="inlineStr">
        <is>
          <t>The geography of survival : ecology in the post-Soviet era / Ze'ev Wolfson (Boris Komarov) ; with a foreword by Yurii Shcherbak.</t>
        </is>
      </c>
      <c r="F363" t="inlineStr">
        <is>
          <t>No</t>
        </is>
      </c>
      <c r="G363" t="inlineStr">
        <is>
          <t>1</t>
        </is>
      </c>
      <c r="H363" t="inlineStr">
        <is>
          <t>No</t>
        </is>
      </c>
      <c r="I363" t="inlineStr">
        <is>
          <t>No</t>
        </is>
      </c>
      <c r="J363" t="inlineStr">
        <is>
          <t>0</t>
        </is>
      </c>
      <c r="K363" t="inlineStr">
        <is>
          <t>Komarov, Boris.</t>
        </is>
      </c>
      <c r="L363" t="inlineStr">
        <is>
          <t>Armonk, N.Y. : M.E. Sharpe, c1994.</t>
        </is>
      </c>
      <c r="M363" t="inlineStr">
        <is>
          <t>1994</t>
        </is>
      </c>
      <c r="O363" t="inlineStr">
        <is>
          <t>eng</t>
        </is>
      </c>
      <c r="P363" t="inlineStr">
        <is>
          <t>nyu</t>
        </is>
      </c>
      <c r="R363" t="inlineStr">
        <is>
          <t xml:space="preserve">GE </t>
        </is>
      </c>
      <c r="S363" t="n">
        <v>2</v>
      </c>
      <c r="T363" t="n">
        <v>2</v>
      </c>
      <c r="U363" t="inlineStr">
        <is>
          <t>1998-10-05</t>
        </is>
      </c>
      <c r="V363" t="inlineStr">
        <is>
          <t>1998-10-05</t>
        </is>
      </c>
      <c r="W363" t="inlineStr">
        <is>
          <t>1996-02-14</t>
        </is>
      </c>
      <c r="X363" t="inlineStr">
        <is>
          <t>1996-02-14</t>
        </is>
      </c>
      <c r="Y363" t="n">
        <v>256</v>
      </c>
      <c r="Z363" t="n">
        <v>201</v>
      </c>
      <c r="AA363" t="n">
        <v>228</v>
      </c>
      <c r="AB363" t="n">
        <v>3</v>
      </c>
      <c r="AC363" t="n">
        <v>3</v>
      </c>
      <c r="AD363" t="n">
        <v>7</v>
      </c>
      <c r="AE363" t="n">
        <v>7</v>
      </c>
      <c r="AF363" t="n">
        <v>2</v>
      </c>
      <c r="AG363" t="n">
        <v>2</v>
      </c>
      <c r="AH363" t="n">
        <v>1</v>
      </c>
      <c r="AI363" t="n">
        <v>1</v>
      </c>
      <c r="AJ363" t="n">
        <v>3</v>
      </c>
      <c r="AK363" t="n">
        <v>3</v>
      </c>
      <c r="AL363" t="n">
        <v>2</v>
      </c>
      <c r="AM363" t="n">
        <v>2</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HYPERLINK("https://creighton-primo.hosted.exlibrisgroup.com/primo-explore/search?tab=default_tab&amp;search_scope=EVERYTHING&amp;vid=01CRU&amp;lang=en_US&amp;offset=0&amp;query=any,contains,991002174369702656","Catalog Record")</f>
        <v/>
      </c>
      <c r="AT363">
        <f>HYPERLINK("http://www.worldcat.org/oclc/27976246","WorldCat Record")</f>
        <v/>
      </c>
      <c r="AU363" t="inlineStr">
        <is>
          <t>30468464:eng</t>
        </is>
      </c>
      <c r="AV363" t="inlineStr">
        <is>
          <t>27976246</t>
        </is>
      </c>
      <c r="AW363" t="inlineStr">
        <is>
          <t>991002174369702656</t>
        </is>
      </c>
      <c r="AX363" t="inlineStr">
        <is>
          <t>991002174369702656</t>
        </is>
      </c>
      <c r="AY363" t="inlineStr">
        <is>
          <t>2258307230002656</t>
        </is>
      </c>
      <c r="AZ363" t="inlineStr">
        <is>
          <t>BOOK</t>
        </is>
      </c>
      <c r="BB363" t="inlineStr">
        <is>
          <t>9781563240751</t>
        </is>
      </c>
      <c r="BC363" t="inlineStr">
        <is>
          <t>32285002135472</t>
        </is>
      </c>
      <c r="BD363" t="inlineStr">
        <is>
          <t>893866891</t>
        </is>
      </c>
    </row>
    <row r="364">
      <c r="A364" t="inlineStr">
        <is>
          <t>No</t>
        </is>
      </c>
      <c r="B364" t="inlineStr">
        <is>
          <t>GE170 .C635 2004</t>
        </is>
      </c>
      <c r="C364" t="inlineStr">
        <is>
          <t>0                      GE 0170000C  635         2004</t>
        </is>
      </c>
      <c r="D364" t="inlineStr">
        <is>
          <t>Collaborative environmental management : what roles for government? / Tomas M. Koontz ... [et al.]</t>
        </is>
      </c>
      <c r="F364" t="inlineStr">
        <is>
          <t>No</t>
        </is>
      </c>
      <c r="G364" t="inlineStr">
        <is>
          <t>1</t>
        </is>
      </c>
      <c r="H364" t="inlineStr">
        <is>
          <t>No</t>
        </is>
      </c>
      <c r="I364" t="inlineStr">
        <is>
          <t>No</t>
        </is>
      </c>
      <c r="J364" t="inlineStr">
        <is>
          <t>0</t>
        </is>
      </c>
      <c r="L364" t="inlineStr">
        <is>
          <t>Washington, DC : Resources for the Future, c2004.</t>
        </is>
      </c>
      <c r="M364" t="inlineStr">
        <is>
          <t>2004</t>
        </is>
      </c>
      <c r="O364" t="inlineStr">
        <is>
          <t>eng</t>
        </is>
      </c>
      <c r="P364" t="inlineStr">
        <is>
          <t>dcu</t>
        </is>
      </c>
      <c r="R364" t="inlineStr">
        <is>
          <t xml:space="preserve">GE </t>
        </is>
      </c>
      <c r="S364" t="n">
        <v>1</v>
      </c>
      <c r="T364" t="n">
        <v>1</v>
      </c>
      <c r="U364" t="inlineStr">
        <is>
          <t>2006-04-03</t>
        </is>
      </c>
      <c r="V364" t="inlineStr">
        <is>
          <t>2006-04-03</t>
        </is>
      </c>
      <c r="W364" t="inlineStr">
        <is>
          <t>2006-04-03</t>
        </is>
      </c>
      <c r="X364" t="inlineStr">
        <is>
          <t>2006-04-03</t>
        </is>
      </c>
      <c r="Y364" t="n">
        <v>361</v>
      </c>
      <c r="Z364" t="n">
        <v>290</v>
      </c>
      <c r="AA364" t="n">
        <v>399</v>
      </c>
      <c r="AB364" t="n">
        <v>2</v>
      </c>
      <c r="AC364" t="n">
        <v>3</v>
      </c>
      <c r="AD364" t="n">
        <v>11</v>
      </c>
      <c r="AE364" t="n">
        <v>17</v>
      </c>
      <c r="AF364" t="n">
        <v>4</v>
      </c>
      <c r="AG364" t="n">
        <v>5</v>
      </c>
      <c r="AH364" t="n">
        <v>2</v>
      </c>
      <c r="AI364" t="n">
        <v>5</v>
      </c>
      <c r="AJ364" t="n">
        <v>6</v>
      </c>
      <c r="AK364" t="n">
        <v>8</v>
      </c>
      <c r="AL364" t="n">
        <v>1</v>
      </c>
      <c r="AM364" t="n">
        <v>2</v>
      </c>
      <c r="AN364" t="n">
        <v>2</v>
      </c>
      <c r="AO364" t="n">
        <v>2</v>
      </c>
      <c r="AP364" t="inlineStr">
        <is>
          <t>No</t>
        </is>
      </c>
      <c r="AQ364" t="inlineStr">
        <is>
          <t>No</t>
        </is>
      </c>
      <c r="AS364">
        <f>HYPERLINK("https://creighton-primo.hosted.exlibrisgroup.com/primo-explore/search?tab=default_tab&amp;search_scope=EVERYTHING&amp;vid=01CRU&amp;lang=en_US&amp;offset=0&amp;query=any,contains,991004774859702656","Catalog Record")</f>
        <v/>
      </c>
      <c r="AT364">
        <f>HYPERLINK("http://www.worldcat.org/oclc/55746815","WorldCat Record")</f>
        <v/>
      </c>
      <c r="AU364" t="inlineStr">
        <is>
          <t>803225722:eng</t>
        </is>
      </c>
      <c r="AV364" t="inlineStr">
        <is>
          <t>55746815</t>
        </is>
      </c>
      <c r="AW364" t="inlineStr">
        <is>
          <t>991004774859702656</t>
        </is>
      </c>
      <c r="AX364" t="inlineStr">
        <is>
          <t>991004774859702656</t>
        </is>
      </c>
      <c r="AY364" t="inlineStr">
        <is>
          <t>2264253940002656</t>
        </is>
      </c>
      <c r="AZ364" t="inlineStr">
        <is>
          <t>BOOK</t>
        </is>
      </c>
      <c r="BB364" t="inlineStr">
        <is>
          <t>9781891853807</t>
        </is>
      </c>
      <c r="BC364" t="inlineStr">
        <is>
          <t>32285005169429</t>
        </is>
      </c>
      <c r="BD364" t="inlineStr">
        <is>
          <t>893350365</t>
        </is>
      </c>
    </row>
    <row r="365">
      <c r="A365" t="inlineStr">
        <is>
          <t>No</t>
        </is>
      </c>
      <c r="B365" t="inlineStr">
        <is>
          <t>GE170 .C66 1994</t>
        </is>
      </c>
      <c r="C365" t="inlineStr">
        <is>
          <t>0                      GE 0170000C  66          1994</t>
        </is>
      </c>
      <c r="D365" t="inlineStr">
        <is>
          <t>Environment and resource policies for the world economy / Richard N. Cooper.</t>
        </is>
      </c>
      <c r="F365" t="inlineStr">
        <is>
          <t>No</t>
        </is>
      </c>
      <c r="G365" t="inlineStr">
        <is>
          <t>1</t>
        </is>
      </c>
      <c r="H365" t="inlineStr">
        <is>
          <t>Yes</t>
        </is>
      </c>
      <c r="I365" t="inlineStr">
        <is>
          <t>No</t>
        </is>
      </c>
      <c r="J365" t="inlineStr">
        <is>
          <t>0</t>
        </is>
      </c>
      <c r="K365" t="inlineStr">
        <is>
          <t>Cooper, Richard N.</t>
        </is>
      </c>
      <c r="L365" t="inlineStr">
        <is>
          <t>Washington, D.C. : Brookings Institution, 1994.</t>
        </is>
      </c>
      <c r="M365" t="inlineStr">
        <is>
          <t>1994</t>
        </is>
      </c>
      <c r="O365" t="inlineStr">
        <is>
          <t>eng</t>
        </is>
      </c>
      <c r="P365" t="inlineStr">
        <is>
          <t>dcu</t>
        </is>
      </c>
      <c r="Q365" t="inlineStr">
        <is>
          <t>Integrating national economies</t>
        </is>
      </c>
      <c r="R365" t="inlineStr">
        <is>
          <t xml:space="preserve">GE </t>
        </is>
      </c>
      <c r="S365" t="n">
        <v>9</v>
      </c>
      <c r="T365" t="n">
        <v>9</v>
      </c>
      <c r="U365" t="inlineStr">
        <is>
          <t>2001-11-12</t>
        </is>
      </c>
      <c r="V365" t="inlineStr">
        <is>
          <t>2001-11-12</t>
        </is>
      </c>
      <c r="W365" t="inlineStr">
        <is>
          <t>1994-12-21</t>
        </is>
      </c>
      <c r="X365" t="inlineStr">
        <is>
          <t>1995-12-14</t>
        </is>
      </c>
      <c r="Y365" t="n">
        <v>602</v>
      </c>
      <c r="Z365" t="n">
        <v>491</v>
      </c>
      <c r="AA365" t="n">
        <v>1008</v>
      </c>
      <c r="AB365" t="n">
        <v>5</v>
      </c>
      <c r="AC365" t="n">
        <v>7</v>
      </c>
      <c r="AD365" t="n">
        <v>24</v>
      </c>
      <c r="AE365" t="n">
        <v>30</v>
      </c>
      <c r="AF365" t="n">
        <v>5</v>
      </c>
      <c r="AG365" t="n">
        <v>9</v>
      </c>
      <c r="AH365" t="n">
        <v>5</v>
      </c>
      <c r="AI365" t="n">
        <v>5</v>
      </c>
      <c r="AJ365" t="n">
        <v>14</v>
      </c>
      <c r="AK365" t="n">
        <v>15</v>
      </c>
      <c r="AL365" t="n">
        <v>3</v>
      </c>
      <c r="AM365" t="n">
        <v>5</v>
      </c>
      <c r="AN365" t="n">
        <v>3</v>
      </c>
      <c r="AO365" t="n">
        <v>3</v>
      </c>
      <c r="AP365" t="inlineStr">
        <is>
          <t>No</t>
        </is>
      </c>
      <c r="AQ365" t="inlineStr">
        <is>
          <t>No</t>
        </is>
      </c>
      <c r="AS365">
        <f>HYPERLINK("https://creighton-primo.hosted.exlibrisgroup.com/primo-explore/search?tab=default_tab&amp;search_scope=EVERYTHING&amp;vid=01CRU&amp;lang=en_US&amp;offset=0&amp;query=any,contains,991001663579702656","Catalog Record")</f>
        <v/>
      </c>
      <c r="AT365">
        <f>HYPERLINK("http://www.worldcat.org/oclc/30914431","WorldCat Record")</f>
        <v/>
      </c>
      <c r="AU365" t="inlineStr">
        <is>
          <t>1015009:eng</t>
        </is>
      </c>
      <c r="AV365" t="inlineStr">
        <is>
          <t>30914431</t>
        </is>
      </c>
      <c r="AW365" t="inlineStr">
        <is>
          <t>991001663579702656</t>
        </is>
      </c>
      <c r="AX365" t="inlineStr">
        <is>
          <t>991001663579702656</t>
        </is>
      </c>
      <c r="AY365" t="inlineStr">
        <is>
          <t>2272532390002656</t>
        </is>
      </c>
      <c r="AZ365" t="inlineStr">
        <is>
          <t>BOOK</t>
        </is>
      </c>
      <c r="BB365" t="inlineStr">
        <is>
          <t>9780815715450</t>
        </is>
      </c>
      <c r="BC365" t="inlineStr">
        <is>
          <t>32285001973584</t>
        </is>
      </c>
      <c r="BD365" t="inlineStr">
        <is>
          <t>893414379</t>
        </is>
      </c>
    </row>
    <row r="366">
      <c r="A366" t="inlineStr">
        <is>
          <t>No</t>
        </is>
      </c>
      <c r="B366" t="inlineStr">
        <is>
          <t>GE170 .D35 2002</t>
        </is>
      </c>
      <c r="C366" t="inlineStr">
        <is>
          <t>0                      GE 0170000D  35          2002</t>
        </is>
      </c>
      <c r="D366" t="inlineStr">
        <is>
          <t>Environmental security / Simon Dalby.</t>
        </is>
      </c>
      <c r="F366" t="inlineStr">
        <is>
          <t>No</t>
        </is>
      </c>
      <c r="G366" t="inlineStr">
        <is>
          <t>1</t>
        </is>
      </c>
      <c r="H366" t="inlineStr">
        <is>
          <t>No</t>
        </is>
      </c>
      <c r="I366" t="inlineStr">
        <is>
          <t>No</t>
        </is>
      </c>
      <c r="J366" t="inlineStr">
        <is>
          <t>0</t>
        </is>
      </c>
      <c r="K366" t="inlineStr">
        <is>
          <t>Dalby, Simon.</t>
        </is>
      </c>
      <c r="L366" t="inlineStr">
        <is>
          <t>Minneapolis : University of Minnesota Press, c2002.</t>
        </is>
      </c>
      <c r="M366" t="inlineStr">
        <is>
          <t>2002</t>
        </is>
      </c>
      <c r="O366" t="inlineStr">
        <is>
          <t>eng</t>
        </is>
      </c>
      <c r="P366" t="inlineStr">
        <is>
          <t>mnu</t>
        </is>
      </c>
      <c r="Q366" t="inlineStr">
        <is>
          <t>Borderlines ; v. 20</t>
        </is>
      </c>
      <c r="R366" t="inlineStr">
        <is>
          <t xml:space="preserve">GE </t>
        </is>
      </c>
      <c r="S366" t="n">
        <v>8</v>
      </c>
      <c r="T366" t="n">
        <v>8</v>
      </c>
      <c r="U366" t="inlineStr">
        <is>
          <t>2008-01-24</t>
        </is>
      </c>
      <c r="V366" t="inlineStr">
        <is>
          <t>2008-01-24</t>
        </is>
      </c>
      <c r="W366" t="inlineStr">
        <is>
          <t>2002-11-19</t>
        </is>
      </c>
      <c r="X366" t="inlineStr">
        <is>
          <t>2002-11-19</t>
        </is>
      </c>
      <c r="Y366" t="n">
        <v>333</v>
      </c>
      <c r="Z366" t="n">
        <v>232</v>
      </c>
      <c r="AA366" t="n">
        <v>233</v>
      </c>
      <c r="AB366" t="n">
        <v>3</v>
      </c>
      <c r="AC366" t="n">
        <v>3</v>
      </c>
      <c r="AD366" t="n">
        <v>10</v>
      </c>
      <c r="AE366" t="n">
        <v>10</v>
      </c>
      <c r="AF366" t="n">
        <v>3</v>
      </c>
      <c r="AG366" t="n">
        <v>3</v>
      </c>
      <c r="AH366" t="n">
        <v>3</v>
      </c>
      <c r="AI366" t="n">
        <v>3</v>
      </c>
      <c r="AJ366" t="n">
        <v>6</v>
      </c>
      <c r="AK366" t="n">
        <v>6</v>
      </c>
      <c r="AL366" t="n">
        <v>2</v>
      </c>
      <c r="AM366" t="n">
        <v>2</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HYPERLINK("https://creighton-primo.hosted.exlibrisgroup.com/primo-explore/search?tab=default_tab&amp;search_scope=EVERYTHING&amp;vid=01CRU&amp;lang=en_US&amp;offset=0&amp;query=any,contains,991003911739702656","Catalog Record")</f>
        <v/>
      </c>
      <c r="AT366">
        <f>HYPERLINK("http://www.worldcat.org/oclc/48966483","WorldCat Record")</f>
        <v/>
      </c>
      <c r="AU366" t="inlineStr">
        <is>
          <t>1015591:eng</t>
        </is>
      </c>
      <c r="AV366" t="inlineStr">
        <is>
          <t>48966483</t>
        </is>
      </c>
      <c r="AW366" t="inlineStr">
        <is>
          <t>991003911739702656</t>
        </is>
      </c>
      <c r="AX366" t="inlineStr">
        <is>
          <t>991003911739702656</t>
        </is>
      </c>
      <c r="AY366" t="inlineStr">
        <is>
          <t>2270292770002656</t>
        </is>
      </c>
      <c r="AZ366" t="inlineStr">
        <is>
          <t>BOOK</t>
        </is>
      </c>
      <c r="BB366" t="inlineStr">
        <is>
          <t>9780816640256</t>
        </is>
      </c>
      <c r="BC366" t="inlineStr">
        <is>
          <t>32285004664412</t>
        </is>
      </c>
      <c r="BD366" t="inlineStr">
        <is>
          <t>893599200</t>
        </is>
      </c>
    </row>
    <row r="367">
      <c r="A367" t="inlineStr">
        <is>
          <t>No</t>
        </is>
      </c>
      <c r="B367" t="inlineStr">
        <is>
          <t>GE170 .D473 2002</t>
        </is>
      </c>
      <c r="C367" t="inlineStr">
        <is>
          <t>0                      GE 0170000D  473         2002</t>
        </is>
      </c>
      <c r="D367" t="inlineStr">
        <is>
          <t>The global environment and world politics / Elizabeth R. DeSombre.</t>
        </is>
      </c>
      <c r="F367" t="inlineStr">
        <is>
          <t>No</t>
        </is>
      </c>
      <c r="G367" t="inlineStr">
        <is>
          <t>1</t>
        </is>
      </c>
      <c r="H367" t="inlineStr">
        <is>
          <t>No</t>
        </is>
      </c>
      <c r="I367" t="inlineStr">
        <is>
          <t>No</t>
        </is>
      </c>
      <c r="J367" t="inlineStr">
        <is>
          <t>0</t>
        </is>
      </c>
      <c r="K367" t="inlineStr">
        <is>
          <t>DeSombre, Elizabeth R.</t>
        </is>
      </c>
      <c r="L367" t="inlineStr">
        <is>
          <t>London ; New York : Continuum, 2002.</t>
        </is>
      </c>
      <c r="M367" t="inlineStr">
        <is>
          <t>2002</t>
        </is>
      </c>
      <c r="O367" t="inlineStr">
        <is>
          <t>eng</t>
        </is>
      </c>
      <c r="P367" t="inlineStr">
        <is>
          <t>enk</t>
        </is>
      </c>
      <c r="Q367" t="inlineStr">
        <is>
          <t>International relations for the 21st century</t>
        </is>
      </c>
      <c r="R367" t="inlineStr">
        <is>
          <t xml:space="preserve">GE </t>
        </is>
      </c>
      <c r="S367" t="n">
        <v>5</v>
      </c>
      <c r="T367" t="n">
        <v>5</v>
      </c>
      <c r="U367" t="inlineStr">
        <is>
          <t>2008-01-19</t>
        </is>
      </c>
      <c r="V367" t="inlineStr">
        <is>
          <t>2008-01-19</t>
        </is>
      </c>
      <c r="W367" t="inlineStr">
        <is>
          <t>2004-02-11</t>
        </is>
      </c>
      <c r="X367" t="inlineStr">
        <is>
          <t>2004-02-11</t>
        </is>
      </c>
      <c r="Y367" t="n">
        <v>372</v>
      </c>
      <c r="Z367" t="n">
        <v>277</v>
      </c>
      <c r="AA367" t="n">
        <v>357</v>
      </c>
      <c r="AB367" t="n">
        <v>2</v>
      </c>
      <c r="AC367" t="n">
        <v>2</v>
      </c>
      <c r="AD367" t="n">
        <v>19</v>
      </c>
      <c r="AE367" t="n">
        <v>22</v>
      </c>
      <c r="AF367" t="n">
        <v>10</v>
      </c>
      <c r="AG367" t="n">
        <v>13</v>
      </c>
      <c r="AH367" t="n">
        <v>4</v>
      </c>
      <c r="AI367" t="n">
        <v>4</v>
      </c>
      <c r="AJ367" t="n">
        <v>10</v>
      </c>
      <c r="AK367" t="n">
        <v>12</v>
      </c>
      <c r="AL367" t="n">
        <v>1</v>
      </c>
      <c r="AM367" t="n">
        <v>1</v>
      </c>
      <c r="AN367" t="n">
        <v>0</v>
      </c>
      <c r="AO367" t="n">
        <v>0</v>
      </c>
      <c r="AP367" t="inlineStr">
        <is>
          <t>No</t>
        </is>
      </c>
      <c r="AQ367" t="inlineStr">
        <is>
          <t>Yes</t>
        </is>
      </c>
      <c r="AR367">
        <f>HYPERLINK("http://catalog.hathitrust.org/Record/004263328","HathiTrust Record")</f>
        <v/>
      </c>
      <c r="AS367">
        <f>HYPERLINK("https://creighton-primo.hosted.exlibrisgroup.com/primo-explore/search?tab=default_tab&amp;search_scope=EVERYTHING&amp;vid=01CRU&amp;lang=en_US&amp;offset=0&amp;query=any,contains,991004164169702656","Catalog Record")</f>
        <v/>
      </c>
      <c r="AT367">
        <f>HYPERLINK("http://www.worldcat.org/oclc/48495190","WorldCat Record")</f>
        <v/>
      </c>
      <c r="AU367" t="inlineStr">
        <is>
          <t>18696901:eng</t>
        </is>
      </c>
      <c r="AV367" t="inlineStr">
        <is>
          <t>48495190</t>
        </is>
      </c>
      <c r="AW367" t="inlineStr">
        <is>
          <t>991004164169702656</t>
        </is>
      </c>
      <c r="AX367" t="inlineStr">
        <is>
          <t>991004164169702656</t>
        </is>
      </c>
      <c r="AY367" t="inlineStr">
        <is>
          <t>2257651690002656</t>
        </is>
      </c>
      <c r="AZ367" t="inlineStr">
        <is>
          <t>BOOK</t>
        </is>
      </c>
      <c r="BB367" t="inlineStr">
        <is>
          <t>9780826456656</t>
        </is>
      </c>
      <c r="BC367" t="inlineStr">
        <is>
          <t>32285004637913</t>
        </is>
      </c>
      <c r="BD367" t="inlineStr">
        <is>
          <t>893429734</t>
        </is>
      </c>
    </row>
    <row r="368">
      <c r="A368" t="inlineStr">
        <is>
          <t>No</t>
        </is>
      </c>
      <c r="B368" t="inlineStr">
        <is>
          <t>GE170 .E576637 2002</t>
        </is>
      </c>
      <c r="C368" t="inlineStr">
        <is>
          <t>0                      GE 0170000E  576637      2002</t>
        </is>
      </c>
      <c r="D368" t="inlineStr">
        <is>
          <t>Environmental peacemaking / edited by Ken Conca &amp; Geoffrey D. Dabelko.</t>
        </is>
      </c>
      <c r="F368" t="inlineStr">
        <is>
          <t>No</t>
        </is>
      </c>
      <c r="G368" t="inlineStr">
        <is>
          <t>1</t>
        </is>
      </c>
      <c r="H368" t="inlineStr">
        <is>
          <t>No</t>
        </is>
      </c>
      <c r="I368" t="inlineStr">
        <is>
          <t>No</t>
        </is>
      </c>
      <c r="J368" t="inlineStr">
        <is>
          <t>0</t>
        </is>
      </c>
      <c r="L368" t="inlineStr">
        <is>
          <t>Washington, D.C. : Woodrow Wilson Center Press ; Baltimore : Johns Hopkins University Press, c2002.</t>
        </is>
      </c>
      <c r="M368" t="inlineStr">
        <is>
          <t>2002</t>
        </is>
      </c>
      <c r="O368" t="inlineStr">
        <is>
          <t>eng</t>
        </is>
      </c>
      <c r="P368" t="inlineStr">
        <is>
          <t>dcu</t>
        </is>
      </c>
      <c r="R368" t="inlineStr">
        <is>
          <t xml:space="preserve">GE </t>
        </is>
      </c>
      <c r="S368" t="n">
        <v>4</v>
      </c>
      <c r="T368" t="n">
        <v>4</v>
      </c>
      <c r="U368" t="inlineStr">
        <is>
          <t>2008-01-11</t>
        </is>
      </c>
      <c r="V368" t="inlineStr">
        <is>
          <t>2008-01-11</t>
        </is>
      </c>
      <c r="W368" t="inlineStr">
        <is>
          <t>2003-02-06</t>
        </is>
      </c>
      <c r="X368" t="inlineStr">
        <is>
          <t>2003-02-06</t>
        </is>
      </c>
      <c r="Y368" t="n">
        <v>318</v>
      </c>
      <c r="Z368" t="n">
        <v>252</v>
      </c>
      <c r="AA368" t="n">
        <v>263</v>
      </c>
      <c r="AB368" t="n">
        <v>3</v>
      </c>
      <c r="AC368" t="n">
        <v>3</v>
      </c>
      <c r="AD368" t="n">
        <v>10</v>
      </c>
      <c r="AE368" t="n">
        <v>10</v>
      </c>
      <c r="AF368" t="n">
        <v>3</v>
      </c>
      <c r="AG368" t="n">
        <v>3</v>
      </c>
      <c r="AH368" t="n">
        <v>2</v>
      </c>
      <c r="AI368" t="n">
        <v>2</v>
      </c>
      <c r="AJ368" t="n">
        <v>4</v>
      </c>
      <c r="AK368" t="n">
        <v>4</v>
      </c>
      <c r="AL368" t="n">
        <v>2</v>
      </c>
      <c r="AM368" t="n">
        <v>2</v>
      </c>
      <c r="AN368" t="n">
        <v>1</v>
      </c>
      <c r="AO368" t="n">
        <v>1</v>
      </c>
      <c r="AP368" t="inlineStr">
        <is>
          <t>No</t>
        </is>
      </c>
      <c r="AQ368" t="inlineStr">
        <is>
          <t>Yes</t>
        </is>
      </c>
      <c r="AR368">
        <f>HYPERLINK("http://catalog.hathitrust.org/Record/004300164","HathiTrust Record")</f>
        <v/>
      </c>
      <c r="AS368">
        <f>HYPERLINK("https://creighton-primo.hosted.exlibrisgroup.com/primo-explore/search?tab=default_tab&amp;search_scope=EVERYTHING&amp;vid=01CRU&amp;lang=en_US&amp;offset=0&amp;query=any,contains,991003967889702656","Catalog Record")</f>
        <v/>
      </c>
      <c r="AT368">
        <f>HYPERLINK("http://www.worldcat.org/oclc/50520518","WorldCat Record")</f>
        <v/>
      </c>
      <c r="AU368" t="inlineStr">
        <is>
          <t>350568412:eng</t>
        </is>
      </c>
      <c r="AV368" t="inlineStr">
        <is>
          <t>50520518</t>
        </is>
      </c>
      <c r="AW368" t="inlineStr">
        <is>
          <t>991003967889702656</t>
        </is>
      </c>
      <c r="AX368" t="inlineStr">
        <is>
          <t>991003967889702656</t>
        </is>
      </c>
      <c r="AY368" t="inlineStr">
        <is>
          <t>2255082890002656</t>
        </is>
      </c>
      <c r="AZ368" t="inlineStr">
        <is>
          <t>BOOK</t>
        </is>
      </c>
      <c r="BB368" t="inlineStr">
        <is>
          <t>9780801871924</t>
        </is>
      </c>
      <c r="BC368" t="inlineStr">
        <is>
          <t>32285004697826</t>
        </is>
      </c>
      <c r="BD368" t="inlineStr">
        <is>
          <t>893605473</t>
        </is>
      </c>
    </row>
    <row r="369">
      <c r="A369" t="inlineStr">
        <is>
          <t>No</t>
        </is>
      </c>
      <c r="B369" t="inlineStr">
        <is>
          <t>GE170 .E586 2002</t>
        </is>
      </c>
      <c r="C369" t="inlineStr">
        <is>
          <t>0                      GE 0170000E  586         2002</t>
        </is>
      </c>
      <c r="D369" t="inlineStr">
        <is>
          <t>Environmental security and global stability : problems and responses / edited by Max G. Manwaring.</t>
        </is>
      </c>
      <c r="F369" t="inlineStr">
        <is>
          <t>No</t>
        </is>
      </c>
      <c r="G369" t="inlineStr">
        <is>
          <t>1</t>
        </is>
      </c>
      <c r="H369" t="inlineStr">
        <is>
          <t>No</t>
        </is>
      </c>
      <c r="I369" t="inlineStr">
        <is>
          <t>No</t>
        </is>
      </c>
      <c r="J369" t="inlineStr">
        <is>
          <t>0</t>
        </is>
      </c>
      <c r="L369" t="inlineStr">
        <is>
          <t>Lanham, Md. : Lexington Books, c2002.</t>
        </is>
      </c>
      <c r="M369" t="inlineStr">
        <is>
          <t>2002</t>
        </is>
      </c>
      <c r="O369" t="inlineStr">
        <is>
          <t>eng</t>
        </is>
      </c>
      <c r="P369" t="inlineStr">
        <is>
          <t>mdu</t>
        </is>
      </c>
      <c r="R369" t="inlineStr">
        <is>
          <t xml:space="preserve">GE </t>
        </is>
      </c>
      <c r="S369" t="n">
        <v>1</v>
      </c>
      <c r="T369" t="n">
        <v>1</v>
      </c>
      <c r="U369" t="inlineStr">
        <is>
          <t>2003-11-17</t>
        </is>
      </c>
      <c r="V369" t="inlineStr">
        <is>
          <t>2003-11-17</t>
        </is>
      </c>
      <c r="W369" t="inlineStr">
        <is>
          <t>2003-11-17</t>
        </is>
      </c>
      <c r="X369" t="inlineStr">
        <is>
          <t>2003-11-17</t>
        </is>
      </c>
      <c r="Y369" t="n">
        <v>226</v>
      </c>
      <c r="Z369" t="n">
        <v>186</v>
      </c>
      <c r="AA369" t="n">
        <v>186</v>
      </c>
      <c r="AB369" t="n">
        <v>2</v>
      </c>
      <c r="AC369" t="n">
        <v>2</v>
      </c>
      <c r="AD369" t="n">
        <v>7</v>
      </c>
      <c r="AE369" t="n">
        <v>7</v>
      </c>
      <c r="AF369" t="n">
        <v>2</v>
      </c>
      <c r="AG369" t="n">
        <v>2</v>
      </c>
      <c r="AH369" t="n">
        <v>4</v>
      </c>
      <c r="AI369" t="n">
        <v>4</v>
      </c>
      <c r="AJ369" t="n">
        <v>2</v>
      </c>
      <c r="AK369" t="n">
        <v>2</v>
      </c>
      <c r="AL369" t="n">
        <v>1</v>
      </c>
      <c r="AM369" t="n">
        <v>1</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HYPERLINK("https://creighton-primo.hosted.exlibrisgroup.com/primo-explore/search?tab=default_tab&amp;search_scope=EVERYTHING&amp;vid=01CRU&amp;lang=en_US&amp;offset=0&amp;query=any,contains,991004159309702656","Catalog Record")</f>
        <v/>
      </c>
      <c r="AT369">
        <f>HYPERLINK("http://www.worldcat.org/oclc/50065041","WorldCat Record")</f>
        <v/>
      </c>
      <c r="AU369" t="inlineStr">
        <is>
          <t>2715822:eng</t>
        </is>
      </c>
      <c r="AV369" t="inlineStr">
        <is>
          <t>50065041</t>
        </is>
      </c>
      <c r="AW369" t="inlineStr">
        <is>
          <t>991004159309702656</t>
        </is>
      </c>
      <c r="AX369" t="inlineStr">
        <is>
          <t>991004159309702656</t>
        </is>
      </c>
      <c r="AY369" t="inlineStr">
        <is>
          <t>2270899190002656</t>
        </is>
      </c>
      <c r="AZ369" t="inlineStr">
        <is>
          <t>BOOK</t>
        </is>
      </c>
      <c r="BB369" t="inlineStr">
        <is>
          <t>9780739104477</t>
        </is>
      </c>
      <c r="BC369" t="inlineStr">
        <is>
          <t>32285004798186</t>
        </is>
      </c>
      <c r="BD369" t="inlineStr">
        <is>
          <t>893693597</t>
        </is>
      </c>
    </row>
    <row r="370">
      <c r="A370" t="inlineStr">
        <is>
          <t>No</t>
        </is>
      </c>
      <c r="B370" t="inlineStr">
        <is>
          <t>GE170 .F74 1995</t>
        </is>
      </c>
      <c r="C370" t="inlineStr">
        <is>
          <t>0                      GE 0170000F  74          1995</t>
        </is>
      </c>
      <c r="D370" t="inlineStr">
        <is>
          <t>Partnership for the planet : an environmental agenda for the United Nations / Hilary F. French ; Nancy Chege, staff researcher, Jane A. Peterson, editor.</t>
        </is>
      </c>
      <c r="F370" t="inlineStr">
        <is>
          <t>No</t>
        </is>
      </c>
      <c r="G370" t="inlineStr">
        <is>
          <t>1</t>
        </is>
      </c>
      <c r="H370" t="inlineStr">
        <is>
          <t>No</t>
        </is>
      </c>
      <c r="I370" t="inlineStr">
        <is>
          <t>No</t>
        </is>
      </c>
      <c r="J370" t="inlineStr">
        <is>
          <t>0</t>
        </is>
      </c>
      <c r="K370" t="inlineStr">
        <is>
          <t>French, Hilary F.</t>
        </is>
      </c>
      <c r="L370" t="inlineStr">
        <is>
          <t>Washington, D.C. : Worldwatch Institute, c1995.</t>
        </is>
      </c>
      <c r="M370" t="inlineStr">
        <is>
          <t>1995</t>
        </is>
      </c>
      <c r="O370" t="inlineStr">
        <is>
          <t>eng</t>
        </is>
      </c>
      <c r="P370" t="inlineStr">
        <is>
          <t>dcu</t>
        </is>
      </c>
      <c r="Q370" t="inlineStr">
        <is>
          <t>Worldwatch paper ; 126</t>
        </is>
      </c>
      <c r="R370" t="inlineStr">
        <is>
          <t xml:space="preserve">GE </t>
        </is>
      </c>
      <c r="S370" t="n">
        <v>16</v>
      </c>
      <c r="T370" t="n">
        <v>16</v>
      </c>
      <c r="U370" t="inlineStr">
        <is>
          <t>2000-03-18</t>
        </is>
      </c>
      <c r="V370" t="inlineStr">
        <is>
          <t>2000-03-18</t>
        </is>
      </c>
      <c r="W370" t="inlineStr">
        <is>
          <t>1996-01-31</t>
        </is>
      </c>
      <c r="X370" t="inlineStr">
        <is>
          <t>1996-01-31</t>
        </is>
      </c>
      <c r="Y370" t="n">
        <v>513</v>
      </c>
      <c r="Z370" t="n">
        <v>437</v>
      </c>
      <c r="AA370" t="n">
        <v>444</v>
      </c>
      <c r="AB370" t="n">
        <v>4</v>
      </c>
      <c r="AC370" t="n">
        <v>4</v>
      </c>
      <c r="AD370" t="n">
        <v>24</v>
      </c>
      <c r="AE370" t="n">
        <v>24</v>
      </c>
      <c r="AF370" t="n">
        <v>9</v>
      </c>
      <c r="AG370" t="n">
        <v>9</v>
      </c>
      <c r="AH370" t="n">
        <v>4</v>
      </c>
      <c r="AI370" t="n">
        <v>4</v>
      </c>
      <c r="AJ370" t="n">
        <v>11</v>
      </c>
      <c r="AK370" t="n">
        <v>11</v>
      </c>
      <c r="AL370" t="n">
        <v>3</v>
      </c>
      <c r="AM370" t="n">
        <v>3</v>
      </c>
      <c r="AN370" t="n">
        <v>1</v>
      </c>
      <c r="AO370" t="n">
        <v>1</v>
      </c>
      <c r="AP370" t="inlineStr">
        <is>
          <t>No</t>
        </is>
      </c>
      <c r="AQ370" t="inlineStr">
        <is>
          <t>Yes</t>
        </is>
      </c>
      <c r="AR370">
        <f>HYPERLINK("http://catalog.hathitrust.org/Record/003026229","HathiTrust Record")</f>
        <v/>
      </c>
      <c r="AS370">
        <f>HYPERLINK("https://creighton-primo.hosted.exlibrisgroup.com/primo-explore/search?tab=default_tab&amp;search_scope=EVERYTHING&amp;vid=01CRU&amp;lang=en_US&amp;offset=0&amp;query=any,contains,991002529179702656","Catalog Record")</f>
        <v/>
      </c>
      <c r="AT370">
        <f>HYPERLINK("http://www.worldcat.org/oclc/32872203","WorldCat Record")</f>
        <v/>
      </c>
      <c r="AU370" t="inlineStr">
        <is>
          <t>290467052:eng</t>
        </is>
      </c>
      <c r="AV370" t="inlineStr">
        <is>
          <t>32872203</t>
        </is>
      </c>
      <c r="AW370" t="inlineStr">
        <is>
          <t>991002529179702656</t>
        </is>
      </c>
      <c r="AX370" t="inlineStr">
        <is>
          <t>991002529179702656</t>
        </is>
      </c>
      <c r="AY370" t="inlineStr">
        <is>
          <t>2258817200002656</t>
        </is>
      </c>
      <c r="AZ370" t="inlineStr">
        <is>
          <t>BOOK</t>
        </is>
      </c>
      <c r="BB370" t="inlineStr">
        <is>
          <t>9781878071279</t>
        </is>
      </c>
      <c r="BC370" t="inlineStr">
        <is>
          <t>32285002126828</t>
        </is>
      </c>
      <c r="BD370" t="inlineStr">
        <is>
          <t>893535055</t>
        </is>
      </c>
    </row>
    <row r="371">
      <c r="A371" t="inlineStr">
        <is>
          <t>No</t>
        </is>
      </c>
      <c r="B371" t="inlineStr">
        <is>
          <t>GE170 .G58 1997</t>
        </is>
      </c>
      <c r="C371" t="inlineStr">
        <is>
          <t>0                      GE 0170000G  58          1997</t>
        </is>
      </c>
      <c r="D371" t="inlineStr">
        <is>
          <t>Global governance : drawing insights from the environmental experience / edited by Oran R. Young.</t>
        </is>
      </c>
      <c r="F371" t="inlineStr">
        <is>
          <t>No</t>
        </is>
      </c>
      <c r="G371" t="inlineStr">
        <is>
          <t>1</t>
        </is>
      </c>
      <c r="H371" t="inlineStr">
        <is>
          <t>No</t>
        </is>
      </c>
      <c r="I371" t="inlineStr">
        <is>
          <t>No</t>
        </is>
      </c>
      <c r="J371" t="inlineStr">
        <is>
          <t>0</t>
        </is>
      </c>
      <c r="L371" t="inlineStr">
        <is>
          <t>Cambridge, Mass. : MIT Press, c1997.</t>
        </is>
      </c>
      <c r="M371" t="inlineStr">
        <is>
          <t>1997</t>
        </is>
      </c>
      <c r="O371" t="inlineStr">
        <is>
          <t>eng</t>
        </is>
      </c>
      <c r="P371" t="inlineStr">
        <is>
          <t>mau</t>
        </is>
      </c>
      <c r="Q371" t="inlineStr">
        <is>
          <t>Global environmental accords</t>
        </is>
      </c>
      <c r="R371" t="inlineStr">
        <is>
          <t xml:space="preserve">GE </t>
        </is>
      </c>
      <c r="S371" t="n">
        <v>7</v>
      </c>
      <c r="T371" t="n">
        <v>7</v>
      </c>
      <c r="U371" t="inlineStr">
        <is>
          <t>2009-05-12</t>
        </is>
      </c>
      <c r="V371" t="inlineStr">
        <is>
          <t>2009-05-12</t>
        </is>
      </c>
      <c r="W371" t="inlineStr">
        <is>
          <t>1998-03-20</t>
        </is>
      </c>
      <c r="X371" t="inlineStr">
        <is>
          <t>1998-03-20</t>
        </is>
      </c>
      <c r="Y371" t="n">
        <v>393</v>
      </c>
      <c r="Z371" t="n">
        <v>277</v>
      </c>
      <c r="AA371" t="n">
        <v>716</v>
      </c>
      <c r="AB371" t="n">
        <v>3</v>
      </c>
      <c r="AC371" t="n">
        <v>3</v>
      </c>
      <c r="AD371" t="n">
        <v>18</v>
      </c>
      <c r="AE371" t="n">
        <v>20</v>
      </c>
      <c r="AF371" t="n">
        <v>7</v>
      </c>
      <c r="AG371" t="n">
        <v>9</v>
      </c>
      <c r="AH371" t="n">
        <v>5</v>
      </c>
      <c r="AI371" t="n">
        <v>5</v>
      </c>
      <c r="AJ371" t="n">
        <v>6</v>
      </c>
      <c r="AK371" t="n">
        <v>6</v>
      </c>
      <c r="AL371" t="n">
        <v>2</v>
      </c>
      <c r="AM371" t="n">
        <v>2</v>
      </c>
      <c r="AN371" t="n">
        <v>3</v>
      </c>
      <c r="AO371" t="n">
        <v>3</v>
      </c>
      <c r="AP371" t="inlineStr">
        <is>
          <t>No</t>
        </is>
      </c>
      <c r="AQ371" t="inlineStr">
        <is>
          <t>No</t>
        </is>
      </c>
      <c r="AS371">
        <f>HYPERLINK("https://creighton-primo.hosted.exlibrisgroup.com/primo-explore/search?tab=default_tab&amp;search_scope=EVERYTHING&amp;vid=01CRU&amp;lang=en_US&amp;offset=0&amp;query=any,contains,991002817369702656","Catalog Record")</f>
        <v/>
      </c>
      <c r="AT371">
        <f>HYPERLINK("http://www.worldcat.org/oclc/37004501","WorldCat Record")</f>
        <v/>
      </c>
      <c r="AU371" t="inlineStr">
        <is>
          <t>603688:eng</t>
        </is>
      </c>
      <c r="AV371" t="inlineStr">
        <is>
          <t>37004501</t>
        </is>
      </c>
      <c r="AW371" t="inlineStr">
        <is>
          <t>991002817369702656</t>
        </is>
      </c>
      <c r="AX371" t="inlineStr">
        <is>
          <t>991002817369702656</t>
        </is>
      </c>
      <c r="AY371" t="inlineStr">
        <is>
          <t>2272544040002656</t>
        </is>
      </c>
      <c r="AZ371" t="inlineStr">
        <is>
          <t>BOOK</t>
        </is>
      </c>
      <c r="BB371" t="inlineStr">
        <is>
          <t>9780262240406</t>
        </is>
      </c>
      <c r="BC371" t="inlineStr">
        <is>
          <t>32285003359246</t>
        </is>
      </c>
      <c r="BD371" t="inlineStr">
        <is>
          <t>893893038</t>
        </is>
      </c>
    </row>
    <row r="372">
      <c r="A372" t="inlineStr">
        <is>
          <t>No</t>
        </is>
      </c>
      <c r="B372" t="inlineStr">
        <is>
          <t>GE170 .S37 1994</t>
        </is>
      </c>
      <c r="C372" t="inlineStr">
        <is>
          <t>0                      GE 0170000S  37          1994</t>
        </is>
      </c>
      <c r="D372" t="inlineStr">
        <is>
          <t>Environment and society : the enduring conflict / Allan Schnaiberg, Kenneth Alan Gould.</t>
        </is>
      </c>
      <c r="F372" t="inlineStr">
        <is>
          <t>No</t>
        </is>
      </c>
      <c r="G372" t="inlineStr">
        <is>
          <t>1</t>
        </is>
      </c>
      <c r="H372" t="inlineStr">
        <is>
          <t>No</t>
        </is>
      </c>
      <c r="I372" t="inlineStr">
        <is>
          <t>No</t>
        </is>
      </c>
      <c r="J372" t="inlineStr">
        <is>
          <t>0</t>
        </is>
      </c>
      <c r="K372" t="inlineStr">
        <is>
          <t>Schnaiberg, Allan.</t>
        </is>
      </c>
      <c r="L372" t="inlineStr">
        <is>
          <t>New York : St. Martin's Press, c1994.</t>
        </is>
      </c>
      <c r="M372" t="inlineStr">
        <is>
          <t>1994</t>
        </is>
      </c>
      <c r="O372" t="inlineStr">
        <is>
          <t>eng</t>
        </is>
      </c>
      <c r="P372" t="inlineStr">
        <is>
          <t>nyu</t>
        </is>
      </c>
      <c r="R372" t="inlineStr">
        <is>
          <t xml:space="preserve">GE </t>
        </is>
      </c>
      <c r="S372" t="n">
        <v>30</v>
      </c>
      <c r="T372" t="n">
        <v>30</v>
      </c>
      <c r="U372" t="inlineStr">
        <is>
          <t>2008-11-10</t>
        </is>
      </c>
      <c r="V372" t="inlineStr">
        <is>
          <t>2008-11-10</t>
        </is>
      </c>
      <c r="W372" t="inlineStr">
        <is>
          <t>1994-06-06</t>
        </is>
      </c>
      <c r="X372" t="inlineStr">
        <is>
          <t>1994-06-06</t>
        </is>
      </c>
      <c r="Y372" t="n">
        <v>468</v>
      </c>
      <c r="Z372" t="n">
        <v>388</v>
      </c>
      <c r="AA372" t="n">
        <v>416</v>
      </c>
      <c r="AB372" t="n">
        <v>3</v>
      </c>
      <c r="AC372" t="n">
        <v>4</v>
      </c>
      <c r="AD372" t="n">
        <v>18</v>
      </c>
      <c r="AE372" t="n">
        <v>20</v>
      </c>
      <c r="AF372" t="n">
        <v>7</v>
      </c>
      <c r="AG372" t="n">
        <v>7</v>
      </c>
      <c r="AH372" t="n">
        <v>6</v>
      </c>
      <c r="AI372" t="n">
        <v>7</v>
      </c>
      <c r="AJ372" t="n">
        <v>8</v>
      </c>
      <c r="AK372" t="n">
        <v>8</v>
      </c>
      <c r="AL372" t="n">
        <v>2</v>
      </c>
      <c r="AM372" t="n">
        <v>3</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HYPERLINK("https://creighton-primo.hosted.exlibrisgroup.com/primo-explore/search?tab=default_tab&amp;search_scope=EVERYTHING&amp;vid=01CRU&amp;lang=en_US&amp;offset=0&amp;query=any,contains,991002272939702656","Catalog Record")</f>
        <v/>
      </c>
      <c r="AT372">
        <f>HYPERLINK("http://www.worldcat.org/oclc/29506976","WorldCat Record")</f>
        <v/>
      </c>
      <c r="AU372" t="inlineStr">
        <is>
          <t>31218516:eng</t>
        </is>
      </c>
      <c r="AV372" t="inlineStr">
        <is>
          <t>29506976</t>
        </is>
      </c>
      <c r="AW372" t="inlineStr">
        <is>
          <t>991002272939702656</t>
        </is>
      </c>
      <c r="AX372" t="inlineStr">
        <is>
          <t>991002272939702656</t>
        </is>
      </c>
      <c r="AY372" t="inlineStr">
        <is>
          <t>2258639890002656</t>
        </is>
      </c>
      <c r="AZ372" t="inlineStr">
        <is>
          <t>BOOK</t>
        </is>
      </c>
      <c r="BB372" t="inlineStr">
        <is>
          <t>9780312091286</t>
        </is>
      </c>
      <c r="BC372" t="inlineStr">
        <is>
          <t>32285001921328</t>
        </is>
      </c>
      <c r="BD372" t="inlineStr">
        <is>
          <t>893335115</t>
        </is>
      </c>
    </row>
    <row r="373">
      <c r="A373" t="inlineStr">
        <is>
          <t>No</t>
        </is>
      </c>
      <c r="B373" t="inlineStr">
        <is>
          <t>GE170 .S375 2004</t>
        </is>
      </c>
      <c r="C373" t="inlineStr">
        <is>
          <t>0                      GE 0170000S  375         2004</t>
        </is>
      </c>
      <c r="D373" t="inlineStr">
        <is>
          <t>Science and politics in the international environment / edited by Neil E. Harrison and Gary C. Bryner.</t>
        </is>
      </c>
      <c r="F373" t="inlineStr">
        <is>
          <t>No</t>
        </is>
      </c>
      <c r="G373" t="inlineStr">
        <is>
          <t>1</t>
        </is>
      </c>
      <c r="H373" t="inlineStr">
        <is>
          <t>No</t>
        </is>
      </c>
      <c r="I373" t="inlineStr">
        <is>
          <t>No</t>
        </is>
      </c>
      <c r="J373" t="inlineStr">
        <is>
          <t>0</t>
        </is>
      </c>
      <c r="L373" t="inlineStr">
        <is>
          <t>Lanham, MD : Rowman &amp; Littlefield Publishers, c2004.</t>
        </is>
      </c>
      <c r="M373" t="inlineStr">
        <is>
          <t>2004</t>
        </is>
      </c>
      <c r="O373" t="inlineStr">
        <is>
          <t>eng</t>
        </is>
      </c>
      <c r="P373" t="inlineStr">
        <is>
          <t>mdu</t>
        </is>
      </c>
      <c r="R373" t="inlineStr">
        <is>
          <t xml:space="preserve">GE </t>
        </is>
      </c>
      <c r="S373" t="n">
        <v>3</v>
      </c>
      <c r="T373" t="n">
        <v>3</v>
      </c>
      <c r="U373" t="inlineStr">
        <is>
          <t>2008-01-19</t>
        </is>
      </c>
      <c r="V373" t="inlineStr">
        <is>
          <t>2008-01-19</t>
        </is>
      </c>
      <c r="W373" t="inlineStr">
        <is>
          <t>2004-06-14</t>
        </is>
      </c>
      <c r="X373" t="inlineStr">
        <is>
          <t>2004-06-14</t>
        </is>
      </c>
      <c r="Y373" t="n">
        <v>369</v>
      </c>
      <c r="Z373" t="n">
        <v>303</v>
      </c>
      <c r="AA373" t="n">
        <v>310</v>
      </c>
      <c r="AB373" t="n">
        <v>3</v>
      </c>
      <c r="AC373" t="n">
        <v>3</v>
      </c>
      <c r="AD373" t="n">
        <v>15</v>
      </c>
      <c r="AE373" t="n">
        <v>15</v>
      </c>
      <c r="AF373" t="n">
        <v>5</v>
      </c>
      <c r="AG373" t="n">
        <v>5</v>
      </c>
      <c r="AH373" t="n">
        <v>3</v>
      </c>
      <c r="AI373" t="n">
        <v>3</v>
      </c>
      <c r="AJ373" t="n">
        <v>9</v>
      </c>
      <c r="AK373" t="n">
        <v>9</v>
      </c>
      <c r="AL373" t="n">
        <v>2</v>
      </c>
      <c r="AM373" t="n">
        <v>2</v>
      </c>
      <c r="AN373" t="n">
        <v>0</v>
      </c>
      <c r="AO373" t="n">
        <v>0</v>
      </c>
      <c r="AP373" t="inlineStr">
        <is>
          <t>No</t>
        </is>
      </c>
      <c r="AQ373" t="inlineStr">
        <is>
          <t>Yes</t>
        </is>
      </c>
      <c r="AR373">
        <f>HYPERLINK("http://catalog.hathitrust.org/Record/004359513","HathiTrust Record")</f>
        <v/>
      </c>
      <c r="AS373">
        <f>HYPERLINK("https://creighton-primo.hosted.exlibrisgroup.com/primo-explore/search?tab=default_tab&amp;search_scope=EVERYTHING&amp;vid=01CRU&amp;lang=en_US&amp;offset=0&amp;query=any,contains,991004251239702656","Catalog Record")</f>
        <v/>
      </c>
      <c r="AT373">
        <f>HYPERLINK("http://www.worldcat.org/oclc/52887264","WorldCat Record")</f>
        <v/>
      </c>
      <c r="AU373" t="inlineStr">
        <is>
          <t>366742845:eng</t>
        </is>
      </c>
      <c r="AV373" t="inlineStr">
        <is>
          <t>52887264</t>
        </is>
      </c>
      <c r="AW373" t="inlineStr">
        <is>
          <t>991004251239702656</t>
        </is>
      </c>
      <c r="AX373" t="inlineStr">
        <is>
          <t>991004251239702656</t>
        </is>
      </c>
      <c r="AY373" t="inlineStr">
        <is>
          <t>2272258230002656</t>
        </is>
      </c>
      <c r="AZ373" t="inlineStr">
        <is>
          <t>BOOK</t>
        </is>
      </c>
      <c r="BB373" t="inlineStr">
        <is>
          <t>9780742520196</t>
        </is>
      </c>
      <c r="BC373" t="inlineStr">
        <is>
          <t>32285004909684</t>
        </is>
      </c>
      <c r="BD373" t="inlineStr">
        <is>
          <t>893875863</t>
        </is>
      </c>
    </row>
    <row r="374">
      <c r="A374" t="inlineStr">
        <is>
          <t>No</t>
        </is>
      </c>
      <c r="B374" t="inlineStr">
        <is>
          <t>GE170 .S95 1994</t>
        </is>
      </c>
      <c r="C374" t="inlineStr">
        <is>
          <t>0                      GE 0170000S  95          1994</t>
        </is>
      </c>
      <c r="D374" t="inlineStr">
        <is>
          <t>Environmental politics : domestic and global dimensions / Jacqueline Vaughn Switzer.</t>
        </is>
      </c>
      <c r="F374" t="inlineStr">
        <is>
          <t>No</t>
        </is>
      </c>
      <c r="G374" t="inlineStr">
        <is>
          <t>1</t>
        </is>
      </c>
      <c r="H374" t="inlineStr">
        <is>
          <t>No</t>
        </is>
      </c>
      <c r="I374" t="inlineStr">
        <is>
          <t>No</t>
        </is>
      </c>
      <c r="J374" t="inlineStr">
        <is>
          <t>0</t>
        </is>
      </c>
      <c r="K374" t="inlineStr">
        <is>
          <t>Vaughn, Jacqueline.</t>
        </is>
      </c>
      <c r="L374" t="inlineStr">
        <is>
          <t>New York : St. Martin's Press, c1994.</t>
        </is>
      </c>
      <c r="M374" t="inlineStr">
        <is>
          <t>1994</t>
        </is>
      </c>
      <c r="O374" t="inlineStr">
        <is>
          <t>eng</t>
        </is>
      </c>
      <c r="P374" t="inlineStr">
        <is>
          <t>nyu</t>
        </is>
      </c>
      <c r="R374" t="inlineStr">
        <is>
          <t xml:space="preserve">GE </t>
        </is>
      </c>
      <c r="S374" t="n">
        <v>23</v>
      </c>
      <c r="T374" t="n">
        <v>23</v>
      </c>
      <c r="U374" t="inlineStr">
        <is>
          <t>2007-11-27</t>
        </is>
      </c>
      <c r="V374" t="inlineStr">
        <is>
          <t>2007-11-27</t>
        </is>
      </c>
      <c r="W374" t="inlineStr">
        <is>
          <t>1994-08-15</t>
        </is>
      </c>
      <c r="X374" t="inlineStr">
        <is>
          <t>1994-08-15</t>
        </is>
      </c>
      <c r="Y374" t="n">
        <v>450</v>
      </c>
      <c r="Z374" t="n">
        <v>400</v>
      </c>
      <c r="AA374" t="n">
        <v>650</v>
      </c>
      <c r="AB374" t="n">
        <v>3</v>
      </c>
      <c r="AC374" t="n">
        <v>5</v>
      </c>
      <c r="AD374" t="n">
        <v>24</v>
      </c>
      <c r="AE374" t="n">
        <v>30</v>
      </c>
      <c r="AF374" t="n">
        <v>7</v>
      </c>
      <c r="AG374" t="n">
        <v>10</v>
      </c>
      <c r="AH374" t="n">
        <v>9</v>
      </c>
      <c r="AI374" t="n">
        <v>9</v>
      </c>
      <c r="AJ374" t="n">
        <v>11</v>
      </c>
      <c r="AK374" t="n">
        <v>15</v>
      </c>
      <c r="AL374" t="n">
        <v>2</v>
      </c>
      <c r="AM374" t="n">
        <v>3</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HYPERLINK("https://creighton-primo.hosted.exlibrisgroup.com/primo-explore/search?tab=default_tab&amp;search_scope=EVERYTHING&amp;vid=01CRU&amp;lang=en_US&amp;offset=0&amp;query=any,contains,991002272909702656","Catalog Record")</f>
        <v/>
      </c>
      <c r="AT374">
        <f>HYPERLINK("http://www.worldcat.org/oclc/29506879","WorldCat Record")</f>
        <v/>
      </c>
      <c r="AU374" t="inlineStr">
        <is>
          <t>203082108:eng</t>
        </is>
      </c>
      <c r="AV374" t="inlineStr">
        <is>
          <t>29506879</t>
        </is>
      </c>
      <c r="AW374" t="inlineStr">
        <is>
          <t>991002272909702656</t>
        </is>
      </c>
      <c r="AX374" t="inlineStr">
        <is>
          <t>991002272909702656</t>
        </is>
      </c>
      <c r="AY374" t="inlineStr">
        <is>
          <t>2256430010002656</t>
        </is>
      </c>
      <c r="AZ374" t="inlineStr">
        <is>
          <t>BOOK</t>
        </is>
      </c>
      <c r="BB374" t="inlineStr">
        <is>
          <t>9780312083892</t>
        </is>
      </c>
      <c r="BC374" t="inlineStr">
        <is>
          <t>32285001942753</t>
        </is>
      </c>
      <c r="BD374" t="inlineStr">
        <is>
          <t>893609675</t>
        </is>
      </c>
    </row>
    <row r="375">
      <c r="A375" t="inlineStr">
        <is>
          <t>No</t>
        </is>
      </c>
      <c r="B375" t="inlineStr">
        <is>
          <t>GE170 .W46 1996</t>
        </is>
      </c>
      <c r="C375" t="inlineStr">
        <is>
          <t>0                      GE 0170000W  46          1996</t>
        </is>
      </c>
      <c r="D375" t="inlineStr">
        <is>
          <t>Environmental policy : a global perspective for the twenty-first century / Donald T. Wells.</t>
        </is>
      </c>
      <c r="F375" t="inlineStr">
        <is>
          <t>No</t>
        </is>
      </c>
      <c r="G375" t="inlineStr">
        <is>
          <t>1</t>
        </is>
      </c>
      <c r="H375" t="inlineStr">
        <is>
          <t>No</t>
        </is>
      </c>
      <c r="I375" t="inlineStr">
        <is>
          <t>No</t>
        </is>
      </c>
      <c r="J375" t="inlineStr">
        <is>
          <t>0</t>
        </is>
      </c>
      <c r="K375" t="inlineStr">
        <is>
          <t>Wells, Donald T., 1932-</t>
        </is>
      </c>
      <c r="L375" t="inlineStr">
        <is>
          <t>Upper Saddle River, N.J. : Prentice Hall, 1996.</t>
        </is>
      </c>
      <c r="M375" t="inlineStr">
        <is>
          <t>1996</t>
        </is>
      </c>
      <c r="O375" t="inlineStr">
        <is>
          <t>eng</t>
        </is>
      </c>
      <c r="P375" t="inlineStr">
        <is>
          <t>nju</t>
        </is>
      </c>
      <c r="R375" t="inlineStr">
        <is>
          <t xml:space="preserve">GE </t>
        </is>
      </c>
      <c r="S375" t="n">
        <v>13</v>
      </c>
      <c r="T375" t="n">
        <v>13</v>
      </c>
      <c r="U375" t="inlineStr">
        <is>
          <t>2003-10-07</t>
        </is>
      </c>
      <c r="V375" t="inlineStr">
        <is>
          <t>2003-10-07</t>
        </is>
      </c>
      <c r="W375" t="inlineStr">
        <is>
          <t>1996-01-22</t>
        </is>
      </c>
      <c r="X375" t="inlineStr">
        <is>
          <t>1996-01-22</t>
        </is>
      </c>
      <c r="Y375" t="n">
        <v>258</v>
      </c>
      <c r="Z375" t="n">
        <v>179</v>
      </c>
      <c r="AA375" t="n">
        <v>189</v>
      </c>
      <c r="AB375" t="n">
        <v>2</v>
      </c>
      <c r="AC375" t="n">
        <v>2</v>
      </c>
      <c r="AD375" t="n">
        <v>5</v>
      </c>
      <c r="AE375" t="n">
        <v>5</v>
      </c>
      <c r="AF375" t="n">
        <v>1</v>
      </c>
      <c r="AG375" t="n">
        <v>1</v>
      </c>
      <c r="AH375" t="n">
        <v>1</v>
      </c>
      <c r="AI375" t="n">
        <v>1</v>
      </c>
      <c r="AJ375" t="n">
        <v>4</v>
      </c>
      <c r="AK375" t="n">
        <v>4</v>
      </c>
      <c r="AL375" t="n">
        <v>1</v>
      </c>
      <c r="AM375" t="n">
        <v>1</v>
      </c>
      <c r="AN375" t="n">
        <v>0</v>
      </c>
      <c r="AO375" t="n">
        <v>0</v>
      </c>
      <c r="AP375" t="inlineStr">
        <is>
          <t>No</t>
        </is>
      </c>
      <c r="AQ375" t="inlineStr">
        <is>
          <t>Yes</t>
        </is>
      </c>
      <c r="AR375">
        <f>HYPERLINK("http://catalog.hathitrust.org/Record/007131348","HathiTrust Record")</f>
        <v/>
      </c>
      <c r="AS375">
        <f>HYPERLINK("https://creighton-primo.hosted.exlibrisgroup.com/primo-explore/search?tab=default_tab&amp;search_scope=EVERYTHING&amp;vid=01CRU&amp;lang=en_US&amp;offset=0&amp;query=any,contains,991002515699702656","Catalog Record")</f>
        <v/>
      </c>
      <c r="AT375">
        <f>HYPERLINK("http://www.worldcat.org/oclc/32703819","WorldCat Record")</f>
        <v/>
      </c>
      <c r="AU375" t="inlineStr">
        <is>
          <t>311603035:eng</t>
        </is>
      </c>
      <c r="AV375" t="inlineStr">
        <is>
          <t>32703819</t>
        </is>
      </c>
      <c r="AW375" t="inlineStr">
        <is>
          <t>991002515699702656</t>
        </is>
      </c>
      <c r="AX375" t="inlineStr">
        <is>
          <t>991002515699702656</t>
        </is>
      </c>
      <c r="AY375" t="inlineStr">
        <is>
          <t>2271769720002656</t>
        </is>
      </c>
      <c r="AZ375" t="inlineStr">
        <is>
          <t>BOOK</t>
        </is>
      </c>
      <c r="BB375" t="inlineStr">
        <is>
          <t>9780134002194</t>
        </is>
      </c>
      <c r="BC375" t="inlineStr">
        <is>
          <t>32285002118908</t>
        </is>
      </c>
      <c r="BD375" t="inlineStr">
        <is>
          <t>893873633</t>
        </is>
      </c>
    </row>
    <row r="376">
      <c r="A376" t="inlineStr">
        <is>
          <t>No</t>
        </is>
      </c>
      <c r="B376" t="inlineStr">
        <is>
          <t>GE180 .B48 1999</t>
        </is>
      </c>
      <c r="C376" t="inlineStr">
        <is>
          <t>0                      GE 0180000B  48          1999</t>
        </is>
      </c>
      <c r="D376" t="inlineStr">
        <is>
          <t>Better environmental decisions : strategies for governments, businesses, and communities / edited by Ken Sexton ... [et al.].</t>
        </is>
      </c>
      <c r="F376" t="inlineStr">
        <is>
          <t>No</t>
        </is>
      </c>
      <c r="G376" t="inlineStr">
        <is>
          <t>1</t>
        </is>
      </c>
      <c r="H376" t="inlineStr">
        <is>
          <t>No</t>
        </is>
      </c>
      <c r="I376" t="inlineStr">
        <is>
          <t>No</t>
        </is>
      </c>
      <c r="J376" t="inlineStr">
        <is>
          <t>0</t>
        </is>
      </c>
      <c r="L376" t="inlineStr">
        <is>
          <t>Washington, D.C. : Island Press : Center for Environment &amp; Health Policy, University of Minnesota, c1999.</t>
        </is>
      </c>
      <c r="M376" t="inlineStr">
        <is>
          <t>1999</t>
        </is>
      </c>
      <c r="O376" t="inlineStr">
        <is>
          <t>eng</t>
        </is>
      </c>
      <c r="P376" t="inlineStr">
        <is>
          <t>dcu</t>
        </is>
      </c>
      <c r="Q376" t="inlineStr">
        <is>
          <t>The Minnesota series in environmental decision making</t>
        </is>
      </c>
      <c r="R376" t="inlineStr">
        <is>
          <t xml:space="preserve">GE </t>
        </is>
      </c>
      <c r="S376" t="n">
        <v>9</v>
      </c>
      <c r="T376" t="n">
        <v>9</v>
      </c>
      <c r="U376" t="inlineStr">
        <is>
          <t>2006-04-14</t>
        </is>
      </c>
      <c r="V376" t="inlineStr">
        <is>
          <t>2006-04-14</t>
        </is>
      </c>
      <c r="W376" t="inlineStr">
        <is>
          <t>1998-12-16</t>
        </is>
      </c>
      <c r="X376" t="inlineStr">
        <is>
          <t>1998-12-16</t>
        </is>
      </c>
      <c r="Y376" t="n">
        <v>414</v>
      </c>
      <c r="Z376" t="n">
        <v>340</v>
      </c>
      <c r="AA376" t="n">
        <v>343</v>
      </c>
      <c r="AB376" t="n">
        <v>3</v>
      </c>
      <c r="AC376" t="n">
        <v>3</v>
      </c>
      <c r="AD376" t="n">
        <v>12</v>
      </c>
      <c r="AE376" t="n">
        <v>12</v>
      </c>
      <c r="AF376" t="n">
        <v>3</v>
      </c>
      <c r="AG376" t="n">
        <v>3</v>
      </c>
      <c r="AH376" t="n">
        <v>3</v>
      </c>
      <c r="AI376" t="n">
        <v>3</v>
      </c>
      <c r="AJ376" t="n">
        <v>5</v>
      </c>
      <c r="AK376" t="n">
        <v>5</v>
      </c>
      <c r="AL376" t="n">
        <v>2</v>
      </c>
      <c r="AM376" t="n">
        <v>2</v>
      </c>
      <c r="AN376" t="n">
        <v>2</v>
      </c>
      <c r="AO376" t="n">
        <v>2</v>
      </c>
      <c r="AP376" t="inlineStr">
        <is>
          <t>No</t>
        </is>
      </c>
      <c r="AQ376" t="inlineStr">
        <is>
          <t>Yes</t>
        </is>
      </c>
      <c r="AR376">
        <f>HYPERLINK("http://catalog.hathitrust.org/Record/004013336","HathiTrust Record")</f>
        <v/>
      </c>
      <c r="AS376">
        <f>HYPERLINK("https://creighton-primo.hosted.exlibrisgroup.com/primo-explore/search?tab=default_tab&amp;search_scope=EVERYTHING&amp;vid=01CRU&amp;lang=en_US&amp;offset=0&amp;query=any,contains,991002956189702656","Catalog Record")</f>
        <v/>
      </c>
      <c r="AT376">
        <f>HYPERLINK("http://www.worldcat.org/oclc/39458959","WorldCat Record")</f>
        <v/>
      </c>
      <c r="AU376" t="inlineStr">
        <is>
          <t>905521384:eng</t>
        </is>
      </c>
      <c r="AV376" t="inlineStr">
        <is>
          <t>39458959</t>
        </is>
      </c>
      <c r="AW376" t="inlineStr">
        <is>
          <t>991002956189702656</t>
        </is>
      </c>
      <c r="AX376" t="inlineStr">
        <is>
          <t>991002956189702656</t>
        </is>
      </c>
      <c r="AY376" t="inlineStr">
        <is>
          <t>2262932610002656</t>
        </is>
      </c>
      <c r="AZ376" t="inlineStr">
        <is>
          <t>BOOK</t>
        </is>
      </c>
      <c r="BB376" t="inlineStr">
        <is>
          <t>9781559636131</t>
        </is>
      </c>
      <c r="BC376" t="inlineStr">
        <is>
          <t>32285003506986</t>
        </is>
      </c>
      <c r="BD376" t="inlineStr">
        <is>
          <t>893517984</t>
        </is>
      </c>
    </row>
    <row r="377">
      <c r="A377" t="inlineStr">
        <is>
          <t>No</t>
        </is>
      </c>
      <c r="B377" t="inlineStr">
        <is>
          <t>GE180 .G73 1999</t>
        </is>
      </c>
      <c r="C377" t="inlineStr">
        <is>
          <t>0                      GE 0180000G  73          1999</t>
        </is>
      </c>
      <c r="D377" t="inlineStr">
        <is>
          <t>The morning after earth day : practical environmental politics / Mary Graham.</t>
        </is>
      </c>
      <c r="F377" t="inlineStr">
        <is>
          <t>No</t>
        </is>
      </c>
      <c r="G377" t="inlineStr">
        <is>
          <t>1</t>
        </is>
      </c>
      <c r="H377" t="inlineStr">
        <is>
          <t>No</t>
        </is>
      </c>
      <c r="I377" t="inlineStr">
        <is>
          <t>No</t>
        </is>
      </c>
      <c r="J377" t="inlineStr">
        <is>
          <t>0</t>
        </is>
      </c>
      <c r="K377" t="inlineStr">
        <is>
          <t>Graham, Mary, 1944-</t>
        </is>
      </c>
      <c r="L377" t="inlineStr">
        <is>
          <t>Washington, D.C. : Brookings Institution, c1999.</t>
        </is>
      </c>
      <c r="M377" t="inlineStr">
        <is>
          <t>1999</t>
        </is>
      </c>
      <c r="O377" t="inlineStr">
        <is>
          <t>eng</t>
        </is>
      </c>
      <c r="P377" t="inlineStr">
        <is>
          <t>dcu</t>
        </is>
      </c>
      <c r="R377" t="inlineStr">
        <is>
          <t xml:space="preserve">GE </t>
        </is>
      </c>
      <c r="S377" t="n">
        <v>2</v>
      </c>
      <c r="T377" t="n">
        <v>2</v>
      </c>
      <c r="U377" t="inlineStr">
        <is>
          <t>2005-09-30</t>
        </is>
      </c>
      <c r="V377" t="inlineStr">
        <is>
          <t>2005-09-30</t>
        </is>
      </c>
      <c r="W377" t="inlineStr">
        <is>
          <t>1999-06-28</t>
        </is>
      </c>
      <c r="X377" t="inlineStr">
        <is>
          <t>1999-06-28</t>
        </is>
      </c>
      <c r="Y377" t="n">
        <v>596</v>
      </c>
      <c r="Z377" t="n">
        <v>535</v>
      </c>
      <c r="AA377" t="n">
        <v>541</v>
      </c>
      <c r="AB377" t="n">
        <v>3</v>
      </c>
      <c r="AC377" t="n">
        <v>3</v>
      </c>
      <c r="AD377" t="n">
        <v>26</v>
      </c>
      <c r="AE377" t="n">
        <v>26</v>
      </c>
      <c r="AF377" t="n">
        <v>9</v>
      </c>
      <c r="AG377" t="n">
        <v>9</v>
      </c>
      <c r="AH377" t="n">
        <v>8</v>
      </c>
      <c r="AI377" t="n">
        <v>8</v>
      </c>
      <c r="AJ377" t="n">
        <v>14</v>
      </c>
      <c r="AK377" t="n">
        <v>14</v>
      </c>
      <c r="AL377" t="n">
        <v>2</v>
      </c>
      <c r="AM377" t="n">
        <v>2</v>
      </c>
      <c r="AN377" t="n">
        <v>3</v>
      </c>
      <c r="AO377" t="n">
        <v>3</v>
      </c>
      <c r="AP377" t="inlineStr">
        <is>
          <t>No</t>
        </is>
      </c>
      <c r="AQ377" t="inlineStr">
        <is>
          <t>Yes</t>
        </is>
      </c>
      <c r="AR377">
        <f>HYPERLINK("http://catalog.hathitrust.org/Record/004037682","HathiTrust Record")</f>
        <v/>
      </c>
      <c r="AS377">
        <f>HYPERLINK("https://creighton-primo.hosted.exlibrisgroup.com/primo-explore/search?tab=default_tab&amp;search_scope=EVERYTHING&amp;vid=01CRU&amp;lang=en_US&amp;offset=0&amp;query=any,contains,991003000229702656","Catalog Record")</f>
        <v/>
      </c>
      <c r="AT377">
        <f>HYPERLINK("http://www.worldcat.org/oclc/40632209","WorldCat Record")</f>
        <v/>
      </c>
      <c r="AU377" t="inlineStr">
        <is>
          <t>837044711:eng</t>
        </is>
      </c>
      <c r="AV377" t="inlineStr">
        <is>
          <t>40632209</t>
        </is>
      </c>
      <c r="AW377" t="inlineStr">
        <is>
          <t>991003000229702656</t>
        </is>
      </c>
      <c r="AX377" t="inlineStr">
        <is>
          <t>991003000229702656</t>
        </is>
      </c>
      <c r="AY377" t="inlineStr">
        <is>
          <t>2268415630002656</t>
        </is>
      </c>
      <c r="AZ377" t="inlineStr">
        <is>
          <t>BOOK</t>
        </is>
      </c>
      <c r="BB377" t="inlineStr">
        <is>
          <t>9780815732358</t>
        </is>
      </c>
      <c r="BC377" t="inlineStr">
        <is>
          <t>32285003576708</t>
        </is>
      </c>
      <c r="BD377" t="inlineStr">
        <is>
          <t>893498826</t>
        </is>
      </c>
    </row>
    <row r="378">
      <c r="A378" t="inlineStr">
        <is>
          <t>No</t>
        </is>
      </c>
      <c r="B378" t="inlineStr">
        <is>
          <t>GE180 .H66 1998</t>
        </is>
      </c>
      <c r="C378" t="inlineStr">
        <is>
          <t>0                      GE 0180000H  66          1998</t>
        </is>
      </c>
      <c r="D378" t="inlineStr">
        <is>
          <t>American foreign environmental policy and the power of the state / Stephen Hopgood.</t>
        </is>
      </c>
      <c r="F378" t="inlineStr">
        <is>
          <t>No</t>
        </is>
      </c>
      <c r="G378" t="inlineStr">
        <is>
          <t>1</t>
        </is>
      </c>
      <c r="H378" t="inlineStr">
        <is>
          <t>No</t>
        </is>
      </c>
      <c r="I378" t="inlineStr">
        <is>
          <t>No</t>
        </is>
      </c>
      <c r="J378" t="inlineStr">
        <is>
          <t>0</t>
        </is>
      </c>
      <c r="K378" t="inlineStr">
        <is>
          <t>Hopgood, Stephen.</t>
        </is>
      </c>
      <c r="L378" t="inlineStr">
        <is>
          <t>Oxford ; New York : Oxford University Press, 1998.</t>
        </is>
      </c>
      <c r="M378" t="inlineStr">
        <is>
          <t>1998</t>
        </is>
      </c>
      <c r="O378" t="inlineStr">
        <is>
          <t>eng</t>
        </is>
      </c>
      <c r="P378" t="inlineStr">
        <is>
          <t>enk</t>
        </is>
      </c>
      <c r="R378" t="inlineStr">
        <is>
          <t xml:space="preserve">GE </t>
        </is>
      </c>
      <c r="S378" t="n">
        <v>5</v>
      </c>
      <c r="T378" t="n">
        <v>5</v>
      </c>
      <c r="U378" t="inlineStr">
        <is>
          <t>2010-12-08</t>
        </is>
      </c>
      <c r="V378" t="inlineStr">
        <is>
          <t>2010-12-08</t>
        </is>
      </c>
      <c r="W378" t="inlineStr">
        <is>
          <t>1999-09-02</t>
        </is>
      </c>
      <c r="X378" t="inlineStr">
        <is>
          <t>1999-09-02</t>
        </is>
      </c>
      <c r="Y378" t="n">
        <v>398</v>
      </c>
      <c r="Z378" t="n">
        <v>320</v>
      </c>
      <c r="AA378" t="n">
        <v>356</v>
      </c>
      <c r="AB378" t="n">
        <v>3</v>
      </c>
      <c r="AC378" t="n">
        <v>3</v>
      </c>
      <c r="AD378" t="n">
        <v>22</v>
      </c>
      <c r="AE378" t="n">
        <v>23</v>
      </c>
      <c r="AF378" t="n">
        <v>4</v>
      </c>
      <c r="AG378" t="n">
        <v>4</v>
      </c>
      <c r="AH378" t="n">
        <v>6</v>
      </c>
      <c r="AI378" t="n">
        <v>7</v>
      </c>
      <c r="AJ378" t="n">
        <v>12</v>
      </c>
      <c r="AK378" t="n">
        <v>12</v>
      </c>
      <c r="AL378" t="n">
        <v>2</v>
      </c>
      <c r="AM378" t="n">
        <v>2</v>
      </c>
      <c r="AN378" t="n">
        <v>3</v>
      </c>
      <c r="AO378" t="n">
        <v>3</v>
      </c>
      <c r="AP378" t="inlineStr">
        <is>
          <t>No</t>
        </is>
      </c>
      <c r="AQ378" t="inlineStr">
        <is>
          <t>Yes</t>
        </is>
      </c>
      <c r="AR378">
        <f>HYPERLINK("http://catalog.hathitrust.org/Record/003964760","HathiTrust Record")</f>
        <v/>
      </c>
      <c r="AS378">
        <f>HYPERLINK("https://creighton-primo.hosted.exlibrisgroup.com/primo-explore/search?tab=default_tab&amp;search_scope=EVERYTHING&amp;vid=01CRU&amp;lang=en_US&amp;offset=0&amp;query=any,contains,991002845929702656","Catalog Record")</f>
        <v/>
      </c>
      <c r="AT378">
        <f>HYPERLINK("http://www.worldcat.org/oclc/37499866","WorldCat Record")</f>
        <v/>
      </c>
      <c r="AU378" t="inlineStr">
        <is>
          <t>599024:eng</t>
        </is>
      </c>
      <c r="AV378" t="inlineStr">
        <is>
          <t>37499866</t>
        </is>
      </c>
      <c r="AW378" t="inlineStr">
        <is>
          <t>991002845929702656</t>
        </is>
      </c>
      <c r="AX378" t="inlineStr">
        <is>
          <t>991002845929702656</t>
        </is>
      </c>
      <c r="AY378" t="inlineStr">
        <is>
          <t>2260117390002656</t>
        </is>
      </c>
      <c r="AZ378" t="inlineStr">
        <is>
          <t>BOOK</t>
        </is>
      </c>
      <c r="BB378" t="inlineStr">
        <is>
          <t>9780198292593</t>
        </is>
      </c>
      <c r="BC378" t="inlineStr">
        <is>
          <t>32285003586343</t>
        </is>
      </c>
      <c r="BD378" t="inlineStr">
        <is>
          <t>893251692</t>
        </is>
      </c>
    </row>
    <row r="379">
      <c r="A379" t="inlineStr">
        <is>
          <t>No</t>
        </is>
      </c>
      <c r="B379" t="inlineStr">
        <is>
          <t>GE180 .J66 2008</t>
        </is>
      </c>
      <c r="C379" t="inlineStr">
        <is>
          <t>0                      GE 0180000J  66          2008</t>
        </is>
      </c>
      <c r="D379" t="inlineStr">
        <is>
          <t>The green-collar economy : how one solution can fix our two biggest problems / Van Jones with Ariane Conrad ; [foreword by Robert F. Kennedy, Jr.]</t>
        </is>
      </c>
      <c r="F379" t="inlineStr">
        <is>
          <t>No</t>
        </is>
      </c>
      <c r="G379" t="inlineStr">
        <is>
          <t>1</t>
        </is>
      </c>
      <c r="H379" t="inlineStr">
        <is>
          <t>No</t>
        </is>
      </c>
      <c r="I379" t="inlineStr">
        <is>
          <t>No</t>
        </is>
      </c>
      <c r="J379" t="inlineStr">
        <is>
          <t>0</t>
        </is>
      </c>
      <c r="K379" t="inlineStr">
        <is>
          <t>Jones, Van, 1968-</t>
        </is>
      </c>
      <c r="L379" t="inlineStr">
        <is>
          <t>New York : HarperOne, c2008.</t>
        </is>
      </c>
      <c r="M379" t="inlineStr">
        <is>
          <t>2008</t>
        </is>
      </c>
      <c r="N379" t="inlineStr">
        <is>
          <t>1st ed.</t>
        </is>
      </c>
      <c r="O379" t="inlineStr">
        <is>
          <t>eng</t>
        </is>
      </c>
      <c r="P379" t="inlineStr">
        <is>
          <t>nyu</t>
        </is>
      </c>
      <c r="R379" t="inlineStr">
        <is>
          <t xml:space="preserve">GE </t>
        </is>
      </c>
      <c r="S379" t="n">
        <v>5</v>
      </c>
      <c r="T379" t="n">
        <v>5</v>
      </c>
      <c r="U379" t="inlineStr">
        <is>
          <t>2009-06-24</t>
        </is>
      </c>
      <c r="V379" t="inlineStr">
        <is>
          <t>2009-06-24</t>
        </is>
      </c>
      <c r="W379" t="inlineStr">
        <is>
          <t>2008-11-25</t>
        </is>
      </c>
      <c r="X379" t="inlineStr">
        <is>
          <t>2008-11-25</t>
        </is>
      </c>
      <c r="Y379" t="n">
        <v>1352</v>
      </c>
      <c r="Z379" t="n">
        <v>1285</v>
      </c>
      <c r="AA379" t="n">
        <v>1451</v>
      </c>
      <c r="AB379" t="n">
        <v>7</v>
      </c>
      <c r="AC379" t="n">
        <v>9</v>
      </c>
      <c r="AD379" t="n">
        <v>33</v>
      </c>
      <c r="AE379" t="n">
        <v>41</v>
      </c>
      <c r="AF379" t="n">
        <v>13</v>
      </c>
      <c r="AG379" t="n">
        <v>14</v>
      </c>
      <c r="AH379" t="n">
        <v>7</v>
      </c>
      <c r="AI379" t="n">
        <v>8</v>
      </c>
      <c r="AJ379" t="n">
        <v>15</v>
      </c>
      <c r="AK379" t="n">
        <v>19</v>
      </c>
      <c r="AL379" t="n">
        <v>4</v>
      </c>
      <c r="AM379" t="n">
        <v>6</v>
      </c>
      <c r="AN379" t="n">
        <v>2</v>
      </c>
      <c r="AO379" t="n">
        <v>3</v>
      </c>
      <c r="AP379" t="inlineStr">
        <is>
          <t>No</t>
        </is>
      </c>
      <c r="AQ379" t="inlineStr">
        <is>
          <t>Yes</t>
        </is>
      </c>
      <c r="AR379">
        <f>HYPERLINK("http://catalog.hathitrust.org/Record/008319028","HathiTrust Record")</f>
        <v/>
      </c>
      <c r="AS379">
        <f>HYPERLINK("https://creighton-primo.hosted.exlibrisgroup.com/primo-explore/search?tab=default_tab&amp;search_scope=EVERYTHING&amp;vid=01CRU&amp;lang=en_US&amp;offset=0&amp;query=any,contains,991005277119702656","Catalog Record")</f>
        <v/>
      </c>
      <c r="AT379">
        <f>HYPERLINK("http://www.worldcat.org/oclc/289095894","WorldCat Record")</f>
        <v/>
      </c>
      <c r="AU379" t="inlineStr">
        <is>
          <t>196164002:eng</t>
        </is>
      </c>
      <c r="AV379" t="inlineStr">
        <is>
          <t>289095894</t>
        </is>
      </c>
      <c r="AW379" t="inlineStr">
        <is>
          <t>991005277119702656</t>
        </is>
      </c>
      <c r="AX379" t="inlineStr">
        <is>
          <t>991005277119702656</t>
        </is>
      </c>
      <c r="AY379" t="inlineStr">
        <is>
          <t>2261811960002656</t>
        </is>
      </c>
      <c r="AZ379" t="inlineStr">
        <is>
          <t>BOOK</t>
        </is>
      </c>
      <c r="BB379" t="inlineStr">
        <is>
          <t>9780061650758</t>
        </is>
      </c>
      <c r="BC379" t="inlineStr">
        <is>
          <t>32285005469027</t>
        </is>
      </c>
      <c r="BD379" t="inlineStr">
        <is>
          <t>893326509</t>
        </is>
      </c>
    </row>
    <row r="380">
      <c r="A380" t="inlineStr">
        <is>
          <t>No</t>
        </is>
      </c>
      <c r="B380" t="inlineStr">
        <is>
          <t>GE180 .K59 2008</t>
        </is>
      </c>
      <c r="C380" t="inlineStr">
        <is>
          <t>0                      GE 0180000K  59          2008</t>
        </is>
      </c>
      <c r="D380" t="inlineStr">
        <is>
          <t>American environmental policy, 1990-2006 : beyond gridlock / Christopher McGrory Klyza, David J. Sousa.</t>
        </is>
      </c>
      <c r="F380" t="inlineStr">
        <is>
          <t>No</t>
        </is>
      </c>
      <c r="G380" t="inlineStr">
        <is>
          <t>1</t>
        </is>
      </c>
      <c r="H380" t="inlineStr">
        <is>
          <t>No</t>
        </is>
      </c>
      <c r="I380" t="inlineStr">
        <is>
          <t>No</t>
        </is>
      </c>
      <c r="J380" t="inlineStr">
        <is>
          <t>0</t>
        </is>
      </c>
      <c r="K380" t="inlineStr">
        <is>
          <t>Klyza, Christopher McGrory.</t>
        </is>
      </c>
      <c r="L380" t="inlineStr">
        <is>
          <t>Cambridge, Mass. : MIT Press, c2008.</t>
        </is>
      </c>
      <c r="M380" t="inlineStr">
        <is>
          <t>2008</t>
        </is>
      </c>
      <c r="O380" t="inlineStr">
        <is>
          <t>eng</t>
        </is>
      </c>
      <c r="P380" t="inlineStr">
        <is>
          <t>mau</t>
        </is>
      </c>
      <c r="Q380" t="inlineStr">
        <is>
          <t>American and comparative environmental policy</t>
        </is>
      </c>
      <c r="R380" t="inlineStr">
        <is>
          <t xml:space="preserve">GE </t>
        </is>
      </c>
      <c r="S380" t="n">
        <v>2</v>
      </c>
      <c r="T380" t="n">
        <v>2</v>
      </c>
      <c r="U380" t="inlineStr">
        <is>
          <t>2009-02-24</t>
        </is>
      </c>
      <c r="V380" t="inlineStr">
        <is>
          <t>2009-02-24</t>
        </is>
      </c>
      <c r="W380" t="inlineStr">
        <is>
          <t>2008-12-01</t>
        </is>
      </c>
      <c r="X380" t="inlineStr">
        <is>
          <t>2008-12-01</t>
        </is>
      </c>
      <c r="Y380" t="n">
        <v>529</v>
      </c>
      <c r="Z380" t="n">
        <v>459</v>
      </c>
      <c r="AA380" t="n">
        <v>831</v>
      </c>
      <c r="AB380" t="n">
        <v>4</v>
      </c>
      <c r="AC380" t="n">
        <v>14</v>
      </c>
      <c r="AD380" t="n">
        <v>21</v>
      </c>
      <c r="AE380" t="n">
        <v>34</v>
      </c>
      <c r="AF380" t="n">
        <v>7</v>
      </c>
      <c r="AG380" t="n">
        <v>13</v>
      </c>
      <c r="AH380" t="n">
        <v>3</v>
      </c>
      <c r="AI380" t="n">
        <v>4</v>
      </c>
      <c r="AJ380" t="n">
        <v>9</v>
      </c>
      <c r="AK380" t="n">
        <v>12</v>
      </c>
      <c r="AL380" t="n">
        <v>2</v>
      </c>
      <c r="AM380" t="n">
        <v>8</v>
      </c>
      <c r="AN380" t="n">
        <v>3</v>
      </c>
      <c r="AO380" t="n">
        <v>3</v>
      </c>
      <c r="AP380" t="inlineStr">
        <is>
          <t>No</t>
        </is>
      </c>
      <c r="AQ380" t="inlineStr">
        <is>
          <t>Yes</t>
        </is>
      </c>
      <c r="AR380">
        <f>HYPERLINK("http://catalog.hathitrust.org/Record/005644430","HathiTrust Record")</f>
        <v/>
      </c>
      <c r="AS380">
        <f>HYPERLINK("https://creighton-primo.hosted.exlibrisgroup.com/primo-explore/search?tab=default_tab&amp;search_scope=EVERYTHING&amp;vid=01CRU&amp;lang=en_US&amp;offset=0&amp;query=any,contains,991005276829702656","Catalog Record")</f>
        <v/>
      </c>
      <c r="AT380">
        <f>HYPERLINK("http://www.worldcat.org/oclc/122425126","WorldCat Record")</f>
        <v/>
      </c>
      <c r="AU380" t="inlineStr">
        <is>
          <t>801817707:eng</t>
        </is>
      </c>
      <c r="AV380" t="inlineStr">
        <is>
          <t>122425126</t>
        </is>
      </c>
      <c r="AW380" t="inlineStr">
        <is>
          <t>991005276829702656</t>
        </is>
      </c>
      <c r="AX380" t="inlineStr">
        <is>
          <t>991005276829702656</t>
        </is>
      </c>
      <c r="AY380" t="inlineStr">
        <is>
          <t>2260950710002656</t>
        </is>
      </c>
      <c r="AZ380" t="inlineStr">
        <is>
          <t>BOOK</t>
        </is>
      </c>
      <c r="BB380" t="inlineStr">
        <is>
          <t>9780262113137</t>
        </is>
      </c>
      <c r="BC380" t="inlineStr">
        <is>
          <t>32285005469274</t>
        </is>
      </c>
      <c r="BD380" t="inlineStr">
        <is>
          <t>893607122</t>
        </is>
      </c>
    </row>
    <row r="381">
      <c r="A381" t="inlineStr">
        <is>
          <t>No</t>
        </is>
      </c>
      <c r="B381" t="inlineStr">
        <is>
          <t>GE180 .L47 2001</t>
        </is>
      </c>
      <c r="C381" t="inlineStr">
        <is>
          <t>0                      GE 0180000L  47          2001</t>
        </is>
      </c>
      <c r="D381" t="inlineStr">
        <is>
          <t>Environmental injustice in the United States : myths and realities / James P. Lester, David W. Allen, Kelly M. Hill.</t>
        </is>
      </c>
      <c r="F381" t="inlineStr">
        <is>
          <t>No</t>
        </is>
      </c>
      <c r="G381" t="inlineStr">
        <is>
          <t>1</t>
        </is>
      </c>
      <c r="H381" t="inlineStr">
        <is>
          <t>No</t>
        </is>
      </c>
      <c r="I381" t="inlineStr">
        <is>
          <t>No</t>
        </is>
      </c>
      <c r="J381" t="inlineStr">
        <is>
          <t>0</t>
        </is>
      </c>
      <c r="K381" t="inlineStr">
        <is>
          <t>Lester, James P., 1944-</t>
        </is>
      </c>
      <c r="L381" t="inlineStr">
        <is>
          <t>Boulder, Colo. : Westview Press, c2001.</t>
        </is>
      </c>
      <c r="M381" t="inlineStr">
        <is>
          <t>2001</t>
        </is>
      </c>
      <c r="O381" t="inlineStr">
        <is>
          <t>eng</t>
        </is>
      </c>
      <c r="P381" t="inlineStr">
        <is>
          <t>cou</t>
        </is>
      </c>
      <c r="R381" t="inlineStr">
        <is>
          <t xml:space="preserve">GE </t>
        </is>
      </c>
      <c r="S381" t="n">
        <v>14</v>
      </c>
      <c r="T381" t="n">
        <v>14</v>
      </c>
      <c r="U381" t="inlineStr">
        <is>
          <t>2008-03-12</t>
        </is>
      </c>
      <c r="V381" t="inlineStr">
        <is>
          <t>2008-03-12</t>
        </is>
      </c>
      <c r="W381" t="inlineStr">
        <is>
          <t>2001-04-03</t>
        </is>
      </c>
      <c r="X381" t="inlineStr">
        <is>
          <t>2001-04-03</t>
        </is>
      </c>
      <c r="Y381" t="n">
        <v>693</v>
      </c>
      <c r="Z381" t="n">
        <v>648</v>
      </c>
      <c r="AA381" t="n">
        <v>671</v>
      </c>
      <c r="AB381" t="n">
        <v>4</v>
      </c>
      <c r="AC381" t="n">
        <v>4</v>
      </c>
      <c r="AD381" t="n">
        <v>36</v>
      </c>
      <c r="AE381" t="n">
        <v>36</v>
      </c>
      <c r="AF381" t="n">
        <v>17</v>
      </c>
      <c r="AG381" t="n">
        <v>17</v>
      </c>
      <c r="AH381" t="n">
        <v>7</v>
      </c>
      <c r="AI381" t="n">
        <v>7</v>
      </c>
      <c r="AJ381" t="n">
        <v>15</v>
      </c>
      <c r="AK381" t="n">
        <v>15</v>
      </c>
      <c r="AL381" t="n">
        <v>3</v>
      </c>
      <c r="AM381" t="n">
        <v>3</v>
      </c>
      <c r="AN381" t="n">
        <v>2</v>
      </c>
      <c r="AO381" t="n">
        <v>2</v>
      </c>
      <c r="AP381" t="inlineStr">
        <is>
          <t>No</t>
        </is>
      </c>
      <c r="AQ381" t="inlineStr">
        <is>
          <t>Yes</t>
        </is>
      </c>
      <c r="AR381">
        <f>HYPERLINK("http://catalog.hathitrust.org/Record/004139062","HathiTrust Record")</f>
        <v/>
      </c>
      <c r="AS381">
        <f>HYPERLINK("https://creighton-primo.hosted.exlibrisgroup.com/primo-explore/search?tab=default_tab&amp;search_scope=EVERYTHING&amp;vid=01CRU&amp;lang=en_US&amp;offset=0&amp;query=any,contains,991003486399702656","Catalog Record")</f>
        <v/>
      </c>
      <c r="AT381">
        <f>HYPERLINK("http://www.worldcat.org/oclc/44868872","WorldCat Record")</f>
        <v/>
      </c>
      <c r="AU381" t="inlineStr">
        <is>
          <t>368060366:eng</t>
        </is>
      </c>
      <c r="AV381" t="inlineStr">
        <is>
          <t>44868872</t>
        </is>
      </c>
      <c r="AW381" t="inlineStr">
        <is>
          <t>991003486399702656</t>
        </is>
      </c>
      <c r="AX381" t="inlineStr">
        <is>
          <t>991003486399702656</t>
        </is>
      </c>
      <c r="AY381" t="inlineStr">
        <is>
          <t>2258606370002656</t>
        </is>
      </c>
      <c r="AZ381" t="inlineStr">
        <is>
          <t>BOOK</t>
        </is>
      </c>
      <c r="BB381" t="inlineStr">
        <is>
          <t>9780813338187</t>
        </is>
      </c>
      <c r="BC381" t="inlineStr">
        <is>
          <t>32285004309406</t>
        </is>
      </c>
      <c r="BD381" t="inlineStr">
        <is>
          <t>893774771</t>
        </is>
      </c>
    </row>
    <row r="382">
      <c r="A382" t="inlineStr">
        <is>
          <t>No</t>
        </is>
      </c>
      <c r="B382" t="inlineStr">
        <is>
          <t>GE180 .N37 1995</t>
        </is>
      </c>
      <c r="C382" t="inlineStr">
        <is>
          <t>0                      GE 0180000N  37          1995</t>
        </is>
      </c>
      <c r="D382" t="inlineStr">
        <is>
          <t>National Environmental Policy Act : readings from The environmental professional / edited by John Lemons.</t>
        </is>
      </c>
      <c r="F382" t="inlineStr">
        <is>
          <t>No</t>
        </is>
      </c>
      <c r="G382" t="inlineStr">
        <is>
          <t>1</t>
        </is>
      </c>
      <c r="H382" t="inlineStr">
        <is>
          <t>No</t>
        </is>
      </c>
      <c r="I382" t="inlineStr">
        <is>
          <t>No</t>
        </is>
      </c>
      <c r="J382" t="inlineStr">
        <is>
          <t>0</t>
        </is>
      </c>
      <c r="L382" t="inlineStr">
        <is>
          <t>[Cambridge, Mass.] : Blackwell Science, [c1995]</t>
        </is>
      </c>
      <c r="M382" t="inlineStr">
        <is>
          <t>1995</t>
        </is>
      </c>
      <c r="O382" t="inlineStr">
        <is>
          <t>eng</t>
        </is>
      </c>
      <c r="P382" t="inlineStr">
        <is>
          <t>mau</t>
        </is>
      </c>
      <c r="R382" t="inlineStr">
        <is>
          <t xml:space="preserve">GE </t>
        </is>
      </c>
      <c r="S382" t="n">
        <v>3</v>
      </c>
      <c r="T382" t="n">
        <v>3</v>
      </c>
      <c r="U382" t="inlineStr">
        <is>
          <t>2003-10-07</t>
        </is>
      </c>
      <c r="V382" t="inlineStr">
        <is>
          <t>2003-10-07</t>
        </is>
      </c>
      <c r="W382" t="inlineStr">
        <is>
          <t>1997-10-28</t>
        </is>
      </c>
      <c r="X382" t="inlineStr">
        <is>
          <t>1997-10-28</t>
        </is>
      </c>
      <c r="Y382" t="n">
        <v>43</v>
      </c>
      <c r="Z382" t="n">
        <v>37</v>
      </c>
      <c r="AA382" t="n">
        <v>37</v>
      </c>
      <c r="AB382" t="n">
        <v>1</v>
      </c>
      <c r="AC382" t="n">
        <v>1</v>
      </c>
      <c r="AD382" t="n">
        <v>0</v>
      </c>
      <c r="AE382" t="n">
        <v>0</v>
      </c>
      <c r="AF382" t="n">
        <v>0</v>
      </c>
      <c r="AG382" t="n">
        <v>0</v>
      </c>
      <c r="AH382" t="n">
        <v>0</v>
      </c>
      <c r="AI382" t="n">
        <v>0</v>
      </c>
      <c r="AJ382" t="n">
        <v>0</v>
      </c>
      <c r="AK382" t="n">
        <v>0</v>
      </c>
      <c r="AL382" t="n">
        <v>0</v>
      </c>
      <c r="AM382" t="n">
        <v>0</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HYPERLINK("https://creighton-primo.hosted.exlibrisgroup.com/primo-explore/search?tab=default_tab&amp;search_scope=EVERYTHING&amp;vid=01CRU&amp;lang=en_US&amp;offset=0&amp;query=any,contains,991002565299702656","Catalog Record")</f>
        <v/>
      </c>
      <c r="AT382">
        <f>HYPERLINK("http://www.worldcat.org/oclc/33348428","WorldCat Record")</f>
        <v/>
      </c>
      <c r="AU382" t="inlineStr">
        <is>
          <t>5612389250:eng</t>
        </is>
      </c>
      <c r="AV382" t="inlineStr">
        <is>
          <t>33348428</t>
        </is>
      </c>
      <c r="AW382" t="inlineStr">
        <is>
          <t>991002565299702656</t>
        </is>
      </c>
      <c r="AX382" t="inlineStr">
        <is>
          <t>991002565299702656</t>
        </is>
      </c>
      <c r="AY382" t="inlineStr">
        <is>
          <t>2255888140002656</t>
        </is>
      </c>
      <c r="AZ382" t="inlineStr">
        <is>
          <t>BOOK</t>
        </is>
      </c>
      <c r="BB382" t="inlineStr">
        <is>
          <t>9780865424623</t>
        </is>
      </c>
      <c r="BC382" t="inlineStr">
        <is>
          <t>32285003258257</t>
        </is>
      </c>
      <c r="BD382" t="inlineStr">
        <is>
          <t>893779962</t>
        </is>
      </c>
    </row>
    <row r="383">
      <c r="A383" t="inlineStr">
        <is>
          <t>No</t>
        </is>
      </c>
      <c r="B383" t="inlineStr">
        <is>
          <t>GE180 .R42 2007</t>
        </is>
      </c>
      <c r="C383" t="inlineStr">
        <is>
          <t>0                      GE 0180000R  42          2007</t>
        </is>
      </c>
      <c r="D383" t="inlineStr">
        <is>
          <t>Reality check : the nature and performance of voluntary environmental programs in the United States, Europe, and Japan / edited by Richard D. Morgenstern and William A. Pizer.</t>
        </is>
      </c>
      <c r="F383" t="inlineStr">
        <is>
          <t>No</t>
        </is>
      </c>
      <c r="G383" t="inlineStr">
        <is>
          <t>1</t>
        </is>
      </c>
      <c r="H383" t="inlineStr">
        <is>
          <t>No</t>
        </is>
      </c>
      <c r="I383" t="inlineStr">
        <is>
          <t>No</t>
        </is>
      </c>
      <c r="J383" t="inlineStr">
        <is>
          <t>0</t>
        </is>
      </c>
      <c r="L383" t="inlineStr">
        <is>
          <t>Washington, DC : Resources for the Future, c2007.</t>
        </is>
      </c>
      <c r="M383" t="inlineStr">
        <is>
          <t>2007</t>
        </is>
      </c>
      <c r="O383" t="inlineStr">
        <is>
          <t>eng</t>
        </is>
      </c>
      <c r="P383" t="inlineStr">
        <is>
          <t>dcu</t>
        </is>
      </c>
      <c r="R383" t="inlineStr">
        <is>
          <t xml:space="preserve">GE </t>
        </is>
      </c>
      <c r="S383" t="n">
        <v>3</v>
      </c>
      <c r="T383" t="n">
        <v>3</v>
      </c>
      <c r="U383" t="inlineStr">
        <is>
          <t>2007-05-08</t>
        </is>
      </c>
      <c r="V383" t="inlineStr">
        <is>
          <t>2007-05-08</t>
        </is>
      </c>
      <c r="W383" t="inlineStr">
        <is>
          <t>2007-05-08</t>
        </is>
      </c>
      <c r="X383" t="inlineStr">
        <is>
          <t>2007-05-08</t>
        </is>
      </c>
      <c r="Y383" t="n">
        <v>336</v>
      </c>
      <c r="Z383" t="n">
        <v>272</v>
      </c>
      <c r="AA383" t="n">
        <v>302</v>
      </c>
      <c r="AB383" t="n">
        <v>3</v>
      </c>
      <c r="AC383" t="n">
        <v>3</v>
      </c>
      <c r="AD383" t="n">
        <v>14</v>
      </c>
      <c r="AE383" t="n">
        <v>14</v>
      </c>
      <c r="AF383" t="n">
        <v>4</v>
      </c>
      <c r="AG383" t="n">
        <v>4</v>
      </c>
      <c r="AH383" t="n">
        <v>5</v>
      </c>
      <c r="AI383" t="n">
        <v>5</v>
      </c>
      <c r="AJ383" t="n">
        <v>5</v>
      </c>
      <c r="AK383" t="n">
        <v>5</v>
      </c>
      <c r="AL383" t="n">
        <v>2</v>
      </c>
      <c r="AM383" t="n">
        <v>2</v>
      </c>
      <c r="AN383" t="n">
        <v>1</v>
      </c>
      <c r="AO383" t="n">
        <v>1</v>
      </c>
      <c r="AP383" t="inlineStr">
        <is>
          <t>No</t>
        </is>
      </c>
      <c r="AQ383" t="inlineStr">
        <is>
          <t>Yes</t>
        </is>
      </c>
      <c r="AR383">
        <f>HYPERLINK("http://catalog.hathitrust.org/Record/005546571","HathiTrust Record")</f>
        <v/>
      </c>
      <c r="AS383">
        <f>HYPERLINK("https://creighton-primo.hosted.exlibrisgroup.com/primo-explore/search?tab=default_tab&amp;search_scope=EVERYTHING&amp;vid=01CRU&amp;lang=en_US&amp;offset=0&amp;query=any,contains,991005073949702656","Catalog Record")</f>
        <v/>
      </c>
      <c r="AT383">
        <f>HYPERLINK("http://www.worldcat.org/oclc/76074065","WorldCat Record")</f>
        <v/>
      </c>
      <c r="AU383" t="inlineStr">
        <is>
          <t>803194938:eng</t>
        </is>
      </c>
      <c r="AV383" t="inlineStr">
        <is>
          <t>76074065</t>
        </is>
      </c>
      <c r="AW383" t="inlineStr">
        <is>
          <t>991005073949702656</t>
        </is>
      </c>
      <c r="AX383" t="inlineStr">
        <is>
          <t>991005073949702656</t>
        </is>
      </c>
      <c r="AY383" t="inlineStr">
        <is>
          <t>2271373900002656</t>
        </is>
      </c>
      <c r="AZ383" t="inlineStr">
        <is>
          <t>BOOK</t>
        </is>
      </c>
      <c r="BB383" t="inlineStr">
        <is>
          <t>9781933115368</t>
        </is>
      </c>
      <c r="BC383" t="inlineStr">
        <is>
          <t>32285005311278</t>
        </is>
      </c>
      <c r="BD383" t="inlineStr">
        <is>
          <t>893344598</t>
        </is>
      </c>
    </row>
    <row r="384">
      <c r="A384" t="inlineStr">
        <is>
          <t>No</t>
        </is>
      </c>
      <c r="B384" t="inlineStr">
        <is>
          <t>GE180 E56 2001</t>
        </is>
      </c>
      <c r="C384" t="inlineStr">
        <is>
          <t>0                      GE 0180000E  56          2001</t>
        </is>
      </c>
      <c r="D384" t="inlineStr">
        <is>
          <t>The environment, international relations, and U.S. foreign policy / edited by Paul G. Harris.</t>
        </is>
      </c>
      <c r="F384" t="inlineStr">
        <is>
          <t>No</t>
        </is>
      </c>
      <c r="G384" t="inlineStr">
        <is>
          <t>1</t>
        </is>
      </c>
      <c r="H384" t="inlineStr">
        <is>
          <t>No</t>
        </is>
      </c>
      <c r="I384" t="inlineStr">
        <is>
          <t>No</t>
        </is>
      </c>
      <c r="J384" t="inlineStr">
        <is>
          <t>0</t>
        </is>
      </c>
      <c r="L384" t="inlineStr">
        <is>
          <t>Washington, D.C. : Georgetown University Press, 2001.</t>
        </is>
      </c>
      <c r="M384" t="inlineStr">
        <is>
          <t>2000</t>
        </is>
      </c>
      <c r="O384" t="inlineStr">
        <is>
          <t>eng</t>
        </is>
      </c>
      <c r="P384" t="inlineStr">
        <is>
          <t>dcu</t>
        </is>
      </c>
      <c r="R384" t="inlineStr">
        <is>
          <t xml:space="preserve">GE </t>
        </is>
      </c>
      <c r="S384" t="n">
        <v>20</v>
      </c>
      <c r="T384" t="n">
        <v>20</v>
      </c>
      <c r="U384" t="inlineStr">
        <is>
          <t>2008-01-24</t>
        </is>
      </c>
      <c r="V384" t="inlineStr">
        <is>
          <t>2008-01-24</t>
        </is>
      </c>
      <c r="W384" t="inlineStr">
        <is>
          <t>2001-08-22</t>
        </is>
      </c>
      <c r="X384" t="inlineStr">
        <is>
          <t>2001-08-22</t>
        </is>
      </c>
      <c r="Y384" t="n">
        <v>451</v>
      </c>
      <c r="Z384" t="n">
        <v>386</v>
      </c>
      <c r="AA384" t="n">
        <v>401</v>
      </c>
      <c r="AB384" t="n">
        <v>3</v>
      </c>
      <c r="AC384" t="n">
        <v>3</v>
      </c>
      <c r="AD384" t="n">
        <v>17</v>
      </c>
      <c r="AE384" t="n">
        <v>17</v>
      </c>
      <c r="AF384" t="n">
        <v>5</v>
      </c>
      <c r="AG384" t="n">
        <v>5</v>
      </c>
      <c r="AH384" t="n">
        <v>3</v>
      </c>
      <c r="AI384" t="n">
        <v>3</v>
      </c>
      <c r="AJ384" t="n">
        <v>10</v>
      </c>
      <c r="AK384" t="n">
        <v>10</v>
      </c>
      <c r="AL384" t="n">
        <v>2</v>
      </c>
      <c r="AM384" t="n">
        <v>2</v>
      </c>
      <c r="AN384" t="n">
        <v>1</v>
      </c>
      <c r="AO384" t="n">
        <v>1</v>
      </c>
      <c r="AP384" t="inlineStr">
        <is>
          <t>No</t>
        </is>
      </c>
      <c r="AQ384" t="inlineStr">
        <is>
          <t>Yes</t>
        </is>
      </c>
      <c r="AR384">
        <f>HYPERLINK("http://catalog.hathitrust.org/Record/004166681","HathiTrust Record")</f>
        <v/>
      </c>
      <c r="AS384">
        <f>HYPERLINK("https://creighton-primo.hosted.exlibrisgroup.com/primo-explore/search?tab=default_tab&amp;search_scope=EVERYTHING&amp;vid=01CRU&amp;lang=en_US&amp;offset=0&amp;query=any,contains,991003584939702656","Catalog Record")</f>
        <v/>
      </c>
      <c r="AT384">
        <f>HYPERLINK("http://www.worldcat.org/oclc/44713110","WorldCat Record")</f>
        <v/>
      </c>
      <c r="AU384" t="inlineStr">
        <is>
          <t>1073270139:eng</t>
        </is>
      </c>
      <c r="AV384" t="inlineStr">
        <is>
          <t>44713110</t>
        </is>
      </c>
      <c r="AW384" t="inlineStr">
        <is>
          <t>991003584939702656</t>
        </is>
      </c>
      <c r="AX384" t="inlineStr">
        <is>
          <t>991003584939702656</t>
        </is>
      </c>
      <c r="AY384" t="inlineStr">
        <is>
          <t>2256313410002656</t>
        </is>
      </c>
      <c r="AZ384" t="inlineStr">
        <is>
          <t>BOOK</t>
        </is>
      </c>
      <c r="BB384" t="inlineStr">
        <is>
          <t>9780878408320</t>
        </is>
      </c>
      <c r="BC384" t="inlineStr">
        <is>
          <t>32285004380019</t>
        </is>
      </c>
      <c r="BD384" t="inlineStr">
        <is>
          <t>893611200</t>
        </is>
      </c>
    </row>
    <row r="385">
      <c r="A385" t="inlineStr">
        <is>
          <t>No</t>
        </is>
      </c>
      <c r="B385" t="inlineStr">
        <is>
          <t>GE190.E85 G65 1998</t>
        </is>
      </c>
      <c r="C385" t="inlineStr">
        <is>
          <t>0                      GE 0190000E  85                 G  65          1998</t>
        </is>
      </c>
      <c r="D385" t="inlineStr">
        <is>
          <t>Global competition and EU environmental policy / edited by Jonathan Golub.</t>
        </is>
      </c>
      <c r="F385" t="inlineStr">
        <is>
          <t>No</t>
        </is>
      </c>
      <c r="G385" t="inlineStr">
        <is>
          <t>1</t>
        </is>
      </c>
      <c r="H385" t="inlineStr">
        <is>
          <t>No</t>
        </is>
      </c>
      <c r="I385" t="inlineStr">
        <is>
          <t>No</t>
        </is>
      </c>
      <c r="J385" t="inlineStr">
        <is>
          <t>0</t>
        </is>
      </c>
      <c r="L385" t="inlineStr">
        <is>
          <t>London ; New York : Routledge, 1998.</t>
        </is>
      </c>
      <c r="M385" t="inlineStr">
        <is>
          <t>1998</t>
        </is>
      </c>
      <c r="O385" t="inlineStr">
        <is>
          <t>eng</t>
        </is>
      </c>
      <c r="P385" t="inlineStr">
        <is>
          <t>enk</t>
        </is>
      </c>
      <c r="R385" t="inlineStr">
        <is>
          <t xml:space="preserve">GE </t>
        </is>
      </c>
      <c r="S385" t="n">
        <v>1</v>
      </c>
      <c r="T385" t="n">
        <v>1</v>
      </c>
      <c r="U385" t="inlineStr">
        <is>
          <t>2001-06-07</t>
        </is>
      </c>
      <c r="V385" t="inlineStr">
        <is>
          <t>2001-06-07</t>
        </is>
      </c>
      <c r="W385" t="inlineStr">
        <is>
          <t>2001-06-06</t>
        </is>
      </c>
      <c r="X385" t="inlineStr">
        <is>
          <t>2001-06-06</t>
        </is>
      </c>
      <c r="Y385" t="n">
        <v>194</v>
      </c>
      <c r="Z385" t="n">
        <v>99</v>
      </c>
      <c r="AA385" t="n">
        <v>138</v>
      </c>
      <c r="AB385" t="n">
        <v>1</v>
      </c>
      <c r="AC385" t="n">
        <v>1</v>
      </c>
      <c r="AD385" t="n">
        <v>6</v>
      </c>
      <c r="AE385" t="n">
        <v>6</v>
      </c>
      <c r="AF385" t="n">
        <v>2</v>
      </c>
      <c r="AG385" t="n">
        <v>2</v>
      </c>
      <c r="AH385" t="n">
        <v>2</v>
      </c>
      <c r="AI385" t="n">
        <v>2</v>
      </c>
      <c r="AJ385" t="n">
        <v>5</v>
      </c>
      <c r="AK385" t="n">
        <v>5</v>
      </c>
      <c r="AL385" t="n">
        <v>0</v>
      </c>
      <c r="AM385" t="n">
        <v>0</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HYPERLINK("https://creighton-primo.hosted.exlibrisgroup.com/primo-explore/search?tab=default_tab&amp;search_scope=EVERYTHING&amp;vid=01CRU&amp;lang=en_US&amp;offset=0&amp;query=any,contains,991003551999702656","Catalog Record")</f>
        <v/>
      </c>
      <c r="AT385">
        <f>HYPERLINK("http://www.worldcat.org/oclc/37606296","WorldCat Record")</f>
        <v/>
      </c>
      <c r="AU385" t="inlineStr">
        <is>
          <t>766813684:eng</t>
        </is>
      </c>
      <c r="AV385" t="inlineStr">
        <is>
          <t>37606296</t>
        </is>
      </c>
      <c r="AW385" t="inlineStr">
        <is>
          <t>991003551999702656</t>
        </is>
      </c>
      <c r="AX385" t="inlineStr">
        <is>
          <t>991003551999702656</t>
        </is>
      </c>
      <c r="AY385" t="inlineStr">
        <is>
          <t>2262533930002656</t>
        </is>
      </c>
      <c r="AZ385" t="inlineStr">
        <is>
          <t>BOOK</t>
        </is>
      </c>
      <c r="BB385" t="inlineStr">
        <is>
          <t>9780415156981</t>
        </is>
      </c>
      <c r="BC385" t="inlineStr">
        <is>
          <t>32285004325477</t>
        </is>
      </c>
      <c r="BD385" t="inlineStr">
        <is>
          <t>893240341</t>
        </is>
      </c>
    </row>
    <row r="386">
      <c r="A386" t="inlineStr">
        <is>
          <t>No</t>
        </is>
      </c>
      <c r="B386" t="inlineStr">
        <is>
          <t>GE195 .B35 1995</t>
        </is>
      </c>
      <c r="C386" t="inlineStr">
        <is>
          <t>0                      GE 0195000B  35          1995</t>
        </is>
      </c>
      <c r="D386" t="inlineStr">
        <is>
          <t>The True state of the planet / Ronald Bailey, editor.</t>
        </is>
      </c>
      <c r="F386" t="inlineStr">
        <is>
          <t>No</t>
        </is>
      </c>
      <c r="G386" t="inlineStr">
        <is>
          <t>1</t>
        </is>
      </c>
      <c r="H386" t="inlineStr">
        <is>
          <t>No</t>
        </is>
      </c>
      <c r="I386" t="inlineStr">
        <is>
          <t>No</t>
        </is>
      </c>
      <c r="J386" t="inlineStr">
        <is>
          <t>0</t>
        </is>
      </c>
      <c r="L386" t="inlineStr">
        <is>
          <t>New York : Free Press, c1995.</t>
        </is>
      </c>
      <c r="M386" t="inlineStr">
        <is>
          <t>1995</t>
        </is>
      </c>
      <c r="O386" t="inlineStr">
        <is>
          <t>eng</t>
        </is>
      </c>
      <c r="P386" t="inlineStr">
        <is>
          <t>nyu</t>
        </is>
      </c>
      <c r="R386" t="inlineStr">
        <is>
          <t xml:space="preserve">GE </t>
        </is>
      </c>
      <c r="S386" t="n">
        <v>16</v>
      </c>
      <c r="T386" t="n">
        <v>16</v>
      </c>
      <c r="U386" t="inlineStr">
        <is>
          <t>2005-03-31</t>
        </is>
      </c>
      <c r="V386" t="inlineStr">
        <is>
          <t>2005-03-31</t>
        </is>
      </c>
      <c r="W386" t="inlineStr">
        <is>
          <t>1995-10-03</t>
        </is>
      </c>
      <c r="X386" t="inlineStr">
        <is>
          <t>1995-10-03</t>
        </is>
      </c>
      <c r="Y386" t="n">
        <v>809</v>
      </c>
      <c r="Z386" t="n">
        <v>693</v>
      </c>
      <c r="AA386" t="n">
        <v>699</v>
      </c>
      <c r="AB386" t="n">
        <v>4</v>
      </c>
      <c r="AC386" t="n">
        <v>4</v>
      </c>
      <c r="AD386" t="n">
        <v>26</v>
      </c>
      <c r="AE386" t="n">
        <v>26</v>
      </c>
      <c r="AF386" t="n">
        <v>7</v>
      </c>
      <c r="AG386" t="n">
        <v>7</v>
      </c>
      <c r="AH386" t="n">
        <v>8</v>
      </c>
      <c r="AI386" t="n">
        <v>8</v>
      </c>
      <c r="AJ386" t="n">
        <v>14</v>
      </c>
      <c r="AK386" t="n">
        <v>14</v>
      </c>
      <c r="AL386" t="n">
        <v>3</v>
      </c>
      <c r="AM386" t="n">
        <v>3</v>
      </c>
      <c r="AN386" t="n">
        <v>1</v>
      </c>
      <c r="AO386" t="n">
        <v>1</v>
      </c>
      <c r="AP386" t="inlineStr">
        <is>
          <t>No</t>
        </is>
      </c>
      <c r="AQ386" t="inlineStr">
        <is>
          <t>Yes</t>
        </is>
      </c>
      <c r="AR386">
        <f>HYPERLINK("http://catalog.hathitrust.org/Record/002966800","HathiTrust Record")</f>
        <v/>
      </c>
      <c r="AS386">
        <f>HYPERLINK("https://creighton-primo.hosted.exlibrisgroup.com/primo-explore/search?tab=default_tab&amp;search_scope=EVERYTHING&amp;vid=01CRU&amp;lang=en_US&amp;offset=0&amp;query=any,contains,991002453979702656","Catalog Record")</f>
        <v/>
      </c>
      <c r="AT386">
        <f>HYPERLINK("http://www.worldcat.org/oclc/32012274","WorldCat Record")</f>
        <v/>
      </c>
      <c r="AU386" t="inlineStr">
        <is>
          <t>1075020408:eng</t>
        </is>
      </c>
      <c r="AV386" t="inlineStr">
        <is>
          <t>32012274</t>
        </is>
      </c>
      <c r="AW386" t="inlineStr">
        <is>
          <t>991002453979702656</t>
        </is>
      </c>
      <c r="AX386" t="inlineStr">
        <is>
          <t>991002453979702656</t>
        </is>
      </c>
      <c r="AY386" t="inlineStr">
        <is>
          <t>2255717510002656</t>
        </is>
      </c>
      <c r="AZ386" t="inlineStr">
        <is>
          <t>BOOK</t>
        </is>
      </c>
      <c r="BB386" t="inlineStr">
        <is>
          <t>9780028740102</t>
        </is>
      </c>
      <c r="BC386" t="inlineStr">
        <is>
          <t>32285002095171</t>
        </is>
      </c>
      <c r="BD386" t="inlineStr">
        <is>
          <t>893886300</t>
        </is>
      </c>
    </row>
    <row r="387">
      <c r="A387" t="inlineStr">
        <is>
          <t>No</t>
        </is>
      </c>
      <c r="B387" t="inlineStr">
        <is>
          <t>GE195 .B46 1998</t>
        </is>
      </c>
      <c r="C387" t="inlineStr">
        <is>
          <t>0                      GE 0195000B  46          1998</t>
        </is>
      </c>
      <c r="D387" t="inlineStr">
        <is>
          <t>An invitation to environmental sociology / Michael Mayerfeld Bell.</t>
        </is>
      </c>
      <c r="F387" t="inlineStr">
        <is>
          <t>No</t>
        </is>
      </c>
      <c r="G387" t="inlineStr">
        <is>
          <t>1</t>
        </is>
      </c>
      <c r="H387" t="inlineStr">
        <is>
          <t>No</t>
        </is>
      </c>
      <c r="I387" t="inlineStr">
        <is>
          <t>No</t>
        </is>
      </c>
      <c r="J387" t="inlineStr">
        <is>
          <t>0</t>
        </is>
      </c>
      <c r="K387" t="inlineStr">
        <is>
          <t>Bell, Michael, 1957-</t>
        </is>
      </c>
      <c r="L387" t="inlineStr">
        <is>
          <t>Thousand Oaks : Pine Forge Press, c1998.</t>
        </is>
      </c>
      <c r="M387" t="inlineStr">
        <is>
          <t>1998</t>
        </is>
      </c>
      <c r="O387" t="inlineStr">
        <is>
          <t>eng</t>
        </is>
      </c>
      <c r="P387" t="inlineStr">
        <is>
          <t>cau</t>
        </is>
      </c>
      <c r="Q387" t="inlineStr">
        <is>
          <t>Sociology for a new century</t>
        </is>
      </c>
      <c r="R387" t="inlineStr">
        <is>
          <t xml:space="preserve">GE </t>
        </is>
      </c>
      <c r="S387" t="n">
        <v>10</v>
      </c>
      <c r="T387" t="n">
        <v>10</v>
      </c>
      <c r="U387" t="inlineStr">
        <is>
          <t>2009-03-09</t>
        </is>
      </c>
      <c r="V387" t="inlineStr">
        <is>
          <t>2009-03-09</t>
        </is>
      </c>
      <c r="W387" t="inlineStr">
        <is>
          <t>1999-03-23</t>
        </is>
      </c>
      <c r="X387" t="inlineStr">
        <is>
          <t>1999-03-23</t>
        </is>
      </c>
      <c r="Y387" t="n">
        <v>217</v>
      </c>
      <c r="Z387" t="n">
        <v>140</v>
      </c>
      <c r="AA387" t="n">
        <v>303</v>
      </c>
      <c r="AB387" t="n">
        <v>2</v>
      </c>
      <c r="AC387" t="n">
        <v>4</v>
      </c>
      <c r="AD387" t="n">
        <v>5</v>
      </c>
      <c r="AE387" t="n">
        <v>15</v>
      </c>
      <c r="AF387" t="n">
        <v>2</v>
      </c>
      <c r="AG387" t="n">
        <v>6</v>
      </c>
      <c r="AH387" t="n">
        <v>2</v>
      </c>
      <c r="AI387" t="n">
        <v>3</v>
      </c>
      <c r="AJ387" t="n">
        <v>1</v>
      </c>
      <c r="AK387" t="n">
        <v>5</v>
      </c>
      <c r="AL387" t="n">
        <v>1</v>
      </c>
      <c r="AM387" t="n">
        <v>3</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HYPERLINK("https://creighton-primo.hosted.exlibrisgroup.com/primo-explore/search?tab=default_tab&amp;search_scope=EVERYTHING&amp;vid=01CRU&amp;lang=en_US&amp;offset=0&amp;query=any,contains,991005427359702656","Catalog Record")</f>
        <v/>
      </c>
      <c r="AT387">
        <f>HYPERLINK("http://www.worldcat.org/oclc/37854419","WorldCat Record")</f>
        <v/>
      </c>
      <c r="AU387" t="inlineStr">
        <is>
          <t>13260283:eng</t>
        </is>
      </c>
      <c r="AV387" t="inlineStr">
        <is>
          <t>37854419</t>
        </is>
      </c>
      <c r="AW387" t="inlineStr">
        <is>
          <t>991005427359702656</t>
        </is>
      </c>
      <c r="AX387" t="inlineStr">
        <is>
          <t>991005427359702656</t>
        </is>
      </c>
      <c r="AY387" t="inlineStr">
        <is>
          <t>2260989900002656</t>
        </is>
      </c>
      <c r="AZ387" t="inlineStr">
        <is>
          <t>BOOK</t>
        </is>
      </c>
      <c r="BB387" t="inlineStr">
        <is>
          <t>9780761985099</t>
        </is>
      </c>
      <c r="BC387" t="inlineStr">
        <is>
          <t>32285003534921</t>
        </is>
      </c>
      <c r="BD387" t="inlineStr">
        <is>
          <t>893345179</t>
        </is>
      </c>
    </row>
    <row r="388">
      <c r="A388" t="inlineStr">
        <is>
          <t>No</t>
        </is>
      </c>
      <c r="B388" t="inlineStr">
        <is>
          <t>GE195 .E18 1995</t>
        </is>
      </c>
      <c r="C388" t="inlineStr">
        <is>
          <t>0                      GE 0195000E  18          1995</t>
        </is>
      </c>
      <c r="D388" t="inlineStr">
        <is>
          <t>A moment on the Earth : the coming age of environmental optimism / Gregg Easterbrook.</t>
        </is>
      </c>
      <c r="F388" t="inlineStr">
        <is>
          <t>No</t>
        </is>
      </c>
      <c r="G388" t="inlineStr">
        <is>
          <t>1</t>
        </is>
      </c>
      <c r="H388" t="inlineStr">
        <is>
          <t>No</t>
        </is>
      </c>
      <c r="I388" t="inlineStr">
        <is>
          <t>No</t>
        </is>
      </c>
      <c r="J388" t="inlineStr">
        <is>
          <t>0</t>
        </is>
      </c>
      <c r="K388" t="inlineStr">
        <is>
          <t>Easterbrook, Gregg.</t>
        </is>
      </c>
      <c r="L388" t="inlineStr">
        <is>
          <t>New York : Viking, 1995.</t>
        </is>
      </c>
      <c r="M388" t="inlineStr">
        <is>
          <t>1995</t>
        </is>
      </c>
      <c r="O388" t="inlineStr">
        <is>
          <t>eng</t>
        </is>
      </c>
      <c r="P388" t="inlineStr">
        <is>
          <t>nyu</t>
        </is>
      </c>
      <c r="R388" t="inlineStr">
        <is>
          <t xml:space="preserve">GE </t>
        </is>
      </c>
      <c r="S388" t="n">
        <v>2</v>
      </c>
      <c r="T388" t="n">
        <v>2</v>
      </c>
      <c r="U388" t="inlineStr">
        <is>
          <t>1997-03-31</t>
        </is>
      </c>
      <c r="V388" t="inlineStr">
        <is>
          <t>1997-03-31</t>
        </is>
      </c>
      <c r="W388" t="inlineStr">
        <is>
          <t>1995-05-31</t>
        </is>
      </c>
      <c r="X388" t="inlineStr">
        <is>
          <t>1995-05-31</t>
        </is>
      </c>
      <c r="Y388" t="n">
        <v>1057</v>
      </c>
      <c r="Z388" t="n">
        <v>975</v>
      </c>
      <c r="AA388" t="n">
        <v>1092</v>
      </c>
      <c r="AB388" t="n">
        <v>4</v>
      </c>
      <c r="AC388" t="n">
        <v>5</v>
      </c>
      <c r="AD388" t="n">
        <v>32</v>
      </c>
      <c r="AE388" t="n">
        <v>36</v>
      </c>
      <c r="AF388" t="n">
        <v>13</v>
      </c>
      <c r="AG388" t="n">
        <v>16</v>
      </c>
      <c r="AH388" t="n">
        <v>7</v>
      </c>
      <c r="AI388" t="n">
        <v>7</v>
      </c>
      <c r="AJ388" t="n">
        <v>15</v>
      </c>
      <c r="AK388" t="n">
        <v>15</v>
      </c>
      <c r="AL388" t="n">
        <v>3</v>
      </c>
      <c r="AM388" t="n">
        <v>3</v>
      </c>
      <c r="AN388" t="n">
        <v>2</v>
      </c>
      <c r="AO388" t="n">
        <v>3</v>
      </c>
      <c r="AP388" t="inlineStr">
        <is>
          <t>No</t>
        </is>
      </c>
      <c r="AQ388" t="inlineStr">
        <is>
          <t>Yes</t>
        </is>
      </c>
      <c r="AR388">
        <f>HYPERLINK("http://catalog.hathitrust.org/Record/002963288","HathiTrust Record")</f>
        <v/>
      </c>
      <c r="AS388">
        <f>HYPERLINK("https://creighton-primo.hosted.exlibrisgroup.com/primo-explore/search?tab=default_tab&amp;search_scope=EVERYTHING&amp;vid=01CRU&amp;lang=en_US&amp;offset=0&amp;query=any,contains,991002389969702656","Catalog Record")</f>
        <v/>
      </c>
      <c r="AT388">
        <f>HYPERLINK("http://www.worldcat.org/oclc/31045317","WorldCat Record")</f>
        <v/>
      </c>
      <c r="AU388" t="inlineStr">
        <is>
          <t>33440219:eng</t>
        </is>
      </c>
      <c r="AV388" t="inlineStr">
        <is>
          <t>31045317</t>
        </is>
      </c>
      <c r="AW388" t="inlineStr">
        <is>
          <t>991002389969702656</t>
        </is>
      </c>
      <c r="AX388" t="inlineStr">
        <is>
          <t>991002389969702656</t>
        </is>
      </c>
      <c r="AY388" t="inlineStr">
        <is>
          <t>2264245490002656</t>
        </is>
      </c>
      <c r="AZ388" t="inlineStr">
        <is>
          <t>BOOK</t>
        </is>
      </c>
      <c r="BB388" t="inlineStr">
        <is>
          <t>9780670839834</t>
        </is>
      </c>
      <c r="BC388" t="inlineStr">
        <is>
          <t>32285002048766</t>
        </is>
      </c>
      <c r="BD388" t="inlineStr">
        <is>
          <t>893251155</t>
        </is>
      </c>
    </row>
    <row r="389">
      <c r="A389" t="inlineStr">
        <is>
          <t>No</t>
        </is>
      </c>
      <c r="B389" t="inlineStr">
        <is>
          <t>GE195 .E38 1998</t>
        </is>
      </c>
      <c r="C389" t="inlineStr">
        <is>
          <t>0                      GE 0195000E  38          1998</t>
        </is>
      </c>
      <c r="D389" t="inlineStr">
        <is>
          <t>The ecology of Eden / Evan Eisenberg.</t>
        </is>
      </c>
      <c r="F389" t="inlineStr">
        <is>
          <t>No</t>
        </is>
      </c>
      <c r="G389" t="inlineStr">
        <is>
          <t>1</t>
        </is>
      </c>
      <c r="H389" t="inlineStr">
        <is>
          <t>No</t>
        </is>
      </c>
      <c r="I389" t="inlineStr">
        <is>
          <t>No</t>
        </is>
      </c>
      <c r="J389" t="inlineStr">
        <is>
          <t>0</t>
        </is>
      </c>
      <c r="K389" t="inlineStr">
        <is>
          <t>Eisenberg, Evan.</t>
        </is>
      </c>
      <c r="L389" t="inlineStr">
        <is>
          <t>New York : Alfred A. Knopf, 1998.</t>
        </is>
      </c>
      <c r="M389" t="inlineStr">
        <is>
          <t>1998</t>
        </is>
      </c>
      <c r="O389" t="inlineStr">
        <is>
          <t>eng</t>
        </is>
      </c>
      <c r="P389" t="inlineStr">
        <is>
          <t>nyu</t>
        </is>
      </c>
      <c r="R389" t="inlineStr">
        <is>
          <t xml:space="preserve">GE </t>
        </is>
      </c>
      <c r="S389" t="n">
        <v>0</v>
      </c>
      <c r="T389" t="n">
        <v>0</v>
      </c>
      <c r="U389" t="inlineStr">
        <is>
          <t>2006-06-19</t>
        </is>
      </c>
      <c r="V389" t="inlineStr">
        <is>
          <t>2006-06-19</t>
        </is>
      </c>
      <c r="W389" t="inlineStr">
        <is>
          <t>1998-06-29</t>
        </is>
      </c>
      <c r="X389" t="inlineStr">
        <is>
          <t>1998-06-29</t>
        </is>
      </c>
      <c r="Y389" t="n">
        <v>742</v>
      </c>
      <c r="Z389" t="n">
        <v>696</v>
      </c>
      <c r="AA389" t="n">
        <v>762</v>
      </c>
      <c r="AB389" t="n">
        <v>5</v>
      </c>
      <c r="AC389" t="n">
        <v>5</v>
      </c>
      <c r="AD389" t="n">
        <v>23</v>
      </c>
      <c r="AE389" t="n">
        <v>28</v>
      </c>
      <c r="AF389" t="n">
        <v>10</v>
      </c>
      <c r="AG389" t="n">
        <v>11</v>
      </c>
      <c r="AH389" t="n">
        <v>5</v>
      </c>
      <c r="AI389" t="n">
        <v>6</v>
      </c>
      <c r="AJ389" t="n">
        <v>10</v>
      </c>
      <c r="AK389" t="n">
        <v>15</v>
      </c>
      <c r="AL389" t="n">
        <v>3</v>
      </c>
      <c r="AM389" t="n">
        <v>3</v>
      </c>
      <c r="AN389" t="n">
        <v>0</v>
      </c>
      <c r="AO389" t="n">
        <v>0</v>
      </c>
      <c r="AP389" t="inlineStr">
        <is>
          <t>No</t>
        </is>
      </c>
      <c r="AQ389" t="inlineStr">
        <is>
          <t>Yes</t>
        </is>
      </c>
      <c r="AR389">
        <f>HYPERLINK("http://catalog.hathitrust.org/Record/003977173","HathiTrust Record")</f>
        <v/>
      </c>
      <c r="AS389">
        <f>HYPERLINK("https://creighton-primo.hosted.exlibrisgroup.com/primo-explore/search?tab=default_tab&amp;search_scope=EVERYTHING&amp;vid=01CRU&amp;lang=en_US&amp;offset=0&amp;query=any,contains,991002850749702656","Catalog Record")</f>
        <v/>
      </c>
      <c r="AT389">
        <f>HYPERLINK("http://www.worldcat.org/oclc/37567171","WorldCat Record")</f>
        <v/>
      </c>
      <c r="AU389" t="inlineStr">
        <is>
          <t>537668:eng</t>
        </is>
      </c>
      <c r="AV389" t="inlineStr">
        <is>
          <t>37567171</t>
        </is>
      </c>
      <c r="AW389" t="inlineStr">
        <is>
          <t>991002850749702656</t>
        </is>
      </c>
      <c r="AX389" t="inlineStr">
        <is>
          <t>991002850749702656</t>
        </is>
      </c>
      <c r="AY389" t="inlineStr">
        <is>
          <t>2270183700002656</t>
        </is>
      </c>
      <c r="AZ389" t="inlineStr">
        <is>
          <t>BOOK</t>
        </is>
      </c>
      <c r="BB389" t="inlineStr">
        <is>
          <t>9780394577500</t>
        </is>
      </c>
      <c r="BC389" t="inlineStr">
        <is>
          <t>32285003424107</t>
        </is>
      </c>
      <c r="BD389" t="inlineStr">
        <is>
          <t>893257796</t>
        </is>
      </c>
    </row>
    <row r="390">
      <c r="A390" t="inlineStr">
        <is>
          <t>No</t>
        </is>
      </c>
      <c r="B390" t="inlineStr">
        <is>
          <t>GE195 .H38 2004</t>
        </is>
      </c>
      <c r="C390" t="inlineStr">
        <is>
          <t>0                      GE 0195000H  38          2004</t>
        </is>
      </c>
      <c r="D390" t="inlineStr">
        <is>
          <t>Constructing civil society in Japan : voices of environmental movements / Koichi Hasegawa.</t>
        </is>
      </c>
      <c r="F390" t="inlineStr">
        <is>
          <t>No</t>
        </is>
      </c>
      <c r="G390" t="inlineStr">
        <is>
          <t>1</t>
        </is>
      </c>
      <c r="H390" t="inlineStr">
        <is>
          <t>No</t>
        </is>
      </c>
      <c r="I390" t="inlineStr">
        <is>
          <t>No</t>
        </is>
      </c>
      <c r="J390" t="inlineStr">
        <is>
          <t>0</t>
        </is>
      </c>
      <c r="K390" t="inlineStr">
        <is>
          <t>Hasegawa, Kōichi, 1954-</t>
        </is>
      </c>
      <c r="L390" t="inlineStr">
        <is>
          <t>Melbourne, Vic., Australia : Trans Pacific Press, c2004.</t>
        </is>
      </c>
      <c r="M390" t="inlineStr">
        <is>
          <t>2004</t>
        </is>
      </c>
      <c r="O390" t="inlineStr">
        <is>
          <t>eng</t>
        </is>
      </c>
      <c r="P390" t="inlineStr">
        <is>
          <t xml:space="preserve">at </t>
        </is>
      </c>
      <c r="Q390" t="inlineStr">
        <is>
          <t>Stratification and inequality series ; v. 3</t>
        </is>
      </c>
      <c r="R390" t="inlineStr">
        <is>
          <t xml:space="preserve">GE </t>
        </is>
      </c>
      <c r="S390" t="n">
        <v>1</v>
      </c>
      <c r="T390" t="n">
        <v>1</v>
      </c>
      <c r="U390" t="inlineStr">
        <is>
          <t>2009-04-01</t>
        </is>
      </c>
      <c r="V390" t="inlineStr">
        <is>
          <t>2009-04-01</t>
        </is>
      </c>
      <c r="W390" t="inlineStr">
        <is>
          <t>2009-04-01</t>
        </is>
      </c>
      <c r="X390" t="inlineStr">
        <is>
          <t>2009-04-01</t>
        </is>
      </c>
      <c r="Y390" t="n">
        <v>437</v>
      </c>
      <c r="Z390" t="n">
        <v>318</v>
      </c>
      <c r="AA390" t="n">
        <v>323</v>
      </c>
      <c r="AB390" t="n">
        <v>2</v>
      </c>
      <c r="AC390" t="n">
        <v>2</v>
      </c>
      <c r="AD390" t="n">
        <v>15</v>
      </c>
      <c r="AE390" t="n">
        <v>15</v>
      </c>
      <c r="AF390" t="n">
        <v>9</v>
      </c>
      <c r="AG390" t="n">
        <v>9</v>
      </c>
      <c r="AH390" t="n">
        <v>4</v>
      </c>
      <c r="AI390" t="n">
        <v>4</v>
      </c>
      <c r="AJ390" t="n">
        <v>7</v>
      </c>
      <c r="AK390" t="n">
        <v>7</v>
      </c>
      <c r="AL390" t="n">
        <v>1</v>
      </c>
      <c r="AM390" t="n">
        <v>1</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HYPERLINK("https://creighton-primo.hosted.exlibrisgroup.com/primo-explore/search?tab=default_tab&amp;search_scope=EVERYTHING&amp;vid=01CRU&amp;lang=en_US&amp;offset=0&amp;query=any,contains,991005307109702656","Catalog Record")</f>
        <v/>
      </c>
      <c r="AT390">
        <f>HYPERLINK("http://www.worldcat.org/oclc/56451138","WorldCat Record")</f>
        <v/>
      </c>
      <c r="AU390" t="inlineStr">
        <is>
          <t>955742:eng</t>
        </is>
      </c>
      <c r="AV390" t="inlineStr">
        <is>
          <t>56451138</t>
        </is>
      </c>
      <c r="AW390" t="inlineStr">
        <is>
          <t>991005307109702656</t>
        </is>
      </c>
      <c r="AX390" t="inlineStr">
        <is>
          <t>991005307109702656</t>
        </is>
      </c>
      <c r="AY390" t="inlineStr">
        <is>
          <t>2268063860002656</t>
        </is>
      </c>
      <c r="AZ390" t="inlineStr">
        <is>
          <t>BOOK</t>
        </is>
      </c>
      <c r="BB390" t="inlineStr">
        <is>
          <t>9781876843670</t>
        </is>
      </c>
      <c r="BC390" t="inlineStr">
        <is>
          <t>32285005512735</t>
        </is>
      </c>
      <c r="BD390" t="inlineStr">
        <is>
          <t>893808171</t>
        </is>
      </c>
    </row>
    <row r="391">
      <c r="A391" t="inlineStr">
        <is>
          <t>No</t>
        </is>
      </c>
      <c r="B391" t="inlineStr">
        <is>
          <t>GE195.7 .K75 2005</t>
        </is>
      </c>
      <c r="C391" t="inlineStr">
        <is>
          <t>0                      GE 0195700K  75          2005</t>
        </is>
      </c>
      <c r="D391" t="inlineStr">
        <is>
          <t>Environmental cognizance : towards the year 2020 / John C. Krieg.</t>
        </is>
      </c>
      <c r="F391" t="inlineStr">
        <is>
          <t>No</t>
        </is>
      </c>
      <c r="G391" t="inlineStr">
        <is>
          <t>1</t>
        </is>
      </c>
      <c r="H391" t="inlineStr">
        <is>
          <t>No</t>
        </is>
      </c>
      <c r="I391" t="inlineStr">
        <is>
          <t>No</t>
        </is>
      </c>
      <c r="J391" t="inlineStr">
        <is>
          <t>0</t>
        </is>
      </c>
      <c r="K391" t="inlineStr">
        <is>
          <t>Krieg, John C., 1951-</t>
        </is>
      </c>
      <c r="L391" t="inlineStr">
        <is>
          <t>Raleigh, NC : Ivy House Pub. Group, c2005.</t>
        </is>
      </c>
      <c r="M391" t="inlineStr">
        <is>
          <t>2005</t>
        </is>
      </c>
      <c r="O391" t="inlineStr">
        <is>
          <t>eng</t>
        </is>
      </c>
      <c r="P391" t="inlineStr">
        <is>
          <t>ncu</t>
        </is>
      </c>
      <c r="R391" t="inlineStr">
        <is>
          <t xml:space="preserve">GE </t>
        </is>
      </c>
      <c r="S391" t="n">
        <v>1</v>
      </c>
      <c r="T391" t="n">
        <v>1</v>
      </c>
      <c r="U391" t="inlineStr">
        <is>
          <t>2006-05-31</t>
        </is>
      </c>
      <c r="V391" t="inlineStr">
        <is>
          <t>2006-05-31</t>
        </is>
      </c>
      <c r="W391" t="inlineStr">
        <is>
          <t>2006-05-31</t>
        </is>
      </c>
      <c r="X391" t="inlineStr">
        <is>
          <t>2006-05-31</t>
        </is>
      </c>
      <c r="Y391" t="n">
        <v>13</v>
      </c>
      <c r="Z391" t="n">
        <v>10</v>
      </c>
      <c r="AA391" t="n">
        <v>10</v>
      </c>
      <c r="AB391" t="n">
        <v>1</v>
      </c>
      <c r="AC391" t="n">
        <v>1</v>
      </c>
      <c r="AD391" t="n">
        <v>0</v>
      </c>
      <c r="AE391" t="n">
        <v>0</v>
      </c>
      <c r="AF391" t="n">
        <v>0</v>
      </c>
      <c r="AG391" t="n">
        <v>0</v>
      </c>
      <c r="AH391" t="n">
        <v>0</v>
      </c>
      <c r="AI391" t="n">
        <v>0</v>
      </c>
      <c r="AJ391" t="n">
        <v>0</v>
      </c>
      <c r="AK391" t="n">
        <v>0</v>
      </c>
      <c r="AL391" t="n">
        <v>0</v>
      </c>
      <c r="AM391" t="n">
        <v>0</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HYPERLINK("https://creighton-primo.hosted.exlibrisgroup.com/primo-explore/search?tab=default_tab&amp;search_scope=EVERYTHING&amp;vid=01CRU&amp;lang=en_US&amp;offset=0&amp;query=any,contains,991004520619702656","Catalog Record")</f>
        <v/>
      </c>
      <c r="AT391">
        <f>HYPERLINK("http://www.worldcat.org/oclc/68127100","WorldCat Record")</f>
        <v/>
      </c>
      <c r="AU391" t="inlineStr">
        <is>
          <t>51515532:eng</t>
        </is>
      </c>
      <c r="AV391" t="inlineStr">
        <is>
          <t>68127100</t>
        </is>
      </c>
      <c r="AW391" t="inlineStr">
        <is>
          <t>991004520619702656</t>
        </is>
      </c>
      <c r="AX391" t="inlineStr">
        <is>
          <t>991004520619702656</t>
        </is>
      </c>
      <c r="AY391" t="inlineStr">
        <is>
          <t>2264548570002656</t>
        </is>
      </c>
      <c r="AZ391" t="inlineStr">
        <is>
          <t>BOOK</t>
        </is>
      </c>
      <c r="BB391" t="inlineStr">
        <is>
          <t>9781571974365</t>
        </is>
      </c>
      <c r="BC391" t="inlineStr">
        <is>
          <t>32285005096879</t>
        </is>
      </c>
      <c r="BD391" t="inlineStr">
        <is>
          <t>893882559</t>
        </is>
      </c>
    </row>
    <row r="392">
      <c r="A392" t="inlineStr">
        <is>
          <t>No</t>
        </is>
      </c>
      <c r="B392" t="inlineStr">
        <is>
          <t>GE199.E85 D35 1994</t>
        </is>
      </c>
      <c r="C392" t="inlineStr">
        <is>
          <t>0                      GE 0199000E  85                 D  35          1994</t>
        </is>
      </c>
      <c r="D392" t="inlineStr">
        <is>
          <t>The Green rainbow : environmental groups in Western Europe / Russell J. Dalton.</t>
        </is>
      </c>
      <c r="F392" t="inlineStr">
        <is>
          <t>No</t>
        </is>
      </c>
      <c r="G392" t="inlineStr">
        <is>
          <t>1</t>
        </is>
      </c>
      <c r="H392" t="inlineStr">
        <is>
          <t>No</t>
        </is>
      </c>
      <c r="I392" t="inlineStr">
        <is>
          <t>No</t>
        </is>
      </c>
      <c r="J392" t="inlineStr">
        <is>
          <t>0</t>
        </is>
      </c>
      <c r="K392" t="inlineStr">
        <is>
          <t>Dalton, Russell J.</t>
        </is>
      </c>
      <c r="L392" t="inlineStr">
        <is>
          <t>New Haven : Yale University Press, c1994.</t>
        </is>
      </c>
      <c r="M392" t="inlineStr">
        <is>
          <t>1994</t>
        </is>
      </c>
      <c r="O392" t="inlineStr">
        <is>
          <t>eng</t>
        </is>
      </c>
      <c r="P392" t="inlineStr">
        <is>
          <t>ctu</t>
        </is>
      </c>
      <c r="R392" t="inlineStr">
        <is>
          <t xml:space="preserve">GE </t>
        </is>
      </c>
      <c r="S392" t="n">
        <v>6</v>
      </c>
      <c r="T392" t="n">
        <v>6</v>
      </c>
      <c r="U392" t="inlineStr">
        <is>
          <t>2006-03-30</t>
        </is>
      </c>
      <c r="V392" t="inlineStr">
        <is>
          <t>2006-03-30</t>
        </is>
      </c>
      <c r="W392" t="inlineStr">
        <is>
          <t>1995-02-21</t>
        </is>
      </c>
      <c r="X392" t="inlineStr">
        <is>
          <t>1995-02-21</t>
        </is>
      </c>
      <c r="Y392" t="n">
        <v>498</v>
      </c>
      <c r="Z392" t="n">
        <v>373</v>
      </c>
      <c r="AA392" t="n">
        <v>373</v>
      </c>
      <c r="AB392" t="n">
        <v>4</v>
      </c>
      <c r="AC392" t="n">
        <v>4</v>
      </c>
      <c r="AD392" t="n">
        <v>22</v>
      </c>
      <c r="AE392" t="n">
        <v>22</v>
      </c>
      <c r="AF392" t="n">
        <v>4</v>
      </c>
      <c r="AG392" t="n">
        <v>4</v>
      </c>
      <c r="AH392" t="n">
        <v>5</v>
      </c>
      <c r="AI392" t="n">
        <v>5</v>
      </c>
      <c r="AJ392" t="n">
        <v>10</v>
      </c>
      <c r="AK392" t="n">
        <v>10</v>
      </c>
      <c r="AL392" t="n">
        <v>3</v>
      </c>
      <c r="AM392" t="n">
        <v>3</v>
      </c>
      <c r="AN392" t="n">
        <v>5</v>
      </c>
      <c r="AO392" t="n">
        <v>5</v>
      </c>
      <c r="AP392" t="inlineStr">
        <is>
          <t>No</t>
        </is>
      </c>
      <c r="AQ392" t="inlineStr">
        <is>
          <t>No</t>
        </is>
      </c>
      <c r="AS392">
        <f>HYPERLINK("https://creighton-primo.hosted.exlibrisgroup.com/primo-explore/search?tab=default_tab&amp;search_scope=EVERYTHING&amp;vid=01CRU&amp;lang=en_US&amp;offset=0&amp;query=any,contains,991002311679702656","Catalog Record")</f>
        <v/>
      </c>
      <c r="AT392">
        <f>HYPERLINK("http://www.worldcat.org/oclc/30026011","WorldCat Record")</f>
        <v/>
      </c>
      <c r="AU392" t="inlineStr">
        <is>
          <t>889959151:eng</t>
        </is>
      </c>
      <c r="AV392" t="inlineStr">
        <is>
          <t>30026011</t>
        </is>
      </c>
      <c r="AW392" t="inlineStr">
        <is>
          <t>991002311679702656</t>
        </is>
      </c>
      <c r="AX392" t="inlineStr">
        <is>
          <t>991002311679702656</t>
        </is>
      </c>
      <c r="AY392" t="inlineStr">
        <is>
          <t>2262095730002656</t>
        </is>
      </c>
      <c r="AZ392" t="inlineStr">
        <is>
          <t>BOOK</t>
        </is>
      </c>
      <c r="BB392" t="inlineStr">
        <is>
          <t>9780300059625</t>
        </is>
      </c>
      <c r="BC392" t="inlineStr">
        <is>
          <t>32285001999696</t>
        </is>
      </c>
      <c r="BD392" t="inlineStr">
        <is>
          <t>893226696</t>
        </is>
      </c>
    </row>
    <row r="393">
      <c r="A393" t="inlineStr">
        <is>
          <t>No</t>
        </is>
      </c>
      <c r="B393" t="inlineStr">
        <is>
          <t>GE199.G8 G74 1997</t>
        </is>
      </c>
      <c r="C393" t="inlineStr">
        <is>
          <t>0                      GE 0199000G  8                  G  74          1997</t>
        </is>
      </c>
      <c r="D393" t="inlineStr">
        <is>
          <t>The Greeks and the environment / edited by Laura Westra, Thomas M. Robinson.</t>
        </is>
      </c>
      <c r="F393" t="inlineStr">
        <is>
          <t>No</t>
        </is>
      </c>
      <c r="G393" t="inlineStr">
        <is>
          <t>1</t>
        </is>
      </c>
      <c r="H393" t="inlineStr">
        <is>
          <t>No</t>
        </is>
      </c>
      <c r="I393" t="inlineStr">
        <is>
          <t>No</t>
        </is>
      </c>
      <c r="J393" t="inlineStr">
        <is>
          <t>0</t>
        </is>
      </c>
      <c r="L393" t="inlineStr">
        <is>
          <t>Lanham, Md. : Rowman &amp; Littlefield Publishers, c1997.</t>
        </is>
      </c>
      <c r="M393" t="inlineStr">
        <is>
          <t>1997</t>
        </is>
      </c>
      <c r="O393" t="inlineStr">
        <is>
          <t>eng</t>
        </is>
      </c>
      <c r="P393" t="inlineStr">
        <is>
          <t>mdu</t>
        </is>
      </c>
      <c r="R393" t="inlineStr">
        <is>
          <t xml:space="preserve">GE </t>
        </is>
      </c>
      <c r="S393" t="n">
        <v>2</v>
      </c>
      <c r="T393" t="n">
        <v>2</v>
      </c>
      <c r="U393" t="inlineStr">
        <is>
          <t>1997-11-05</t>
        </is>
      </c>
      <c r="V393" t="inlineStr">
        <is>
          <t>1997-11-05</t>
        </is>
      </c>
      <c r="W393" t="inlineStr">
        <is>
          <t>1997-10-01</t>
        </is>
      </c>
      <c r="X393" t="inlineStr">
        <is>
          <t>1997-10-01</t>
        </is>
      </c>
      <c r="Y393" t="n">
        <v>296</v>
      </c>
      <c r="Z393" t="n">
        <v>224</v>
      </c>
      <c r="AA393" t="n">
        <v>226</v>
      </c>
      <c r="AB393" t="n">
        <v>2</v>
      </c>
      <c r="AC393" t="n">
        <v>2</v>
      </c>
      <c r="AD393" t="n">
        <v>16</v>
      </c>
      <c r="AE393" t="n">
        <v>16</v>
      </c>
      <c r="AF393" t="n">
        <v>5</v>
      </c>
      <c r="AG393" t="n">
        <v>5</v>
      </c>
      <c r="AH393" t="n">
        <v>3</v>
      </c>
      <c r="AI393" t="n">
        <v>3</v>
      </c>
      <c r="AJ393" t="n">
        <v>12</v>
      </c>
      <c r="AK393" t="n">
        <v>12</v>
      </c>
      <c r="AL393" t="n">
        <v>1</v>
      </c>
      <c r="AM393" t="n">
        <v>1</v>
      </c>
      <c r="AN393" t="n">
        <v>0</v>
      </c>
      <c r="AO393" t="n">
        <v>0</v>
      </c>
      <c r="AP393" t="inlineStr">
        <is>
          <t>No</t>
        </is>
      </c>
      <c r="AQ393" t="inlineStr">
        <is>
          <t>Yes</t>
        </is>
      </c>
      <c r="AR393">
        <f>HYPERLINK("http://catalog.hathitrust.org/Record/003161914","HathiTrust Record")</f>
        <v/>
      </c>
      <c r="AS393">
        <f>HYPERLINK("https://creighton-primo.hosted.exlibrisgroup.com/primo-explore/search?tab=default_tab&amp;search_scope=EVERYTHING&amp;vid=01CRU&amp;lang=en_US&amp;offset=0&amp;query=any,contains,991002739459702656","Catalog Record")</f>
        <v/>
      </c>
      <c r="AT393">
        <f>HYPERLINK("http://www.worldcat.org/oclc/35978626","WorldCat Record")</f>
        <v/>
      </c>
      <c r="AU393" t="inlineStr">
        <is>
          <t>349923287:eng</t>
        </is>
      </c>
      <c r="AV393" t="inlineStr">
        <is>
          <t>35978626</t>
        </is>
      </c>
      <c r="AW393" t="inlineStr">
        <is>
          <t>991002739459702656</t>
        </is>
      </c>
      <c r="AX393" t="inlineStr">
        <is>
          <t>991002739459702656</t>
        </is>
      </c>
      <c r="AY393" t="inlineStr">
        <is>
          <t>2270265700002656</t>
        </is>
      </c>
      <c r="AZ393" t="inlineStr">
        <is>
          <t>BOOK</t>
        </is>
      </c>
      <c r="BB393" t="inlineStr">
        <is>
          <t>9780847684458</t>
        </is>
      </c>
      <c r="BC393" t="inlineStr">
        <is>
          <t>32285003251666</t>
        </is>
      </c>
      <c r="BD393" t="inlineStr">
        <is>
          <t>893899149</t>
        </is>
      </c>
    </row>
    <row r="394">
      <c r="A394" t="inlineStr">
        <is>
          <t>No</t>
        </is>
      </c>
      <c r="B394" t="inlineStr">
        <is>
          <t>GE199.H8 P5 1998</t>
        </is>
      </c>
      <c r="C394" t="inlineStr">
        <is>
          <t>0                      GE 0199000H  8                  P  5           1998</t>
        </is>
      </c>
      <c r="D394" t="inlineStr">
        <is>
          <t>Democracy and environmental movements in Eastern Europe : a comparative study of Hungary and Russia / Katy Pickvance.</t>
        </is>
      </c>
      <c r="F394" t="inlineStr">
        <is>
          <t>No</t>
        </is>
      </c>
      <c r="G394" t="inlineStr">
        <is>
          <t>1</t>
        </is>
      </c>
      <c r="H394" t="inlineStr">
        <is>
          <t>No</t>
        </is>
      </c>
      <c r="I394" t="inlineStr">
        <is>
          <t>No</t>
        </is>
      </c>
      <c r="J394" t="inlineStr">
        <is>
          <t>0</t>
        </is>
      </c>
      <c r="K394" t="inlineStr">
        <is>
          <t>Láng-Pickvance, Katy.</t>
        </is>
      </c>
      <c r="L394" t="inlineStr">
        <is>
          <t>Boulder, Colo. : Westview Press, 1998.</t>
        </is>
      </c>
      <c r="M394" t="inlineStr">
        <is>
          <t>1998</t>
        </is>
      </c>
      <c r="O394" t="inlineStr">
        <is>
          <t>eng</t>
        </is>
      </c>
      <c r="P394" t="inlineStr">
        <is>
          <t>cou</t>
        </is>
      </c>
      <c r="R394" t="inlineStr">
        <is>
          <t xml:space="preserve">GE </t>
        </is>
      </c>
      <c r="S394" t="n">
        <v>2</v>
      </c>
      <c r="T394" t="n">
        <v>2</v>
      </c>
      <c r="U394" t="inlineStr">
        <is>
          <t>2001-10-16</t>
        </is>
      </c>
      <c r="V394" t="inlineStr">
        <is>
          <t>2001-10-16</t>
        </is>
      </c>
      <c r="W394" t="inlineStr">
        <is>
          <t>2001-10-16</t>
        </is>
      </c>
      <c r="X394" t="inlineStr">
        <is>
          <t>2001-10-16</t>
        </is>
      </c>
      <c r="Y394" t="n">
        <v>249</v>
      </c>
      <c r="Z394" t="n">
        <v>202</v>
      </c>
      <c r="AA394" t="n">
        <v>222</v>
      </c>
      <c r="AB394" t="n">
        <v>3</v>
      </c>
      <c r="AC394" t="n">
        <v>3</v>
      </c>
      <c r="AD394" t="n">
        <v>11</v>
      </c>
      <c r="AE394" t="n">
        <v>11</v>
      </c>
      <c r="AF394" t="n">
        <v>1</v>
      </c>
      <c r="AG394" t="n">
        <v>1</v>
      </c>
      <c r="AH394" t="n">
        <v>4</v>
      </c>
      <c r="AI394" t="n">
        <v>4</v>
      </c>
      <c r="AJ394" t="n">
        <v>7</v>
      </c>
      <c r="AK394" t="n">
        <v>7</v>
      </c>
      <c r="AL394" t="n">
        <v>2</v>
      </c>
      <c r="AM394" t="n">
        <v>2</v>
      </c>
      <c r="AN394" t="n">
        <v>0</v>
      </c>
      <c r="AO394" t="n">
        <v>0</v>
      </c>
      <c r="AP394" t="inlineStr">
        <is>
          <t>No</t>
        </is>
      </c>
      <c r="AQ394" t="inlineStr">
        <is>
          <t>Yes</t>
        </is>
      </c>
      <c r="AR394">
        <f>HYPERLINK("http://catalog.hathitrust.org/Record/003985678","HathiTrust Record")</f>
        <v/>
      </c>
      <c r="AS394">
        <f>HYPERLINK("https://creighton-primo.hosted.exlibrisgroup.com/primo-explore/search?tab=default_tab&amp;search_scope=EVERYTHING&amp;vid=01CRU&amp;lang=en_US&amp;offset=0&amp;query=any,contains,991003624869702656","Catalog Record")</f>
        <v/>
      </c>
      <c r="AT394">
        <f>HYPERLINK("http://www.worldcat.org/oclc/39964476","WorldCat Record")</f>
        <v/>
      </c>
      <c r="AU394" t="inlineStr">
        <is>
          <t>475151604:eng</t>
        </is>
      </c>
      <c r="AV394" t="inlineStr">
        <is>
          <t>39964476</t>
        </is>
      </c>
      <c r="AW394" t="inlineStr">
        <is>
          <t>991003624869702656</t>
        </is>
      </c>
      <c r="AX394" t="inlineStr">
        <is>
          <t>991003624869702656</t>
        </is>
      </c>
      <c r="AY394" t="inlineStr">
        <is>
          <t>2272284490002656</t>
        </is>
      </c>
      <c r="AZ394" t="inlineStr">
        <is>
          <t>BOOK</t>
        </is>
      </c>
      <c r="BB394" t="inlineStr">
        <is>
          <t>9780813335186</t>
        </is>
      </c>
      <c r="BC394" t="inlineStr">
        <is>
          <t>32285004397179</t>
        </is>
      </c>
      <c r="BD394" t="inlineStr">
        <is>
          <t>893318189</t>
        </is>
      </c>
    </row>
    <row r="395">
      <c r="A395" t="inlineStr">
        <is>
          <t>No</t>
        </is>
      </c>
      <c r="B395" t="inlineStr">
        <is>
          <t>GE235.L8 L47 2005</t>
        </is>
      </c>
      <c r="C395" t="inlineStr">
        <is>
          <t>0                      GE 0235000L  8                  L  47          2005</t>
        </is>
      </c>
      <c r="D395" t="inlineStr">
        <is>
          <t>Diamond : a struggle for environmental justice in Louisiana's chemical corridor / Steve Lerner.</t>
        </is>
      </c>
      <c r="F395" t="inlineStr">
        <is>
          <t>No</t>
        </is>
      </c>
      <c r="G395" t="inlineStr">
        <is>
          <t>1</t>
        </is>
      </c>
      <c r="H395" t="inlineStr">
        <is>
          <t>No</t>
        </is>
      </c>
      <c r="I395" t="inlineStr">
        <is>
          <t>No</t>
        </is>
      </c>
      <c r="J395" t="inlineStr">
        <is>
          <t>0</t>
        </is>
      </c>
      <c r="K395" t="inlineStr">
        <is>
          <t>Lerner, Steve.</t>
        </is>
      </c>
      <c r="L395" t="inlineStr">
        <is>
          <t>Cambridge, Mass. : MIT Press, c2005.</t>
        </is>
      </c>
      <c r="M395" t="inlineStr">
        <is>
          <t>2005</t>
        </is>
      </c>
      <c r="O395" t="inlineStr">
        <is>
          <t>eng</t>
        </is>
      </c>
      <c r="P395" t="inlineStr">
        <is>
          <t>mau</t>
        </is>
      </c>
      <c r="Q395" t="inlineStr">
        <is>
          <t>Urban and industrial environments</t>
        </is>
      </c>
      <c r="R395" t="inlineStr">
        <is>
          <t xml:space="preserve">GE </t>
        </is>
      </c>
      <c r="S395" t="n">
        <v>1</v>
      </c>
      <c r="T395" t="n">
        <v>1</v>
      </c>
      <c r="U395" t="inlineStr">
        <is>
          <t>2005-03-21</t>
        </is>
      </c>
      <c r="V395" t="inlineStr">
        <is>
          <t>2005-03-21</t>
        </is>
      </c>
      <c r="W395" t="inlineStr">
        <is>
          <t>2005-03-21</t>
        </is>
      </c>
      <c r="X395" t="inlineStr">
        <is>
          <t>2005-03-21</t>
        </is>
      </c>
      <c r="Y395" t="n">
        <v>548</v>
      </c>
      <c r="Z395" t="n">
        <v>497</v>
      </c>
      <c r="AA395" t="n">
        <v>510</v>
      </c>
      <c r="AB395" t="n">
        <v>4</v>
      </c>
      <c r="AC395" t="n">
        <v>4</v>
      </c>
      <c r="AD395" t="n">
        <v>23</v>
      </c>
      <c r="AE395" t="n">
        <v>23</v>
      </c>
      <c r="AF395" t="n">
        <v>6</v>
      </c>
      <c r="AG395" t="n">
        <v>6</v>
      </c>
      <c r="AH395" t="n">
        <v>7</v>
      </c>
      <c r="AI395" t="n">
        <v>7</v>
      </c>
      <c r="AJ395" t="n">
        <v>9</v>
      </c>
      <c r="AK395" t="n">
        <v>9</v>
      </c>
      <c r="AL395" t="n">
        <v>3</v>
      </c>
      <c r="AM395" t="n">
        <v>3</v>
      </c>
      <c r="AN395" t="n">
        <v>2</v>
      </c>
      <c r="AO395" t="n">
        <v>2</v>
      </c>
      <c r="AP395" t="inlineStr">
        <is>
          <t>No</t>
        </is>
      </c>
      <c r="AQ395" t="inlineStr">
        <is>
          <t>No</t>
        </is>
      </c>
      <c r="AS395">
        <f>HYPERLINK("https://creighton-primo.hosted.exlibrisgroup.com/primo-explore/search?tab=default_tab&amp;search_scope=EVERYTHING&amp;vid=01CRU&amp;lang=en_US&amp;offset=0&amp;query=any,contains,991004476709702656","Catalog Record")</f>
        <v/>
      </c>
      <c r="AT395">
        <f>HYPERLINK("http://www.worldcat.org/oclc/55220006","WorldCat Record")</f>
        <v/>
      </c>
      <c r="AU395" t="inlineStr">
        <is>
          <t>199111315:eng</t>
        </is>
      </c>
      <c r="AV395" t="inlineStr">
        <is>
          <t>55220006</t>
        </is>
      </c>
      <c r="AW395" t="inlineStr">
        <is>
          <t>991004476709702656</t>
        </is>
      </c>
      <c r="AX395" t="inlineStr">
        <is>
          <t>991004476709702656</t>
        </is>
      </c>
      <c r="AY395" t="inlineStr">
        <is>
          <t>2255377330002656</t>
        </is>
      </c>
      <c r="AZ395" t="inlineStr">
        <is>
          <t>BOOK</t>
        </is>
      </c>
      <c r="BB395" t="inlineStr">
        <is>
          <t>9780262122733</t>
        </is>
      </c>
      <c r="BC395" t="inlineStr">
        <is>
          <t>32285005043939</t>
        </is>
      </c>
      <c r="BD395" t="inlineStr">
        <is>
          <t>893506894</t>
        </is>
      </c>
    </row>
    <row r="396">
      <c r="A396" t="inlineStr">
        <is>
          <t>No</t>
        </is>
      </c>
      <c r="B396" t="inlineStr">
        <is>
          <t>GE30 .E57 1994</t>
        </is>
      </c>
      <c r="C396" t="inlineStr">
        <is>
          <t>0                      GE 0030000E  57          1994</t>
        </is>
      </c>
      <c r="D396" t="inlineStr">
        <is>
          <t>Environmental information management and analysis : ecosystem to global scales / edited by William K. Michener, James W. Brunt, and Susan G. Stafford.</t>
        </is>
      </c>
      <c r="F396" t="inlineStr">
        <is>
          <t>No</t>
        </is>
      </c>
      <c r="G396" t="inlineStr">
        <is>
          <t>1</t>
        </is>
      </c>
      <c r="H396" t="inlineStr">
        <is>
          <t>No</t>
        </is>
      </c>
      <c r="I396" t="inlineStr">
        <is>
          <t>No</t>
        </is>
      </c>
      <c r="J396" t="inlineStr">
        <is>
          <t>0</t>
        </is>
      </c>
      <c r="L396" t="inlineStr">
        <is>
          <t>London ; Bristol, PA : Taylor &amp; Francis, c1994.</t>
        </is>
      </c>
      <c r="M396" t="inlineStr">
        <is>
          <t>1994</t>
        </is>
      </c>
      <c r="O396" t="inlineStr">
        <is>
          <t>eng</t>
        </is>
      </c>
      <c r="P396" t="inlineStr">
        <is>
          <t>enk</t>
        </is>
      </c>
      <c r="R396" t="inlineStr">
        <is>
          <t xml:space="preserve">GE </t>
        </is>
      </c>
      <c r="S396" t="n">
        <v>2</v>
      </c>
      <c r="T396" t="n">
        <v>2</v>
      </c>
      <c r="U396" t="inlineStr">
        <is>
          <t>2007-07-16</t>
        </is>
      </c>
      <c r="V396" t="inlineStr">
        <is>
          <t>2007-07-16</t>
        </is>
      </c>
      <c r="W396" t="inlineStr">
        <is>
          <t>1997-07-30</t>
        </is>
      </c>
      <c r="X396" t="inlineStr">
        <is>
          <t>1997-07-30</t>
        </is>
      </c>
      <c r="Y396" t="n">
        <v>347</v>
      </c>
      <c r="Z396" t="n">
        <v>206</v>
      </c>
      <c r="AA396" t="n">
        <v>226</v>
      </c>
      <c r="AB396" t="n">
        <v>3</v>
      </c>
      <c r="AC396" t="n">
        <v>3</v>
      </c>
      <c r="AD396" t="n">
        <v>5</v>
      </c>
      <c r="AE396" t="n">
        <v>5</v>
      </c>
      <c r="AF396" t="n">
        <v>1</v>
      </c>
      <c r="AG396" t="n">
        <v>1</v>
      </c>
      <c r="AH396" t="n">
        <v>2</v>
      </c>
      <c r="AI396" t="n">
        <v>2</v>
      </c>
      <c r="AJ396" t="n">
        <v>2</v>
      </c>
      <c r="AK396" t="n">
        <v>2</v>
      </c>
      <c r="AL396" t="n">
        <v>2</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HYPERLINK("https://creighton-primo.hosted.exlibrisgroup.com/primo-explore/search?tab=default_tab&amp;search_scope=EVERYTHING&amp;vid=01CRU&amp;lang=en_US&amp;offset=0&amp;query=any,contains,991002292489702656","Catalog Record")</f>
        <v/>
      </c>
      <c r="AT396">
        <f>HYPERLINK("http://www.worldcat.org/oclc/29703875","WorldCat Record")</f>
        <v/>
      </c>
      <c r="AU396" t="inlineStr">
        <is>
          <t>807839778:eng</t>
        </is>
      </c>
      <c r="AV396" t="inlineStr">
        <is>
          <t>29703875</t>
        </is>
      </c>
      <c r="AW396" t="inlineStr">
        <is>
          <t>991002292489702656</t>
        </is>
      </c>
      <c r="AX396" t="inlineStr">
        <is>
          <t>991002292489702656</t>
        </is>
      </c>
      <c r="AY396" t="inlineStr">
        <is>
          <t>2259669770002656</t>
        </is>
      </c>
      <c r="AZ396" t="inlineStr">
        <is>
          <t>BOOK</t>
        </is>
      </c>
      <c r="BB396" t="inlineStr">
        <is>
          <t>9780748401239</t>
        </is>
      </c>
      <c r="BC396" t="inlineStr">
        <is>
          <t>32285002884517</t>
        </is>
      </c>
      <c r="BD396" t="inlineStr">
        <is>
          <t>893244999</t>
        </is>
      </c>
    </row>
    <row r="397">
      <c r="A397" t="inlineStr">
        <is>
          <t>No</t>
        </is>
      </c>
      <c r="B397" t="inlineStr">
        <is>
          <t>GE300 .B375 1999</t>
        </is>
      </c>
      <c r="C397" t="inlineStr">
        <is>
          <t>0                      GE 0300000B  375         1999</t>
        </is>
      </c>
      <c r="D397" t="inlineStr">
        <is>
          <t>Environmental management : principles and practice / C.J. Barrow.</t>
        </is>
      </c>
      <c r="F397" t="inlineStr">
        <is>
          <t>No</t>
        </is>
      </c>
      <c r="G397" t="inlineStr">
        <is>
          <t>1</t>
        </is>
      </c>
      <c r="H397" t="inlineStr">
        <is>
          <t>No</t>
        </is>
      </c>
      <c r="I397" t="inlineStr">
        <is>
          <t>No</t>
        </is>
      </c>
      <c r="J397" t="inlineStr">
        <is>
          <t>0</t>
        </is>
      </c>
      <c r="K397" t="inlineStr">
        <is>
          <t>Barrow, Christopher J.</t>
        </is>
      </c>
      <c r="L397" t="inlineStr">
        <is>
          <t>London ; New York : Routledge, 1999.</t>
        </is>
      </c>
      <c r="M397" t="inlineStr">
        <is>
          <t>1999</t>
        </is>
      </c>
      <c r="O397" t="inlineStr">
        <is>
          <t>eng</t>
        </is>
      </c>
      <c r="P397" t="inlineStr">
        <is>
          <t>enk</t>
        </is>
      </c>
      <c r="Q397" t="inlineStr">
        <is>
          <t>Routledge environmental management series</t>
        </is>
      </c>
      <c r="R397" t="inlineStr">
        <is>
          <t xml:space="preserve">GE </t>
        </is>
      </c>
      <c r="S397" t="n">
        <v>1</v>
      </c>
      <c r="T397" t="n">
        <v>1</v>
      </c>
      <c r="U397" t="inlineStr">
        <is>
          <t>2003-01-20</t>
        </is>
      </c>
      <c r="V397" t="inlineStr">
        <is>
          <t>2003-01-20</t>
        </is>
      </c>
      <c r="W397" t="inlineStr">
        <is>
          <t>1999-09-14</t>
        </is>
      </c>
      <c r="X397" t="inlineStr">
        <is>
          <t>1999-09-14</t>
        </is>
      </c>
      <c r="Y397" t="n">
        <v>533</v>
      </c>
      <c r="Z397" t="n">
        <v>325</v>
      </c>
      <c r="AA397" t="n">
        <v>1133</v>
      </c>
      <c r="AB397" t="n">
        <v>1</v>
      </c>
      <c r="AC397" t="n">
        <v>27</v>
      </c>
      <c r="AD397" t="n">
        <v>10</v>
      </c>
      <c r="AE397" t="n">
        <v>34</v>
      </c>
      <c r="AF397" t="n">
        <v>5</v>
      </c>
      <c r="AG397" t="n">
        <v>12</v>
      </c>
      <c r="AH397" t="n">
        <v>4</v>
      </c>
      <c r="AI397" t="n">
        <v>5</v>
      </c>
      <c r="AJ397" t="n">
        <v>3</v>
      </c>
      <c r="AK397" t="n">
        <v>10</v>
      </c>
      <c r="AL397" t="n">
        <v>0</v>
      </c>
      <c r="AM397" t="n">
        <v>12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HYPERLINK("https://creighton-primo.hosted.exlibrisgroup.com/primo-explore/search?tab=default_tab&amp;search_scope=EVERYTHING&amp;vid=01CRU&amp;lang=en_US&amp;offset=0&amp;query=any,contains,991003003479702656","Catalog Record")</f>
        <v/>
      </c>
      <c r="AT397">
        <f>HYPERLINK("http://www.worldcat.org/oclc/40693907","WorldCat Record")</f>
        <v/>
      </c>
      <c r="AU397" t="inlineStr">
        <is>
          <t>2261004702:eng</t>
        </is>
      </c>
      <c r="AV397" t="inlineStr">
        <is>
          <t>40693907</t>
        </is>
      </c>
      <c r="AW397" t="inlineStr">
        <is>
          <t>991003003479702656</t>
        </is>
      </c>
      <c r="AX397" t="inlineStr">
        <is>
          <t>991003003479702656</t>
        </is>
      </c>
      <c r="AY397" t="inlineStr">
        <is>
          <t>2266454000002656</t>
        </is>
      </c>
      <c r="AZ397" t="inlineStr">
        <is>
          <t>BOOK</t>
        </is>
      </c>
      <c r="BB397" t="inlineStr">
        <is>
          <t>9780415185608</t>
        </is>
      </c>
      <c r="BC397" t="inlineStr">
        <is>
          <t>32285003588802</t>
        </is>
      </c>
      <c r="BD397" t="inlineStr">
        <is>
          <t>893530755</t>
        </is>
      </c>
    </row>
    <row r="398">
      <c r="A398" t="inlineStr">
        <is>
          <t>No</t>
        </is>
      </c>
      <c r="B398" t="inlineStr">
        <is>
          <t>GE300 .B756 2002</t>
        </is>
      </c>
      <c r="C398" t="inlineStr">
        <is>
          <t>0                      GE 0300000B  756         2002</t>
        </is>
      </c>
      <c r="D398" t="inlineStr">
        <is>
          <t>International environmental politics : the limits of green diplomacy / Lee-Anne Broadhead.</t>
        </is>
      </c>
      <c r="F398" t="inlineStr">
        <is>
          <t>No</t>
        </is>
      </c>
      <c r="G398" t="inlineStr">
        <is>
          <t>1</t>
        </is>
      </c>
      <c r="H398" t="inlineStr">
        <is>
          <t>No</t>
        </is>
      </c>
      <c r="I398" t="inlineStr">
        <is>
          <t>No</t>
        </is>
      </c>
      <c r="J398" t="inlineStr">
        <is>
          <t>0</t>
        </is>
      </c>
      <c r="K398" t="inlineStr">
        <is>
          <t>Broadhead, Lee-Anne, 1960-</t>
        </is>
      </c>
      <c r="L398" t="inlineStr">
        <is>
          <t>Boulder, Colo. : L. Rienner, 2002.</t>
        </is>
      </c>
      <c r="M398" t="inlineStr">
        <is>
          <t>2002</t>
        </is>
      </c>
      <c r="O398" t="inlineStr">
        <is>
          <t>eng</t>
        </is>
      </c>
      <c r="P398" t="inlineStr">
        <is>
          <t>cou</t>
        </is>
      </c>
      <c r="R398" t="inlineStr">
        <is>
          <t xml:space="preserve">GE </t>
        </is>
      </c>
      <c r="S398" t="n">
        <v>1</v>
      </c>
      <c r="T398" t="n">
        <v>1</v>
      </c>
      <c r="U398" t="inlineStr">
        <is>
          <t>2002-10-29</t>
        </is>
      </c>
      <c r="V398" t="inlineStr">
        <is>
          <t>2002-10-29</t>
        </is>
      </c>
      <c r="W398" t="inlineStr">
        <is>
          <t>2002-10-29</t>
        </is>
      </c>
      <c r="X398" t="inlineStr">
        <is>
          <t>2002-10-29</t>
        </is>
      </c>
      <c r="Y398" t="n">
        <v>404</v>
      </c>
      <c r="Z398" t="n">
        <v>299</v>
      </c>
      <c r="AA398" t="n">
        <v>300</v>
      </c>
      <c r="AB398" t="n">
        <v>5</v>
      </c>
      <c r="AC398" t="n">
        <v>5</v>
      </c>
      <c r="AD398" t="n">
        <v>19</v>
      </c>
      <c r="AE398" t="n">
        <v>19</v>
      </c>
      <c r="AF398" t="n">
        <v>7</v>
      </c>
      <c r="AG398" t="n">
        <v>7</v>
      </c>
      <c r="AH398" t="n">
        <v>4</v>
      </c>
      <c r="AI398" t="n">
        <v>4</v>
      </c>
      <c r="AJ398" t="n">
        <v>9</v>
      </c>
      <c r="AK398" t="n">
        <v>9</v>
      </c>
      <c r="AL398" t="n">
        <v>4</v>
      </c>
      <c r="AM398" t="n">
        <v>4</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HYPERLINK("https://creighton-primo.hosted.exlibrisgroup.com/primo-explore/search?tab=default_tab&amp;search_scope=EVERYTHING&amp;vid=01CRU&amp;lang=en_US&amp;offset=0&amp;query=any,contains,991003878579702656","Catalog Record")</f>
        <v/>
      </c>
      <c r="AT398">
        <f>HYPERLINK("http://www.worldcat.org/oclc/48942250","WorldCat Record")</f>
        <v/>
      </c>
      <c r="AU398" t="inlineStr">
        <is>
          <t>838320027:eng</t>
        </is>
      </c>
      <c r="AV398" t="inlineStr">
        <is>
          <t>48942250</t>
        </is>
      </c>
      <c r="AW398" t="inlineStr">
        <is>
          <t>991003878579702656</t>
        </is>
      </c>
      <c r="AX398" t="inlineStr">
        <is>
          <t>991003878579702656</t>
        </is>
      </c>
      <c r="AY398" t="inlineStr">
        <is>
          <t>2262014220002656</t>
        </is>
      </c>
      <c r="AZ398" t="inlineStr">
        <is>
          <t>BOOK</t>
        </is>
      </c>
      <c r="BB398" t="inlineStr">
        <is>
          <t>9781588260680</t>
        </is>
      </c>
      <c r="BC398" t="inlineStr">
        <is>
          <t>32285004658620</t>
        </is>
      </c>
      <c r="BD398" t="inlineStr">
        <is>
          <t>893875316</t>
        </is>
      </c>
    </row>
    <row r="399">
      <c r="A399" t="inlineStr">
        <is>
          <t>No</t>
        </is>
      </c>
      <c r="B399" t="inlineStr">
        <is>
          <t>GE300 .H47 1998</t>
        </is>
      </c>
      <c r="C399" t="inlineStr">
        <is>
          <t>0                      GE 0300000H  47          1998</t>
        </is>
      </c>
      <c r="D399" t="inlineStr">
        <is>
          <t>Ecological numeracy : quantitative analysis of environmental issues / Robert A. Herendeen.</t>
        </is>
      </c>
      <c r="F399" t="inlineStr">
        <is>
          <t>No</t>
        </is>
      </c>
      <c r="G399" t="inlineStr">
        <is>
          <t>1</t>
        </is>
      </c>
      <c r="H399" t="inlineStr">
        <is>
          <t>No</t>
        </is>
      </c>
      <c r="I399" t="inlineStr">
        <is>
          <t>No</t>
        </is>
      </c>
      <c r="J399" t="inlineStr">
        <is>
          <t>0</t>
        </is>
      </c>
      <c r="K399" t="inlineStr">
        <is>
          <t>Herendeen, R. A.</t>
        </is>
      </c>
      <c r="L399" t="inlineStr">
        <is>
          <t>New York : John Wiley, c1998.</t>
        </is>
      </c>
      <c r="M399" t="inlineStr">
        <is>
          <t>1998</t>
        </is>
      </c>
      <c r="O399" t="inlineStr">
        <is>
          <t>eng</t>
        </is>
      </c>
      <c r="P399" t="inlineStr">
        <is>
          <t>nyu</t>
        </is>
      </c>
      <c r="R399" t="inlineStr">
        <is>
          <t xml:space="preserve">GE </t>
        </is>
      </c>
      <c r="S399" t="n">
        <v>2</v>
      </c>
      <c r="T399" t="n">
        <v>2</v>
      </c>
      <c r="U399" t="inlineStr">
        <is>
          <t>1999-04-26</t>
        </is>
      </c>
      <c r="V399" t="inlineStr">
        <is>
          <t>1999-04-26</t>
        </is>
      </c>
      <c r="W399" t="inlineStr">
        <is>
          <t>1999-03-25</t>
        </is>
      </c>
      <c r="X399" t="inlineStr">
        <is>
          <t>1999-03-25</t>
        </is>
      </c>
      <c r="Y399" t="n">
        <v>264</v>
      </c>
      <c r="Z399" t="n">
        <v>171</v>
      </c>
      <c r="AA399" t="n">
        <v>173</v>
      </c>
      <c r="AB399" t="n">
        <v>2</v>
      </c>
      <c r="AC399" t="n">
        <v>2</v>
      </c>
      <c r="AD399" t="n">
        <v>7</v>
      </c>
      <c r="AE399" t="n">
        <v>7</v>
      </c>
      <c r="AF399" t="n">
        <v>4</v>
      </c>
      <c r="AG399" t="n">
        <v>4</v>
      </c>
      <c r="AH399" t="n">
        <v>2</v>
      </c>
      <c r="AI399" t="n">
        <v>2</v>
      </c>
      <c r="AJ399" t="n">
        <v>3</v>
      </c>
      <c r="AK399" t="n">
        <v>3</v>
      </c>
      <c r="AL399" t="n">
        <v>1</v>
      </c>
      <c r="AM399" t="n">
        <v>1</v>
      </c>
      <c r="AN399" t="n">
        <v>0</v>
      </c>
      <c r="AO399" t="n">
        <v>0</v>
      </c>
      <c r="AP399" t="inlineStr">
        <is>
          <t>No</t>
        </is>
      </c>
      <c r="AQ399" t="inlineStr">
        <is>
          <t>Yes</t>
        </is>
      </c>
      <c r="AR399">
        <f>HYPERLINK("http://catalog.hathitrust.org/Record/003943224","HathiTrust Record")</f>
        <v/>
      </c>
      <c r="AS399">
        <f>HYPERLINK("https://creighton-primo.hosted.exlibrisgroup.com/primo-explore/search?tab=default_tab&amp;search_scope=EVERYTHING&amp;vid=01CRU&amp;lang=en_US&amp;offset=0&amp;query=any,contains,991002850779702656","Catalog Record")</f>
        <v/>
      </c>
      <c r="AT399">
        <f>HYPERLINK("http://www.worldcat.org/oclc/37567176","WorldCat Record")</f>
        <v/>
      </c>
      <c r="AU399" t="inlineStr">
        <is>
          <t>340764591:eng</t>
        </is>
      </c>
      <c r="AV399" t="inlineStr">
        <is>
          <t>37567176</t>
        </is>
      </c>
      <c r="AW399" t="inlineStr">
        <is>
          <t>991002850779702656</t>
        </is>
      </c>
      <c r="AX399" t="inlineStr">
        <is>
          <t>991002850779702656</t>
        </is>
      </c>
      <c r="AY399" t="inlineStr">
        <is>
          <t>2270183340002656</t>
        </is>
      </c>
      <c r="AZ399" t="inlineStr">
        <is>
          <t>BOOK</t>
        </is>
      </c>
      <c r="BB399" t="inlineStr">
        <is>
          <t>9780471183099</t>
        </is>
      </c>
      <c r="BC399" t="inlineStr">
        <is>
          <t>32285003546180</t>
        </is>
      </c>
      <c r="BD399" t="inlineStr">
        <is>
          <t>893517834</t>
        </is>
      </c>
    </row>
    <row r="400">
      <c r="A400" t="inlineStr">
        <is>
          <t>No</t>
        </is>
      </c>
      <c r="B400" t="inlineStr">
        <is>
          <t>GE320.S15 P65 2001</t>
        </is>
      </c>
      <c r="C400" t="inlineStr">
        <is>
          <t>0                      GE 0320000S  15                 P  65          2001</t>
        </is>
      </c>
      <c r="D400" t="inlineStr">
        <is>
          <t>Politics, property, and production in the West African Sahel : understanding natural resources management / edited by Tor A. Benjaminsen and Christian Lund.</t>
        </is>
      </c>
      <c r="F400" t="inlineStr">
        <is>
          <t>No</t>
        </is>
      </c>
      <c r="G400" t="inlineStr">
        <is>
          <t>1</t>
        </is>
      </c>
      <c r="H400" t="inlineStr">
        <is>
          <t>No</t>
        </is>
      </c>
      <c r="I400" t="inlineStr">
        <is>
          <t>No</t>
        </is>
      </c>
      <c r="J400" t="inlineStr">
        <is>
          <t>0</t>
        </is>
      </c>
      <c r="L400" t="inlineStr">
        <is>
          <t>Uppsala : Nordiska Afrikainstitutet, c2001.</t>
        </is>
      </c>
      <c r="M400" t="inlineStr">
        <is>
          <t>2001</t>
        </is>
      </c>
      <c r="O400" t="inlineStr">
        <is>
          <t>eng</t>
        </is>
      </c>
      <c r="P400" t="inlineStr">
        <is>
          <t xml:space="preserve">sw </t>
        </is>
      </c>
      <c r="R400" t="inlineStr">
        <is>
          <t xml:space="preserve">GE </t>
        </is>
      </c>
      <c r="S400" t="n">
        <v>2</v>
      </c>
      <c r="T400" t="n">
        <v>2</v>
      </c>
      <c r="U400" t="inlineStr">
        <is>
          <t>2005-12-05</t>
        </is>
      </c>
      <c r="V400" t="inlineStr">
        <is>
          <t>2005-12-05</t>
        </is>
      </c>
      <c r="W400" t="inlineStr">
        <is>
          <t>2004-09-23</t>
        </is>
      </c>
      <c r="X400" t="inlineStr">
        <is>
          <t>2004-09-23</t>
        </is>
      </c>
      <c r="Y400" t="n">
        <v>144</v>
      </c>
      <c r="Z400" t="n">
        <v>102</v>
      </c>
      <c r="AA400" t="n">
        <v>103</v>
      </c>
      <c r="AB400" t="n">
        <v>2</v>
      </c>
      <c r="AC400" t="n">
        <v>2</v>
      </c>
      <c r="AD400" t="n">
        <v>5</v>
      </c>
      <c r="AE400" t="n">
        <v>5</v>
      </c>
      <c r="AF400" t="n">
        <v>1</v>
      </c>
      <c r="AG400" t="n">
        <v>1</v>
      </c>
      <c r="AH400" t="n">
        <v>2</v>
      </c>
      <c r="AI400" t="n">
        <v>2</v>
      </c>
      <c r="AJ400" t="n">
        <v>3</v>
      </c>
      <c r="AK400" t="n">
        <v>3</v>
      </c>
      <c r="AL400" t="n">
        <v>1</v>
      </c>
      <c r="AM400" t="n">
        <v>1</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HYPERLINK("https://creighton-primo.hosted.exlibrisgroup.com/primo-explore/search?tab=default_tab&amp;search_scope=EVERYTHING&amp;vid=01CRU&amp;lang=en_US&amp;offset=0&amp;query=any,contains,991004368209702656","Catalog Record")</f>
        <v/>
      </c>
      <c r="AT400">
        <f>HYPERLINK("http://www.worldcat.org/oclc/48025739","WorldCat Record")</f>
        <v/>
      </c>
      <c r="AU400" t="inlineStr">
        <is>
          <t>843205046:eng</t>
        </is>
      </c>
      <c r="AV400" t="inlineStr">
        <is>
          <t>48025739</t>
        </is>
      </c>
      <c r="AW400" t="inlineStr">
        <is>
          <t>991004368209702656</t>
        </is>
      </c>
      <c r="AX400" t="inlineStr">
        <is>
          <t>991004368209702656</t>
        </is>
      </c>
      <c r="AY400" t="inlineStr">
        <is>
          <t>2256973100002656</t>
        </is>
      </c>
      <c r="AZ400" t="inlineStr">
        <is>
          <t>BOOK</t>
        </is>
      </c>
      <c r="BB400" t="inlineStr">
        <is>
          <t>9789171064769</t>
        </is>
      </c>
      <c r="BC400" t="inlineStr">
        <is>
          <t>32285004988613</t>
        </is>
      </c>
      <c r="BD400" t="inlineStr">
        <is>
          <t>893628123</t>
        </is>
      </c>
    </row>
    <row r="401">
      <c r="A401" t="inlineStr">
        <is>
          <t>No</t>
        </is>
      </c>
      <c r="B401" t="inlineStr">
        <is>
          <t>GE40 .E58 1995</t>
        </is>
      </c>
      <c r="C401" t="inlineStr">
        <is>
          <t>0                      GE 0040000E  58          1995</t>
        </is>
      </c>
      <c r="D401" t="inlineStr">
        <is>
          <t>Environmental philosophy and environmental activism / edited by Don E. Marietta, Jr. and Lester Embree.</t>
        </is>
      </c>
      <c r="F401" t="inlineStr">
        <is>
          <t>No</t>
        </is>
      </c>
      <c r="G401" t="inlineStr">
        <is>
          <t>1</t>
        </is>
      </c>
      <c r="H401" t="inlineStr">
        <is>
          <t>No</t>
        </is>
      </c>
      <c r="I401" t="inlineStr">
        <is>
          <t>No</t>
        </is>
      </c>
      <c r="J401" t="inlineStr">
        <is>
          <t>0</t>
        </is>
      </c>
      <c r="L401" t="inlineStr">
        <is>
          <t>Lanham, Md. : Rowman &amp; Littlefield, c1995.</t>
        </is>
      </c>
      <c r="M401" t="inlineStr">
        <is>
          <t>1995</t>
        </is>
      </c>
      <c r="O401" t="inlineStr">
        <is>
          <t>eng</t>
        </is>
      </c>
      <c r="P401" t="inlineStr">
        <is>
          <t>mdu</t>
        </is>
      </c>
      <c r="R401" t="inlineStr">
        <is>
          <t xml:space="preserve">GE </t>
        </is>
      </c>
      <c r="S401" t="n">
        <v>7</v>
      </c>
      <c r="T401" t="n">
        <v>7</v>
      </c>
      <c r="U401" t="inlineStr">
        <is>
          <t>1999-06-29</t>
        </is>
      </c>
      <c r="V401" t="inlineStr">
        <is>
          <t>1999-06-29</t>
        </is>
      </c>
      <c r="W401" t="inlineStr">
        <is>
          <t>1996-05-31</t>
        </is>
      </c>
      <c r="X401" t="inlineStr">
        <is>
          <t>1996-05-31</t>
        </is>
      </c>
      <c r="Y401" t="n">
        <v>303</v>
      </c>
      <c r="Z401" t="n">
        <v>246</v>
      </c>
      <c r="AA401" t="n">
        <v>248</v>
      </c>
      <c r="AB401" t="n">
        <v>2</v>
      </c>
      <c r="AC401" t="n">
        <v>2</v>
      </c>
      <c r="AD401" t="n">
        <v>16</v>
      </c>
      <c r="AE401" t="n">
        <v>16</v>
      </c>
      <c r="AF401" t="n">
        <v>8</v>
      </c>
      <c r="AG401" t="n">
        <v>8</v>
      </c>
      <c r="AH401" t="n">
        <v>4</v>
      </c>
      <c r="AI401" t="n">
        <v>4</v>
      </c>
      <c r="AJ401" t="n">
        <v>9</v>
      </c>
      <c r="AK401" t="n">
        <v>9</v>
      </c>
      <c r="AL401" t="n">
        <v>1</v>
      </c>
      <c r="AM401" t="n">
        <v>1</v>
      </c>
      <c r="AN401" t="n">
        <v>1</v>
      </c>
      <c r="AO401" t="n">
        <v>1</v>
      </c>
      <c r="AP401" t="inlineStr">
        <is>
          <t>No</t>
        </is>
      </c>
      <c r="AQ401" t="inlineStr">
        <is>
          <t>Yes</t>
        </is>
      </c>
      <c r="AR401">
        <f>HYPERLINK("http://catalog.hathitrust.org/Record/003002630","HathiTrust Record")</f>
        <v/>
      </c>
      <c r="AS401">
        <f>HYPERLINK("https://creighton-primo.hosted.exlibrisgroup.com/primo-explore/search?tab=default_tab&amp;search_scope=EVERYTHING&amp;vid=01CRU&amp;lang=en_US&amp;offset=0&amp;query=any,contains,991002478419702656","Catalog Record")</f>
        <v/>
      </c>
      <c r="AT401">
        <f>HYPERLINK("http://www.worldcat.org/oclc/32273153","WorldCat Record")</f>
        <v/>
      </c>
      <c r="AU401" t="inlineStr">
        <is>
          <t>351638994:eng</t>
        </is>
      </c>
      <c r="AV401" t="inlineStr">
        <is>
          <t>32273153</t>
        </is>
      </c>
      <c r="AW401" t="inlineStr">
        <is>
          <t>991002478419702656</t>
        </is>
      </c>
      <c r="AX401" t="inlineStr">
        <is>
          <t>991002478419702656</t>
        </is>
      </c>
      <c r="AY401" t="inlineStr">
        <is>
          <t>2258467700002656</t>
        </is>
      </c>
      <c r="AZ401" t="inlineStr">
        <is>
          <t>BOOK</t>
        </is>
      </c>
      <c r="BB401" t="inlineStr">
        <is>
          <t>9780847680559</t>
        </is>
      </c>
      <c r="BC401" t="inlineStr">
        <is>
          <t>32285002186038</t>
        </is>
      </c>
      <c r="BD401" t="inlineStr">
        <is>
          <t>893616178</t>
        </is>
      </c>
    </row>
    <row r="402">
      <c r="A402" t="inlineStr">
        <is>
          <t>No</t>
        </is>
      </c>
      <c r="B402" t="inlineStr">
        <is>
          <t>GE40 .S55 1999</t>
        </is>
      </c>
      <c r="C402" t="inlineStr">
        <is>
          <t>0                      GE 0040000S  55          1999</t>
        </is>
      </c>
      <c r="D402" t="inlineStr">
        <is>
          <t>Hoodwinking the nation / Julian Simon.</t>
        </is>
      </c>
      <c r="F402" t="inlineStr">
        <is>
          <t>No</t>
        </is>
      </c>
      <c r="G402" t="inlineStr">
        <is>
          <t>1</t>
        </is>
      </c>
      <c r="H402" t="inlineStr">
        <is>
          <t>No</t>
        </is>
      </c>
      <c r="I402" t="inlineStr">
        <is>
          <t>No</t>
        </is>
      </c>
      <c r="J402" t="inlineStr">
        <is>
          <t>0</t>
        </is>
      </c>
      <c r="K402" t="inlineStr">
        <is>
          <t>Simon, Julian Lincoln, 1932-1998.</t>
        </is>
      </c>
      <c r="L402" t="inlineStr">
        <is>
          <t>New Brunswick, N.J. : Transaction, c1999.</t>
        </is>
      </c>
      <c r="M402" t="inlineStr">
        <is>
          <t>1999</t>
        </is>
      </c>
      <c r="O402" t="inlineStr">
        <is>
          <t>eng</t>
        </is>
      </c>
      <c r="P402" t="inlineStr">
        <is>
          <t>nju</t>
        </is>
      </c>
      <c r="R402" t="inlineStr">
        <is>
          <t xml:space="preserve">GE </t>
        </is>
      </c>
      <c r="S402" t="n">
        <v>3</v>
      </c>
      <c r="T402" t="n">
        <v>3</v>
      </c>
      <c r="U402" t="inlineStr">
        <is>
          <t>2005-09-27</t>
        </is>
      </c>
      <c r="V402" t="inlineStr">
        <is>
          <t>2005-09-27</t>
        </is>
      </c>
      <c r="W402" t="inlineStr">
        <is>
          <t>1999-08-05</t>
        </is>
      </c>
      <c r="X402" t="inlineStr">
        <is>
          <t>1999-08-05</t>
        </is>
      </c>
      <c r="Y402" t="n">
        <v>539</v>
      </c>
      <c r="Z402" t="n">
        <v>480</v>
      </c>
      <c r="AA402" t="n">
        <v>527</v>
      </c>
      <c r="AB402" t="n">
        <v>5</v>
      </c>
      <c r="AC402" t="n">
        <v>5</v>
      </c>
      <c r="AD402" t="n">
        <v>22</v>
      </c>
      <c r="AE402" t="n">
        <v>25</v>
      </c>
      <c r="AF402" t="n">
        <v>9</v>
      </c>
      <c r="AG402" t="n">
        <v>11</v>
      </c>
      <c r="AH402" t="n">
        <v>2</v>
      </c>
      <c r="AI402" t="n">
        <v>2</v>
      </c>
      <c r="AJ402" t="n">
        <v>12</v>
      </c>
      <c r="AK402" t="n">
        <v>13</v>
      </c>
      <c r="AL402" t="n">
        <v>4</v>
      </c>
      <c r="AM402" t="n">
        <v>4</v>
      </c>
      <c r="AN402" t="n">
        <v>1</v>
      </c>
      <c r="AO402" t="n">
        <v>1</v>
      </c>
      <c r="AP402" t="inlineStr">
        <is>
          <t>No</t>
        </is>
      </c>
      <c r="AQ402" t="inlineStr">
        <is>
          <t>No</t>
        </is>
      </c>
      <c r="AS402">
        <f>HYPERLINK("https://creighton-primo.hosted.exlibrisgroup.com/primo-explore/search?tab=default_tab&amp;search_scope=EVERYTHING&amp;vid=01CRU&amp;lang=en_US&amp;offset=0&amp;query=any,contains,991003005429702656","Catalog Record")</f>
        <v/>
      </c>
      <c r="AT402">
        <f>HYPERLINK("http://www.worldcat.org/oclc/40734883","WorldCat Record")</f>
        <v/>
      </c>
      <c r="AU402" t="inlineStr">
        <is>
          <t>25944423:eng</t>
        </is>
      </c>
      <c r="AV402" t="inlineStr">
        <is>
          <t>40734883</t>
        </is>
      </c>
      <c r="AW402" t="inlineStr">
        <is>
          <t>991003005429702656</t>
        </is>
      </c>
      <c r="AX402" t="inlineStr">
        <is>
          <t>991003005429702656</t>
        </is>
      </c>
      <c r="AY402" t="inlineStr">
        <is>
          <t>2261915230002656</t>
        </is>
      </c>
      <c r="AZ402" t="inlineStr">
        <is>
          <t>BOOK</t>
        </is>
      </c>
      <c r="BB402" t="inlineStr">
        <is>
          <t>9781560004349</t>
        </is>
      </c>
      <c r="BC402" t="inlineStr">
        <is>
          <t>32285003580411</t>
        </is>
      </c>
      <c r="BD402" t="inlineStr">
        <is>
          <t>893874310</t>
        </is>
      </c>
    </row>
    <row r="403">
      <c r="A403" t="inlineStr">
        <is>
          <t>No</t>
        </is>
      </c>
      <c r="B403" t="inlineStr">
        <is>
          <t>GE42 .B465 2007</t>
        </is>
      </c>
      <c r="C403" t="inlineStr">
        <is>
          <t>0                      GE 0042000B  465         2007</t>
        </is>
      </c>
      <c r="D403" t="inlineStr">
        <is>
          <t>Ecological ethics and the human soul : Aquinas, Whitehead, and the metaphysics of value / Francisco J. Benzoni.</t>
        </is>
      </c>
      <c r="F403" t="inlineStr">
        <is>
          <t>No</t>
        </is>
      </c>
      <c r="G403" t="inlineStr">
        <is>
          <t>1</t>
        </is>
      </c>
      <c r="H403" t="inlineStr">
        <is>
          <t>No</t>
        </is>
      </c>
      <c r="I403" t="inlineStr">
        <is>
          <t>No</t>
        </is>
      </c>
      <c r="J403" t="inlineStr">
        <is>
          <t>0</t>
        </is>
      </c>
      <c r="K403" t="inlineStr">
        <is>
          <t>Benzoni, Francisco J.</t>
        </is>
      </c>
      <c r="L403" t="inlineStr">
        <is>
          <t>Notre Dame, Ind. : University of Notre Dame Press, c2007.</t>
        </is>
      </c>
      <c r="M403" t="inlineStr">
        <is>
          <t>2007</t>
        </is>
      </c>
      <c r="O403" t="inlineStr">
        <is>
          <t>eng</t>
        </is>
      </c>
      <c r="P403" t="inlineStr">
        <is>
          <t>inu</t>
        </is>
      </c>
      <c r="R403" t="inlineStr">
        <is>
          <t xml:space="preserve">GE </t>
        </is>
      </c>
      <c r="S403" t="n">
        <v>3</v>
      </c>
      <c r="T403" t="n">
        <v>3</v>
      </c>
      <c r="U403" t="inlineStr">
        <is>
          <t>2010-06-23</t>
        </is>
      </c>
      <c r="V403" t="inlineStr">
        <is>
          <t>2010-06-23</t>
        </is>
      </c>
      <c r="W403" t="inlineStr">
        <is>
          <t>2008-11-25</t>
        </is>
      </c>
      <c r="X403" t="inlineStr">
        <is>
          <t>2008-11-25</t>
        </is>
      </c>
      <c r="Y403" t="n">
        <v>258</v>
      </c>
      <c r="Z403" t="n">
        <v>220</v>
      </c>
      <c r="AA403" t="n">
        <v>293</v>
      </c>
      <c r="AB403" t="n">
        <v>3</v>
      </c>
      <c r="AC403" t="n">
        <v>3</v>
      </c>
      <c r="AD403" t="n">
        <v>16</v>
      </c>
      <c r="AE403" t="n">
        <v>16</v>
      </c>
      <c r="AF403" t="n">
        <v>5</v>
      </c>
      <c r="AG403" t="n">
        <v>5</v>
      </c>
      <c r="AH403" t="n">
        <v>5</v>
      </c>
      <c r="AI403" t="n">
        <v>5</v>
      </c>
      <c r="AJ403" t="n">
        <v>8</v>
      </c>
      <c r="AK403" t="n">
        <v>8</v>
      </c>
      <c r="AL403" t="n">
        <v>2</v>
      </c>
      <c r="AM403" t="n">
        <v>2</v>
      </c>
      <c r="AN403" t="n">
        <v>0</v>
      </c>
      <c r="AO403" t="n">
        <v>0</v>
      </c>
      <c r="AP403" t="inlineStr">
        <is>
          <t>No</t>
        </is>
      </c>
      <c r="AQ403" t="inlineStr">
        <is>
          <t>Yes</t>
        </is>
      </c>
      <c r="AR403">
        <f>HYPERLINK("http://catalog.hathitrust.org/Record/005635453","HathiTrust Record")</f>
        <v/>
      </c>
      <c r="AS403">
        <f>HYPERLINK("https://creighton-primo.hosted.exlibrisgroup.com/primo-explore/search?tab=default_tab&amp;search_scope=EVERYTHING&amp;vid=01CRU&amp;lang=en_US&amp;offset=0&amp;query=any,contains,991005276859702656","Catalog Record")</f>
        <v/>
      </c>
      <c r="AT403">
        <f>HYPERLINK("http://www.worldcat.org/oclc/163603481","WorldCat Record")</f>
        <v/>
      </c>
      <c r="AU403" t="inlineStr">
        <is>
          <t>477187253:eng</t>
        </is>
      </c>
      <c r="AV403" t="inlineStr">
        <is>
          <t>163603481</t>
        </is>
      </c>
      <c r="AW403" t="inlineStr">
        <is>
          <t>991005276859702656</t>
        </is>
      </c>
      <c r="AX403" t="inlineStr">
        <is>
          <t>991005276859702656</t>
        </is>
      </c>
      <c r="AY403" t="inlineStr">
        <is>
          <t>2267227010002656</t>
        </is>
      </c>
      <c r="AZ403" t="inlineStr">
        <is>
          <t>BOOK</t>
        </is>
      </c>
      <c r="BB403" t="inlineStr">
        <is>
          <t>9780268022051</t>
        </is>
      </c>
      <c r="BC403" t="inlineStr">
        <is>
          <t>32285005469068</t>
        </is>
      </c>
      <c r="BD403" t="inlineStr">
        <is>
          <t>893594766</t>
        </is>
      </c>
    </row>
    <row r="404">
      <c r="A404" t="inlineStr">
        <is>
          <t>No</t>
        </is>
      </c>
      <c r="B404" t="inlineStr">
        <is>
          <t>GE42 .E57 1995</t>
        </is>
      </c>
      <c r="C404" t="inlineStr">
        <is>
          <t>0                      GE 0042000E  57          1995</t>
        </is>
      </c>
      <c r="D404" t="inlineStr">
        <is>
          <t>Environmental ethics / edited by Robert Elliot.</t>
        </is>
      </c>
      <c r="F404" t="inlineStr">
        <is>
          <t>No</t>
        </is>
      </c>
      <c r="G404" t="inlineStr">
        <is>
          <t>1</t>
        </is>
      </c>
      <c r="H404" t="inlineStr">
        <is>
          <t>No</t>
        </is>
      </c>
      <c r="I404" t="inlineStr">
        <is>
          <t>No</t>
        </is>
      </c>
      <c r="J404" t="inlineStr">
        <is>
          <t>0</t>
        </is>
      </c>
      <c r="L404" t="inlineStr">
        <is>
          <t>Oxford ; New York : Oxford University Press, 1995.</t>
        </is>
      </c>
      <c r="M404" t="inlineStr">
        <is>
          <t>1995</t>
        </is>
      </c>
      <c r="O404" t="inlineStr">
        <is>
          <t>eng</t>
        </is>
      </c>
      <c r="P404" t="inlineStr">
        <is>
          <t>enk</t>
        </is>
      </c>
      <c r="Q404" t="inlineStr">
        <is>
          <t>Oxford readings in philosophy</t>
        </is>
      </c>
      <c r="R404" t="inlineStr">
        <is>
          <t xml:space="preserve">GE </t>
        </is>
      </c>
      <c r="S404" t="n">
        <v>6</v>
      </c>
      <c r="T404" t="n">
        <v>6</v>
      </c>
      <c r="U404" t="inlineStr">
        <is>
          <t>1997-12-01</t>
        </is>
      </c>
      <c r="V404" t="inlineStr">
        <is>
          <t>1997-12-01</t>
        </is>
      </c>
      <c r="W404" t="inlineStr">
        <is>
          <t>1996-03-01</t>
        </is>
      </c>
      <c r="X404" t="inlineStr">
        <is>
          <t>1996-03-01</t>
        </is>
      </c>
      <c r="Y404" t="n">
        <v>716</v>
      </c>
      <c r="Z404" t="n">
        <v>490</v>
      </c>
      <c r="AA404" t="n">
        <v>501</v>
      </c>
      <c r="AB404" t="n">
        <v>2</v>
      </c>
      <c r="AC404" t="n">
        <v>2</v>
      </c>
      <c r="AD404" t="n">
        <v>35</v>
      </c>
      <c r="AE404" t="n">
        <v>35</v>
      </c>
      <c r="AF404" t="n">
        <v>14</v>
      </c>
      <c r="AG404" t="n">
        <v>14</v>
      </c>
      <c r="AH404" t="n">
        <v>9</v>
      </c>
      <c r="AI404" t="n">
        <v>9</v>
      </c>
      <c r="AJ404" t="n">
        <v>15</v>
      </c>
      <c r="AK404" t="n">
        <v>15</v>
      </c>
      <c r="AL404" t="n">
        <v>1</v>
      </c>
      <c r="AM404" t="n">
        <v>1</v>
      </c>
      <c r="AN404" t="n">
        <v>3</v>
      </c>
      <c r="AO404" t="n">
        <v>3</v>
      </c>
      <c r="AP404" t="inlineStr">
        <is>
          <t>No</t>
        </is>
      </c>
      <c r="AQ404" t="inlineStr">
        <is>
          <t>Yes</t>
        </is>
      </c>
      <c r="AR404">
        <f>HYPERLINK("http://catalog.hathitrust.org/Record/002966492","HathiTrust Record")</f>
        <v/>
      </c>
      <c r="AS404">
        <f>HYPERLINK("https://creighton-primo.hosted.exlibrisgroup.com/primo-explore/search?tab=default_tab&amp;search_scope=EVERYTHING&amp;vid=01CRU&amp;lang=en_US&amp;offset=0&amp;query=any,contains,991002396199702656","Catalog Record")</f>
        <v/>
      </c>
      <c r="AT404">
        <f>HYPERLINK("http://www.worldcat.org/oclc/31132548","WorldCat Record")</f>
        <v/>
      </c>
      <c r="AU404" t="inlineStr">
        <is>
          <t>55854359:eng</t>
        </is>
      </c>
      <c r="AV404" t="inlineStr">
        <is>
          <t>31132548</t>
        </is>
      </c>
      <c r="AW404" t="inlineStr">
        <is>
          <t>991002396199702656</t>
        </is>
      </c>
      <c r="AX404" t="inlineStr">
        <is>
          <t>991002396199702656</t>
        </is>
      </c>
      <c r="AY404" t="inlineStr">
        <is>
          <t>2271315610002656</t>
        </is>
      </c>
      <c r="AZ404" t="inlineStr">
        <is>
          <t>BOOK</t>
        </is>
      </c>
      <c r="BB404" t="inlineStr">
        <is>
          <t>9780198751434</t>
        </is>
      </c>
      <c r="BC404" t="inlineStr">
        <is>
          <t>32285002139193</t>
        </is>
      </c>
      <c r="BD404" t="inlineStr">
        <is>
          <t>893335251</t>
        </is>
      </c>
    </row>
    <row r="405">
      <c r="A405" t="inlineStr">
        <is>
          <t>No</t>
        </is>
      </c>
      <c r="B405" t="inlineStr">
        <is>
          <t>GE42 .I59 1999</t>
        </is>
      </c>
      <c r="C405" t="inlineStr">
        <is>
          <t>0                      GE 0042000I  59          1999</t>
        </is>
      </c>
      <c r="D405" t="inlineStr">
        <is>
          <t>An invitation to environmental philosophy / editor, Anthony Weston ; contributors: David Abram ... [et al.].</t>
        </is>
      </c>
      <c r="F405" t="inlineStr">
        <is>
          <t>No</t>
        </is>
      </c>
      <c r="G405" t="inlineStr">
        <is>
          <t>1</t>
        </is>
      </c>
      <c r="H405" t="inlineStr">
        <is>
          <t>No</t>
        </is>
      </c>
      <c r="I405" t="inlineStr">
        <is>
          <t>No</t>
        </is>
      </c>
      <c r="J405" t="inlineStr">
        <is>
          <t>0</t>
        </is>
      </c>
      <c r="L405" t="inlineStr">
        <is>
          <t>New York : Oxford University Press, 1999.</t>
        </is>
      </c>
      <c r="M405" t="inlineStr">
        <is>
          <t>1999</t>
        </is>
      </c>
      <c r="O405" t="inlineStr">
        <is>
          <t>eng</t>
        </is>
      </c>
      <c r="P405" t="inlineStr">
        <is>
          <t>nyu</t>
        </is>
      </c>
      <c r="R405" t="inlineStr">
        <is>
          <t xml:space="preserve">GE </t>
        </is>
      </c>
      <c r="S405" t="n">
        <v>9</v>
      </c>
      <c r="T405" t="n">
        <v>9</v>
      </c>
      <c r="U405" t="inlineStr">
        <is>
          <t>2008-11-25</t>
        </is>
      </c>
      <c r="V405" t="inlineStr">
        <is>
          <t>2008-11-25</t>
        </is>
      </c>
      <c r="W405" t="inlineStr">
        <is>
          <t>1998-12-08</t>
        </is>
      </c>
      <c r="X405" t="inlineStr">
        <is>
          <t>1998-12-08</t>
        </is>
      </c>
      <c r="Y405" t="n">
        <v>525</v>
      </c>
      <c r="Z405" t="n">
        <v>396</v>
      </c>
      <c r="AA405" t="n">
        <v>396</v>
      </c>
      <c r="AB405" t="n">
        <v>3</v>
      </c>
      <c r="AC405" t="n">
        <v>3</v>
      </c>
      <c r="AD405" t="n">
        <v>27</v>
      </c>
      <c r="AE405" t="n">
        <v>27</v>
      </c>
      <c r="AF405" t="n">
        <v>14</v>
      </c>
      <c r="AG405" t="n">
        <v>14</v>
      </c>
      <c r="AH405" t="n">
        <v>9</v>
      </c>
      <c r="AI405" t="n">
        <v>9</v>
      </c>
      <c r="AJ405" t="n">
        <v>12</v>
      </c>
      <c r="AK405" t="n">
        <v>12</v>
      </c>
      <c r="AL405" t="n">
        <v>2</v>
      </c>
      <c r="AM405" t="n">
        <v>2</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HYPERLINK("https://creighton-primo.hosted.exlibrisgroup.com/primo-explore/search?tab=default_tab&amp;search_scope=EVERYTHING&amp;vid=01CRU&amp;lang=en_US&amp;offset=0&amp;query=any,contains,991002891019702656","Catalog Record")</f>
        <v/>
      </c>
      <c r="AT405">
        <f>HYPERLINK("http://www.worldcat.org/oclc/38090910","WorldCat Record")</f>
        <v/>
      </c>
      <c r="AU405" t="inlineStr">
        <is>
          <t>369965697:eng</t>
        </is>
      </c>
      <c r="AV405" t="inlineStr">
        <is>
          <t>38090910</t>
        </is>
      </c>
      <c r="AW405" t="inlineStr">
        <is>
          <t>991002891019702656</t>
        </is>
      </c>
      <c r="AX405" t="inlineStr">
        <is>
          <t>991002891019702656</t>
        </is>
      </c>
      <c r="AY405" t="inlineStr">
        <is>
          <t>2272577040002656</t>
        </is>
      </c>
      <c r="AZ405" t="inlineStr">
        <is>
          <t>BOOK</t>
        </is>
      </c>
      <c r="BB405" t="inlineStr">
        <is>
          <t>9780195122039</t>
        </is>
      </c>
      <c r="BC405" t="inlineStr">
        <is>
          <t>32285003494480</t>
        </is>
      </c>
      <c r="BD405" t="inlineStr">
        <is>
          <t>893498675</t>
        </is>
      </c>
    </row>
    <row r="406">
      <c r="A406" t="inlineStr">
        <is>
          <t>No</t>
        </is>
      </c>
      <c r="B406" t="inlineStr">
        <is>
          <t>GE42 .K37 1997</t>
        </is>
      </c>
      <c r="C406" t="inlineStr">
        <is>
          <t>0                      GE 0042000K  37          1997</t>
        </is>
      </c>
      <c r="D406" t="inlineStr">
        <is>
          <t>Nature as subject : human obligation and natural community / Eric Katz.</t>
        </is>
      </c>
      <c r="F406" t="inlineStr">
        <is>
          <t>No</t>
        </is>
      </c>
      <c r="G406" t="inlineStr">
        <is>
          <t>1</t>
        </is>
      </c>
      <c r="H406" t="inlineStr">
        <is>
          <t>No</t>
        </is>
      </c>
      <c r="I406" t="inlineStr">
        <is>
          <t>No</t>
        </is>
      </c>
      <c r="J406" t="inlineStr">
        <is>
          <t>0</t>
        </is>
      </c>
      <c r="K406" t="inlineStr">
        <is>
          <t>Katz, Eric, 1952-</t>
        </is>
      </c>
      <c r="L406" t="inlineStr">
        <is>
          <t>Lanham : Rowman &amp; Littlefield, c1997.</t>
        </is>
      </c>
      <c r="M406" t="inlineStr">
        <is>
          <t>1997</t>
        </is>
      </c>
      <c r="O406" t="inlineStr">
        <is>
          <t>eng</t>
        </is>
      </c>
      <c r="P406" t="inlineStr">
        <is>
          <t>mdu</t>
        </is>
      </c>
      <c r="Q406" t="inlineStr">
        <is>
          <t>Studies in social, political, and legal philosophy</t>
        </is>
      </c>
      <c r="R406" t="inlineStr">
        <is>
          <t xml:space="preserve">GE </t>
        </is>
      </c>
      <c r="S406" t="n">
        <v>3</v>
      </c>
      <c r="T406" t="n">
        <v>3</v>
      </c>
      <c r="U406" t="inlineStr">
        <is>
          <t>2003-04-16</t>
        </is>
      </c>
      <c r="V406" t="inlineStr">
        <is>
          <t>2003-04-16</t>
        </is>
      </c>
      <c r="W406" t="inlineStr">
        <is>
          <t>1997-03-19</t>
        </is>
      </c>
      <c r="X406" t="inlineStr">
        <is>
          <t>1997-03-19</t>
        </is>
      </c>
      <c r="Y406" t="n">
        <v>517</v>
      </c>
      <c r="Z406" t="n">
        <v>433</v>
      </c>
      <c r="AA406" t="n">
        <v>759</v>
      </c>
      <c r="AB406" t="n">
        <v>4</v>
      </c>
      <c r="AC406" t="n">
        <v>5</v>
      </c>
      <c r="AD406" t="n">
        <v>28</v>
      </c>
      <c r="AE406" t="n">
        <v>34</v>
      </c>
      <c r="AF406" t="n">
        <v>12</v>
      </c>
      <c r="AG406" t="n">
        <v>15</v>
      </c>
      <c r="AH406" t="n">
        <v>7</v>
      </c>
      <c r="AI406" t="n">
        <v>7</v>
      </c>
      <c r="AJ406" t="n">
        <v>15</v>
      </c>
      <c r="AK406" t="n">
        <v>17</v>
      </c>
      <c r="AL406" t="n">
        <v>3</v>
      </c>
      <c r="AM406" t="n">
        <v>4</v>
      </c>
      <c r="AN406" t="n">
        <v>0</v>
      </c>
      <c r="AO406" t="n">
        <v>0</v>
      </c>
      <c r="AP406" t="inlineStr">
        <is>
          <t>No</t>
        </is>
      </c>
      <c r="AQ406" t="inlineStr">
        <is>
          <t>Yes</t>
        </is>
      </c>
      <c r="AR406">
        <f>HYPERLINK("http://catalog.hathitrust.org/Record/003126453","HathiTrust Record")</f>
        <v/>
      </c>
      <c r="AS406">
        <f>HYPERLINK("https://creighton-primo.hosted.exlibrisgroup.com/primo-explore/search?tab=default_tab&amp;search_scope=EVERYTHING&amp;vid=01CRU&amp;lang=en_US&amp;offset=0&amp;query=any,contains,991002680919702656","Catalog Record")</f>
        <v/>
      </c>
      <c r="AT406">
        <f>HYPERLINK("http://www.worldcat.org/oclc/35033572","WorldCat Record")</f>
        <v/>
      </c>
      <c r="AU406" t="inlineStr">
        <is>
          <t>799650035:eng</t>
        </is>
      </c>
      <c r="AV406" t="inlineStr">
        <is>
          <t>35033572</t>
        </is>
      </c>
      <c r="AW406" t="inlineStr">
        <is>
          <t>991002680919702656</t>
        </is>
      </c>
      <c r="AX406" t="inlineStr">
        <is>
          <t>991002680919702656</t>
        </is>
      </c>
      <c r="AY406" t="inlineStr">
        <is>
          <t>2269157350002656</t>
        </is>
      </c>
      <c r="AZ406" t="inlineStr">
        <is>
          <t>BOOK</t>
        </is>
      </c>
      <c r="BB406" t="inlineStr">
        <is>
          <t>9780847683031</t>
        </is>
      </c>
      <c r="BC406" t="inlineStr">
        <is>
          <t>32285002444452</t>
        </is>
      </c>
      <c r="BD406" t="inlineStr">
        <is>
          <t>893610144</t>
        </is>
      </c>
    </row>
    <row r="407">
      <c r="A407" t="inlineStr">
        <is>
          <t>No</t>
        </is>
      </c>
      <c r="B407" t="inlineStr">
        <is>
          <t>GE42 .M37 1995</t>
        </is>
      </c>
      <c r="C407" t="inlineStr">
        <is>
          <t>0                      GE 0042000M  37          1995</t>
        </is>
      </c>
      <c r="D407" t="inlineStr">
        <is>
          <t>For people and the planet : holism and humanism in environmental ethics / Don E. Marietta, Jr.</t>
        </is>
      </c>
      <c r="F407" t="inlineStr">
        <is>
          <t>No</t>
        </is>
      </c>
      <c r="G407" t="inlineStr">
        <is>
          <t>1</t>
        </is>
      </c>
      <c r="H407" t="inlineStr">
        <is>
          <t>No</t>
        </is>
      </c>
      <c r="I407" t="inlineStr">
        <is>
          <t>No</t>
        </is>
      </c>
      <c r="J407" t="inlineStr">
        <is>
          <t>0</t>
        </is>
      </c>
      <c r="K407" t="inlineStr">
        <is>
          <t>Marietta, Don E.</t>
        </is>
      </c>
      <c r="L407" t="inlineStr">
        <is>
          <t>Philadelphia : Temple University Press, 1994, c1995.</t>
        </is>
      </c>
      <c r="M407" t="inlineStr">
        <is>
          <t>1995</t>
        </is>
      </c>
      <c r="O407" t="inlineStr">
        <is>
          <t>eng</t>
        </is>
      </c>
      <c r="P407" t="inlineStr">
        <is>
          <t>pau</t>
        </is>
      </c>
      <c r="Q407" t="inlineStr">
        <is>
          <t>Environmental ethics, values, and policy</t>
        </is>
      </c>
      <c r="R407" t="inlineStr">
        <is>
          <t xml:space="preserve">GE </t>
        </is>
      </c>
      <c r="S407" t="n">
        <v>3</v>
      </c>
      <c r="T407" t="n">
        <v>3</v>
      </c>
      <c r="U407" t="inlineStr">
        <is>
          <t>2003-04-16</t>
        </is>
      </c>
      <c r="V407" t="inlineStr">
        <is>
          <t>2003-04-16</t>
        </is>
      </c>
      <c r="W407" t="inlineStr">
        <is>
          <t>1996-03-14</t>
        </is>
      </c>
      <c r="X407" t="inlineStr">
        <is>
          <t>1996-03-14</t>
        </is>
      </c>
      <c r="Y407" t="n">
        <v>273</v>
      </c>
      <c r="Z407" t="n">
        <v>239</v>
      </c>
      <c r="AA407" t="n">
        <v>470</v>
      </c>
      <c r="AB407" t="n">
        <v>3</v>
      </c>
      <c r="AC407" t="n">
        <v>3</v>
      </c>
      <c r="AD407" t="n">
        <v>17</v>
      </c>
      <c r="AE407" t="n">
        <v>19</v>
      </c>
      <c r="AF407" t="n">
        <v>4</v>
      </c>
      <c r="AG407" t="n">
        <v>6</v>
      </c>
      <c r="AH407" t="n">
        <v>4</v>
      </c>
      <c r="AI407" t="n">
        <v>4</v>
      </c>
      <c r="AJ407" t="n">
        <v>10</v>
      </c>
      <c r="AK407" t="n">
        <v>11</v>
      </c>
      <c r="AL407" t="n">
        <v>2</v>
      </c>
      <c r="AM407" t="n">
        <v>2</v>
      </c>
      <c r="AN407" t="n">
        <v>1</v>
      </c>
      <c r="AO407" t="n">
        <v>1</v>
      </c>
      <c r="AP407" t="inlineStr">
        <is>
          <t>No</t>
        </is>
      </c>
      <c r="AQ407" t="inlineStr">
        <is>
          <t>No</t>
        </is>
      </c>
      <c r="AS407">
        <f>HYPERLINK("https://creighton-primo.hosted.exlibrisgroup.com/primo-explore/search?tab=default_tab&amp;search_scope=EVERYTHING&amp;vid=01CRU&amp;lang=en_US&amp;offset=0&amp;query=any,contains,991002404769702656","Catalog Record")</f>
        <v/>
      </c>
      <c r="AT407">
        <f>HYPERLINK("http://www.worldcat.org/oclc/31287494","WorldCat Record")</f>
        <v/>
      </c>
      <c r="AU407" t="inlineStr">
        <is>
          <t>1050609:eng</t>
        </is>
      </c>
      <c r="AV407" t="inlineStr">
        <is>
          <t>31287494</t>
        </is>
      </c>
      <c r="AW407" t="inlineStr">
        <is>
          <t>991002404769702656</t>
        </is>
      </c>
      <c r="AX407" t="inlineStr">
        <is>
          <t>991002404769702656</t>
        </is>
      </c>
      <c r="AY407" t="inlineStr">
        <is>
          <t>2258337310002656</t>
        </is>
      </c>
      <c r="AZ407" t="inlineStr">
        <is>
          <t>BOOK</t>
        </is>
      </c>
      <c r="BB407" t="inlineStr">
        <is>
          <t>9781566392464</t>
        </is>
      </c>
      <c r="BC407" t="inlineStr">
        <is>
          <t>32285002142536</t>
        </is>
      </c>
      <c r="BD407" t="inlineStr">
        <is>
          <t>893892509</t>
        </is>
      </c>
    </row>
    <row r="408">
      <c r="A408" t="inlineStr">
        <is>
          <t>No</t>
        </is>
      </c>
      <c r="B408" t="inlineStr">
        <is>
          <t>GE42 .S57 2000</t>
        </is>
      </c>
      <c r="C408" t="inlineStr">
        <is>
          <t>0                      GE 0042000S  57          2000</t>
        </is>
      </c>
      <c r="D408" t="inlineStr">
        <is>
          <t>Moral geographies : ethics in a world of difference / David M. Smith.</t>
        </is>
      </c>
      <c r="F408" t="inlineStr">
        <is>
          <t>No</t>
        </is>
      </c>
      <c r="G408" t="inlineStr">
        <is>
          <t>1</t>
        </is>
      </c>
      <c r="H408" t="inlineStr">
        <is>
          <t>No</t>
        </is>
      </c>
      <c r="I408" t="inlineStr">
        <is>
          <t>No</t>
        </is>
      </c>
      <c r="J408" t="inlineStr">
        <is>
          <t>0</t>
        </is>
      </c>
      <c r="K408" t="inlineStr">
        <is>
          <t>Smith, David M. (David Marshall), 1936-</t>
        </is>
      </c>
      <c r="L408" t="inlineStr">
        <is>
          <t>Edinburgh : Edinburgh University Press, c2000.</t>
        </is>
      </c>
      <c r="M408" t="inlineStr">
        <is>
          <t>2000</t>
        </is>
      </c>
      <c r="O408" t="inlineStr">
        <is>
          <t>eng</t>
        </is>
      </c>
      <c r="P408" t="inlineStr">
        <is>
          <t>stk</t>
        </is>
      </c>
      <c r="R408" t="inlineStr">
        <is>
          <t xml:space="preserve">GE </t>
        </is>
      </c>
      <c r="S408" t="n">
        <v>4</v>
      </c>
      <c r="T408" t="n">
        <v>4</v>
      </c>
      <c r="U408" t="inlineStr">
        <is>
          <t>2010-04-13</t>
        </is>
      </c>
      <c r="V408" t="inlineStr">
        <is>
          <t>2010-04-13</t>
        </is>
      </c>
      <c r="W408" t="inlineStr">
        <is>
          <t>2002-09-26</t>
        </is>
      </c>
      <c r="X408" t="inlineStr">
        <is>
          <t>2002-09-26</t>
        </is>
      </c>
      <c r="Y408" t="n">
        <v>370</v>
      </c>
      <c r="Z408" t="n">
        <v>228</v>
      </c>
      <c r="AA408" t="n">
        <v>228</v>
      </c>
      <c r="AB408" t="n">
        <v>2</v>
      </c>
      <c r="AC408" t="n">
        <v>2</v>
      </c>
      <c r="AD408" t="n">
        <v>12</v>
      </c>
      <c r="AE408" t="n">
        <v>12</v>
      </c>
      <c r="AF408" t="n">
        <v>5</v>
      </c>
      <c r="AG408" t="n">
        <v>5</v>
      </c>
      <c r="AH408" t="n">
        <v>3</v>
      </c>
      <c r="AI408" t="n">
        <v>3</v>
      </c>
      <c r="AJ408" t="n">
        <v>8</v>
      </c>
      <c r="AK408" t="n">
        <v>8</v>
      </c>
      <c r="AL408" t="n">
        <v>1</v>
      </c>
      <c r="AM408" t="n">
        <v>1</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HYPERLINK("https://creighton-primo.hosted.exlibrisgroup.com/primo-explore/search?tab=default_tab&amp;search_scope=EVERYTHING&amp;vid=01CRU&amp;lang=en_US&amp;offset=0&amp;query=any,contains,991003874709702656","Catalog Record")</f>
        <v/>
      </c>
      <c r="AT408">
        <f>HYPERLINK("http://www.worldcat.org/oclc/44435516","WorldCat Record")</f>
        <v/>
      </c>
      <c r="AU408" t="inlineStr">
        <is>
          <t>837022990:eng</t>
        </is>
      </c>
      <c r="AV408" t="inlineStr">
        <is>
          <t>44435516</t>
        </is>
      </c>
      <c r="AW408" t="inlineStr">
        <is>
          <t>991003874709702656</t>
        </is>
      </c>
      <c r="AX408" t="inlineStr">
        <is>
          <t>991003874709702656</t>
        </is>
      </c>
      <c r="AY408" t="inlineStr">
        <is>
          <t>2256041750002656</t>
        </is>
      </c>
      <c r="AZ408" t="inlineStr">
        <is>
          <t>BOOK</t>
        </is>
      </c>
      <c r="BB408" t="inlineStr">
        <is>
          <t>9780748612789</t>
        </is>
      </c>
      <c r="BC408" t="inlineStr">
        <is>
          <t>32285004649785</t>
        </is>
      </c>
      <c r="BD408" t="inlineStr">
        <is>
          <t>893337076</t>
        </is>
      </c>
    </row>
    <row r="409">
      <c r="A409" t="inlineStr">
        <is>
          <t>No</t>
        </is>
      </c>
      <c r="B409" t="inlineStr">
        <is>
          <t>GE42 .S58 1997</t>
        </is>
      </c>
      <c r="C409" t="inlineStr">
        <is>
          <t>0                      GE 0042000S  58          1997</t>
        </is>
      </c>
      <c r="D409" t="inlineStr">
        <is>
          <t>What are they saying about environmental ethics? / Pamela Smith.</t>
        </is>
      </c>
      <c r="F409" t="inlineStr">
        <is>
          <t>No</t>
        </is>
      </c>
      <c r="G409" t="inlineStr">
        <is>
          <t>1</t>
        </is>
      </c>
      <c r="H409" t="inlineStr">
        <is>
          <t>No</t>
        </is>
      </c>
      <c r="I409" t="inlineStr">
        <is>
          <t>No</t>
        </is>
      </c>
      <c r="J409" t="inlineStr">
        <is>
          <t>0</t>
        </is>
      </c>
      <c r="K409" t="inlineStr">
        <is>
          <t>Smith, Pamela.</t>
        </is>
      </c>
      <c r="L409" t="inlineStr">
        <is>
          <t>New York : Paulist Press, c1997.</t>
        </is>
      </c>
      <c r="M409" t="inlineStr">
        <is>
          <t>1997</t>
        </is>
      </c>
      <c r="O409" t="inlineStr">
        <is>
          <t>eng</t>
        </is>
      </c>
      <c r="P409" t="inlineStr">
        <is>
          <t>nyu</t>
        </is>
      </c>
      <c r="R409" t="inlineStr">
        <is>
          <t xml:space="preserve">GE </t>
        </is>
      </c>
      <c r="S409" t="n">
        <v>3</v>
      </c>
      <c r="T409" t="n">
        <v>3</v>
      </c>
      <c r="U409" t="inlineStr">
        <is>
          <t>2007-12-09</t>
        </is>
      </c>
      <c r="V409" t="inlineStr">
        <is>
          <t>2007-12-09</t>
        </is>
      </c>
      <c r="W409" t="inlineStr">
        <is>
          <t>1998-03-25</t>
        </is>
      </c>
      <c r="X409" t="inlineStr">
        <is>
          <t>1998-03-25</t>
        </is>
      </c>
      <c r="Y409" t="n">
        <v>620</v>
      </c>
      <c r="Z409" t="n">
        <v>525</v>
      </c>
      <c r="AA409" t="n">
        <v>529</v>
      </c>
      <c r="AB409" t="n">
        <v>2</v>
      </c>
      <c r="AC409" t="n">
        <v>2</v>
      </c>
      <c r="AD409" t="n">
        <v>31</v>
      </c>
      <c r="AE409" t="n">
        <v>31</v>
      </c>
      <c r="AF409" t="n">
        <v>13</v>
      </c>
      <c r="AG409" t="n">
        <v>13</v>
      </c>
      <c r="AH409" t="n">
        <v>8</v>
      </c>
      <c r="AI409" t="n">
        <v>8</v>
      </c>
      <c r="AJ409" t="n">
        <v>22</v>
      </c>
      <c r="AK409" t="n">
        <v>22</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HYPERLINK("https://creighton-primo.hosted.exlibrisgroup.com/primo-explore/search?tab=default_tab&amp;search_scope=EVERYTHING&amp;vid=01CRU&amp;lang=en_US&amp;offset=0&amp;query=any,contains,991002850629702656","Catalog Record")</f>
        <v/>
      </c>
      <c r="AT409">
        <f>HYPERLINK("http://www.worldcat.org/oclc/37560880","WorldCat Record")</f>
        <v/>
      </c>
      <c r="AU409" t="inlineStr">
        <is>
          <t>355940402:eng</t>
        </is>
      </c>
      <c r="AV409" t="inlineStr">
        <is>
          <t>37560880</t>
        </is>
      </c>
      <c r="AW409" t="inlineStr">
        <is>
          <t>991002850629702656</t>
        </is>
      </c>
      <c r="AX409" t="inlineStr">
        <is>
          <t>991002850629702656</t>
        </is>
      </c>
      <c r="AY409" t="inlineStr">
        <is>
          <t>2271196100002656</t>
        </is>
      </c>
      <c r="AZ409" t="inlineStr">
        <is>
          <t>BOOK</t>
        </is>
      </c>
      <c r="BB409" t="inlineStr">
        <is>
          <t>9780809137541</t>
        </is>
      </c>
      <c r="BC409" t="inlineStr">
        <is>
          <t>32285003380630</t>
        </is>
      </c>
      <c r="BD409" t="inlineStr">
        <is>
          <t>893786641</t>
        </is>
      </c>
    </row>
    <row r="410">
      <c r="A410" t="inlineStr">
        <is>
          <t>No</t>
        </is>
      </c>
      <c r="B410" t="inlineStr">
        <is>
          <t>GE42 .W458 2001</t>
        </is>
      </c>
      <c r="C410" t="inlineStr">
        <is>
          <t>0                      GE 0042000W  458         2001</t>
        </is>
      </c>
      <c r="D410" t="inlineStr">
        <is>
          <t>Environmental ethics today / Peter S. Wenz.</t>
        </is>
      </c>
      <c r="F410" t="inlineStr">
        <is>
          <t>No</t>
        </is>
      </c>
      <c r="G410" t="inlineStr">
        <is>
          <t>1</t>
        </is>
      </c>
      <c r="H410" t="inlineStr">
        <is>
          <t>No</t>
        </is>
      </c>
      <c r="I410" t="inlineStr">
        <is>
          <t>No</t>
        </is>
      </c>
      <c r="J410" t="inlineStr">
        <is>
          <t>0</t>
        </is>
      </c>
      <c r="K410" t="inlineStr">
        <is>
          <t>Wenz, Peter S.</t>
        </is>
      </c>
      <c r="L410" t="inlineStr">
        <is>
          <t>New York : Oxford University Press, 2001.</t>
        </is>
      </c>
      <c r="M410" t="inlineStr">
        <is>
          <t>2001</t>
        </is>
      </c>
      <c r="O410" t="inlineStr">
        <is>
          <t>eng</t>
        </is>
      </c>
      <c r="P410" t="inlineStr">
        <is>
          <t>nyu</t>
        </is>
      </c>
      <c r="R410" t="inlineStr">
        <is>
          <t xml:space="preserve">GE </t>
        </is>
      </c>
      <c r="S410" t="n">
        <v>3</v>
      </c>
      <c r="T410" t="n">
        <v>3</v>
      </c>
      <c r="U410" t="inlineStr">
        <is>
          <t>2007-11-10</t>
        </is>
      </c>
      <c r="V410" t="inlineStr">
        <is>
          <t>2007-11-10</t>
        </is>
      </c>
      <c r="W410" t="inlineStr">
        <is>
          <t>2001-11-06</t>
        </is>
      </c>
      <c r="X410" t="inlineStr">
        <is>
          <t>2001-11-06</t>
        </is>
      </c>
      <c r="Y410" t="n">
        <v>798</v>
      </c>
      <c r="Z410" t="n">
        <v>635</v>
      </c>
      <c r="AA410" t="n">
        <v>640</v>
      </c>
      <c r="AB410" t="n">
        <v>6</v>
      </c>
      <c r="AC410" t="n">
        <v>6</v>
      </c>
      <c r="AD410" t="n">
        <v>36</v>
      </c>
      <c r="AE410" t="n">
        <v>36</v>
      </c>
      <c r="AF410" t="n">
        <v>17</v>
      </c>
      <c r="AG410" t="n">
        <v>17</v>
      </c>
      <c r="AH410" t="n">
        <v>7</v>
      </c>
      <c r="AI410" t="n">
        <v>7</v>
      </c>
      <c r="AJ410" t="n">
        <v>13</v>
      </c>
      <c r="AK410" t="n">
        <v>13</v>
      </c>
      <c r="AL410" t="n">
        <v>4</v>
      </c>
      <c r="AM410" t="n">
        <v>4</v>
      </c>
      <c r="AN410" t="n">
        <v>2</v>
      </c>
      <c r="AO410" t="n">
        <v>2</v>
      </c>
      <c r="AP410" t="inlineStr">
        <is>
          <t>No</t>
        </is>
      </c>
      <c r="AQ410" t="inlineStr">
        <is>
          <t>No</t>
        </is>
      </c>
      <c r="AS410">
        <f>HYPERLINK("https://creighton-primo.hosted.exlibrisgroup.com/primo-explore/search?tab=default_tab&amp;search_scope=EVERYTHING&amp;vid=01CRU&amp;lang=en_US&amp;offset=0&amp;query=any,contains,991003618589702656","Catalog Record")</f>
        <v/>
      </c>
      <c r="AT410">
        <f>HYPERLINK("http://www.worldcat.org/oclc/44627055","WorldCat Record")</f>
        <v/>
      </c>
      <c r="AU410" t="inlineStr">
        <is>
          <t>43073:eng</t>
        </is>
      </c>
      <c r="AV410" t="inlineStr">
        <is>
          <t>44627055</t>
        </is>
      </c>
      <c r="AW410" t="inlineStr">
        <is>
          <t>991003618589702656</t>
        </is>
      </c>
      <c r="AX410" t="inlineStr">
        <is>
          <t>991003618589702656</t>
        </is>
      </c>
      <c r="AY410" t="inlineStr">
        <is>
          <t>2265898470002656</t>
        </is>
      </c>
      <c r="AZ410" t="inlineStr">
        <is>
          <t>BOOK</t>
        </is>
      </c>
      <c r="BB410" t="inlineStr">
        <is>
          <t>9780195133844</t>
        </is>
      </c>
      <c r="BC410" t="inlineStr">
        <is>
          <t>32285004418348</t>
        </is>
      </c>
      <c r="BD410" t="inlineStr">
        <is>
          <t>893246545</t>
        </is>
      </c>
    </row>
    <row r="411">
      <c r="A411" t="inlineStr">
        <is>
          <t>No</t>
        </is>
      </c>
      <c r="B411" t="inlineStr">
        <is>
          <t>GE42 .W48 1994</t>
        </is>
      </c>
      <c r="C411" t="inlineStr">
        <is>
          <t>0                      GE 0042000W  48          1994</t>
        </is>
      </c>
      <c r="D411" t="inlineStr">
        <is>
          <t>An environmental proposal for ethics : the principle of integrity / Laura Westra.</t>
        </is>
      </c>
      <c r="F411" t="inlineStr">
        <is>
          <t>No</t>
        </is>
      </c>
      <c r="G411" t="inlineStr">
        <is>
          <t>1</t>
        </is>
      </c>
      <c r="H411" t="inlineStr">
        <is>
          <t>No</t>
        </is>
      </c>
      <c r="I411" t="inlineStr">
        <is>
          <t>No</t>
        </is>
      </c>
      <c r="J411" t="inlineStr">
        <is>
          <t>0</t>
        </is>
      </c>
      <c r="K411" t="inlineStr">
        <is>
          <t>Westra, Laura.</t>
        </is>
      </c>
      <c r="L411" t="inlineStr">
        <is>
          <t>Lanham, MD : Rowman &amp; Littlefield, c1994.</t>
        </is>
      </c>
      <c r="M411" t="inlineStr">
        <is>
          <t>1994</t>
        </is>
      </c>
      <c r="O411" t="inlineStr">
        <is>
          <t>eng</t>
        </is>
      </c>
      <c r="P411" t="inlineStr">
        <is>
          <t>mdu</t>
        </is>
      </c>
      <c r="Q411" t="inlineStr">
        <is>
          <t>Studies in social and political philosophy</t>
        </is>
      </c>
      <c r="R411" t="inlineStr">
        <is>
          <t xml:space="preserve">GE </t>
        </is>
      </c>
      <c r="S411" t="n">
        <v>1</v>
      </c>
      <c r="T411" t="n">
        <v>1</v>
      </c>
      <c r="U411" t="inlineStr">
        <is>
          <t>2005-09-27</t>
        </is>
      </c>
      <c r="V411" t="inlineStr">
        <is>
          <t>2005-09-27</t>
        </is>
      </c>
      <c r="W411" t="inlineStr">
        <is>
          <t>1994-11-10</t>
        </is>
      </c>
      <c r="X411" t="inlineStr">
        <is>
          <t>1994-11-10</t>
        </is>
      </c>
      <c r="Y411" t="n">
        <v>435</v>
      </c>
      <c r="Z411" t="n">
        <v>357</v>
      </c>
      <c r="AA411" t="n">
        <v>359</v>
      </c>
      <c r="AB411" t="n">
        <v>5</v>
      </c>
      <c r="AC411" t="n">
        <v>5</v>
      </c>
      <c r="AD411" t="n">
        <v>29</v>
      </c>
      <c r="AE411" t="n">
        <v>29</v>
      </c>
      <c r="AF411" t="n">
        <v>10</v>
      </c>
      <c r="AG411" t="n">
        <v>10</v>
      </c>
      <c r="AH411" t="n">
        <v>6</v>
      </c>
      <c r="AI411" t="n">
        <v>6</v>
      </c>
      <c r="AJ411" t="n">
        <v>16</v>
      </c>
      <c r="AK411" t="n">
        <v>16</v>
      </c>
      <c r="AL411" t="n">
        <v>4</v>
      </c>
      <c r="AM411" t="n">
        <v>4</v>
      </c>
      <c r="AN411" t="n">
        <v>2</v>
      </c>
      <c r="AO411" t="n">
        <v>2</v>
      </c>
      <c r="AP411" t="inlineStr">
        <is>
          <t>No</t>
        </is>
      </c>
      <c r="AQ411" t="inlineStr">
        <is>
          <t>Yes</t>
        </is>
      </c>
      <c r="AR411">
        <f>HYPERLINK("http://catalog.hathitrust.org/Record/002792487","HathiTrust Record")</f>
        <v/>
      </c>
      <c r="AS411">
        <f>HYPERLINK("https://creighton-primo.hosted.exlibrisgroup.com/primo-explore/search?tab=default_tab&amp;search_scope=EVERYTHING&amp;vid=01CRU&amp;lang=en_US&amp;offset=0&amp;query=any,contains,991002267539702656","Catalog Record")</f>
        <v/>
      </c>
      <c r="AT411">
        <f>HYPERLINK("http://www.worldcat.org/oclc/29428061","WorldCat Record")</f>
        <v/>
      </c>
      <c r="AU411" t="inlineStr">
        <is>
          <t>836963627:eng</t>
        </is>
      </c>
      <c r="AV411" t="inlineStr">
        <is>
          <t>29428061</t>
        </is>
      </c>
      <c r="AW411" t="inlineStr">
        <is>
          <t>991002267539702656</t>
        </is>
      </c>
      <c r="AX411" t="inlineStr">
        <is>
          <t>991002267539702656</t>
        </is>
      </c>
      <c r="AY411" t="inlineStr">
        <is>
          <t>2269602960002656</t>
        </is>
      </c>
      <c r="AZ411" t="inlineStr">
        <is>
          <t>BOOK</t>
        </is>
      </c>
      <c r="BB411" t="inlineStr">
        <is>
          <t>9780847678945</t>
        </is>
      </c>
      <c r="BC411" t="inlineStr">
        <is>
          <t>32285001957082</t>
        </is>
      </c>
      <c r="BD411" t="inlineStr">
        <is>
          <t>893251016</t>
        </is>
      </c>
    </row>
    <row r="412">
      <c r="A412" t="inlineStr">
        <is>
          <t>No</t>
        </is>
      </c>
      <c r="B412" t="inlineStr">
        <is>
          <t>GE45.D37 F67 1999</t>
        </is>
      </c>
      <c r="C412" t="inlineStr">
        <is>
          <t>0                      GE 0045000D  37                 F  67          1999</t>
        </is>
      </c>
      <c r="D412" t="inlineStr">
        <is>
          <t>Modeling the environment : an introduction to system dynamics models of environmental systems / Andrew Ford.</t>
        </is>
      </c>
      <c r="F412" t="inlineStr">
        <is>
          <t>No</t>
        </is>
      </c>
      <c r="G412" t="inlineStr">
        <is>
          <t>1</t>
        </is>
      </c>
      <c r="H412" t="inlineStr">
        <is>
          <t>No</t>
        </is>
      </c>
      <c r="I412" t="inlineStr">
        <is>
          <t>No</t>
        </is>
      </c>
      <c r="J412" t="inlineStr">
        <is>
          <t>0</t>
        </is>
      </c>
      <c r="K412" t="inlineStr">
        <is>
          <t>Ford, Andrew (Frederick Andrew)</t>
        </is>
      </c>
      <c r="L412" t="inlineStr">
        <is>
          <t>Washington, D.C. : Island Press, c1999.</t>
        </is>
      </c>
      <c r="M412" t="inlineStr">
        <is>
          <t>1999</t>
        </is>
      </c>
      <c r="O412" t="inlineStr">
        <is>
          <t>eng</t>
        </is>
      </c>
      <c r="P412" t="inlineStr">
        <is>
          <t>dcu</t>
        </is>
      </c>
      <c r="R412" t="inlineStr">
        <is>
          <t xml:space="preserve">GE </t>
        </is>
      </c>
      <c r="S412" t="n">
        <v>1</v>
      </c>
      <c r="T412" t="n">
        <v>1</v>
      </c>
      <c r="U412" t="inlineStr">
        <is>
          <t>2000-11-08</t>
        </is>
      </c>
      <c r="V412" t="inlineStr">
        <is>
          <t>2000-11-08</t>
        </is>
      </c>
      <c r="W412" t="inlineStr">
        <is>
          <t>2000-11-08</t>
        </is>
      </c>
      <c r="X412" t="inlineStr">
        <is>
          <t>2000-11-08</t>
        </is>
      </c>
      <c r="Y412" t="n">
        <v>437</v>
      </c>
      <c r="Z412" t="n">
        <v>320</v>
      </c>
      <c r="AA412" t="n">
        <v>389</v>
      </c>
      <c r="AB412" t="n">
        <v>2</v>
      </c>
      <c r="AC412" t="n">
        <v>2</v>
      </c>
      <c r="AD412" t="n">
        <v>10</v>
      </c>
      <c r="AE412" t="n">
        <v>10</v>
      </c>
      <c r="AF412" t="n">
        <v>3</v>
      </c>
      <c r="AG412" t="n">
        <v>3</v>
      </c>
      <c r="AH412" t="n">
        <v>2</v>
      </c>
      <c r="AI412" t="n">
        <v>2</v>
      </c>
      <c r="AJ412" t="n">
        <v>7</v>
      </c>
      <c r="AK412" t="n">
        <v>7</v>
      </c>
      <c r="AL412" t="n">
        <v>1</v>
      </c>
      <c r="AM412" t="n">
        <v>1</v>
      </c>
      <c r="AN412" t="n">
        <v>0</v>
      </c>
      <c r="AO412" t="n">
        <v>0</v>
      </c>
      <c r="AP412" t="inlineStr">
        <is>
          <t>No</t>
        </is>
      </c>
      <c r="AQ412" t="inlineStr">
        <is>
          <t>Yes</t>
        </is>
      </c>
      <c r="AR412">
        <f>HYPERLINK("http://catalog.hathitrust.org/Record/004025604","HathiTrust Record")</f>
        <v/>
      </c>
      <c r="AS412">
        <f>HYPERLINK("https://creighton-primo.hosted.exlibrisgroup.com/primo-explore/search?tab=default_tab&amp;search_scope=EVERYTHING&amp;vid=01CRU&amp;lang=en_US&amp;offset=0&amp;query=any,contains,991003305689702656","Catalog Record")</f>
        <v/>
      </c>
      <c r="AT412">
        <f>HYPERLINK("http://www.worldcat.org/oclc/40856984","WorldCat Record")</f>
        <v/>
      </c>
      <c r="AU412" t="inlineStr">
        <is>
          <t>2288203110:eng</t>
        </is>
      </c>
      <c r="AV412" t="inlineStr">
        <is>
          <t>40856984</t>
        </is>
      </c>
      <c r="AW412" t="inlineStr">
        <is>
          <t>991003305689702656</t>
        </is>
      </c>
      <c r="AX412" t="inlineStr">
        <is>
          <t>991003305689702656</t>
        </is>
      </c>
      <c r="AY412" t="inlineStr">
        <is>
          <t>2257526620002656</t>
        </is>
      </c>
      <c r="AZ412" t="inlineStr">
        <is>
          <t>BOOK</t>
        </is>
      </c>
      <c r="BB412" t="inlineStr">
        <is>
          <t>9781559636001</t>
        </is>
      </c>
      <c r="BC412" t="inlineStr">
        <is>
          <t>32285004264718</t>
        </is>
      </c>
      <c r="BD412" t="inlineStr">
        <is>
          <t>893252235</t>
        </is>
      </c>
    </row>
    <row r="413">
      <c r="A413" t="inlineStr">
        <is>
          <t>No</t>
        </is>
      </c>
      <c r="B413" t="inlineStr">
        <is>
          <t>GE45.S73 O88 1995</t>
        </is>
      </c>
      <c r="C413" t="inlineStr">
        <is>
          <t>0                      GE 0045000S  73                 O  88          1995</t>
        </is>
      </c>
      <c r="D413" t="inlineStr">
        <is>
          <t>Environmental statistics and data analysis / Wayne R. Ott.</t>
        </is>
      </c>
      <c r="F413" t="inlineStr">
        <is>
          <t>No</t>
        </is>
      </c>
      <c r="G413" t="inlineStr">
        <is>
          <t>1</t>
        </is>
      </c>
      <c r="H413" t="inlineStr">
        <is>
          <t>No</t>
        </is>
      </c>
      <c r="I413" t="inlineStr">
        <is>
          <t>No</t>
        </is>
      </c>
      <c r="J413" t="inlineStr">
        <is>
          <t>0</t>
        </is>
      </c>
      <c r="K413" t="inlineStr">
        <is>
          <t>Ott, Wayne R.</t>
        </is>
      </c>
      <c r="L413" t="inlineStr">
        <is>
          <t>Boca Raton : Lewis Publishers, c1995.</t>
        </is>
      </c>
      <c r="M413" t="inlineStr">
        <is>
          <t>1995</t>
        </is>
      </c>
      <c r="O413" t="inlineStr">
        <is>
          <t>eng</t>
        </is>
      </c>
      <c r="P413" t="inlineStr">
        <is>
          <t>flu</t>
        </is>
      </c>
      <c r="R413" t="inlineStr">
        <is>
          <t xml:space="preserve">GE </t>
        </is>
      </c>
      <c r="S413" t="n">
        <v>2</v>
      </c>
      <c r="T413" t="n">
        <v>2</v>
      </c>
      <c r="U413" t="inlineStr">
        <is>
          <t>1997-11-04</t>
        </is>
      </c>
      <c r="V413" t="inlineStr">
        <is>
          <t>1997-11-04</t>
        </is>
      </c>
      <c r="W413" t="inlineStr">
        <is>
          <t>1997-03-13</t>
        </is>
      </c>
      <c r="X413" t="inlineStr">
        <is>
          <t>1997-03-13</t>
        </is>
      </c>
      <c r="Y413" t="n">
        <v>643</v>
      </c>
      <c r="Z413" t="n">
        <v>491</v>
      </c>
      <c r="AA413" t="n">
        <v>512</v>
      </c>
      <c r="AB413" t="n">
        <v>3</v>
      </c>
      <c r="AC413" t="n">
        <v>3</v>
      </c>
      <c r="AD413" t="n">
        <v>18</v>
      </c>
      <c r="AE413" t="n">
        <v>18</v>
      </c>
      <c r="AF413" t="n">
        <v>8</v>
      </c>
      <c r="AG413" t="n">
        <v>8</v>
      </c>
      <c r="AH413" t="n">
        <v>3</v>
      </c>
      <c r="AI413" t="n">
        <v>3</v>
      </c>
      <c r="AJ413" t="n">
        <v>10</v>
      </c>
      <c r="AK413" t="n">
        <v>10</v>
      </c>
      <c r="AL413" t="n">
        <v>2</v>
      </c>
      <c r="AM413" t="n">
        <v>2</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HYPERLINK("https://creighton-primo.hosted.exlibrisgroup.com/primo-explore/search?tab=default_tab&amp;search_scope=EVERYTHING&amp;vid=01CRU&amp;lang=en_US&amp;offset=0&amp;query=any,contains,991002327209702656","Catalog Record")</f>
        <v/>
      </c>
      <c r="AT413">
        <f>HYPERLINK("http://www.worldcat.org/oclc/30318207","WorldCat Record")</f>
        <v/>
      </c>
      <c r="AU413" t="inlineStr">
        <is>
          <t>9077969:eng</t>
        </is>
      </c>
      <c r="AV413" t="inlineStr">
        <is>
          <t>30318207</t>
        </is>
      </c>
      <c r="AW413" t="inlineStr">
        <is>
          <t>991002327209702656</t>
        </is>
      </c>
      <c r="AX413" t="inlineStr">
        <is>
          <t>991002327209702656</t>
        </is>
      </c>
      <c r="AY413" t="inlineStr">
        <is>
          <t>2265361320002656</t>
        </is>
      </c>
      <c r="AZ413" t="inlineStr">
        <is>
          <t>BOOK</t>
        </is>
      </c>
      <c r="BB413" t="inlineStr">
        <is>
          <t>9780873718486</t>
        </is>
      </c>
      <c r="BC413" t="inlineStr">
        <is>
          <t>32285002442449</t>
        </is>
      </c>
      <c r="BD413" t="inlineStr">
        <is>
          <t>893703942</t>
        </is>
      </c>
    </row>
    <row r="414">
      <c r="A414" t="inlineStr">
        <is>
          <t>No</t>
        </is>
      </c>
      <c r="B414" t="inlineStr">
        <is>
          <t>GE45.S75 E58 1994</t>
        </is>
      </c>
      <c r="C414" t="inlineStr">
        <is>
          <t>0                      GE 0045000S  75                 E  58          1994</t>
        </is>
      </c>
      <c r="D414" t="inlineStr">
        <is>
          <t>Environmental statistics, assessment, and forecasting / edited by C. Richard Cothern, N. Phillip Ross.</t>
        </is>
      </c>
      <c r="F414" t="inlineStr">
        <is>
          <t>No</t>
        </is>
      </c>
      <c r="G414" t="inlineStr">
        <is>
          <t>1</t>
        </is>
      </c>
      <c r="H414" t="inlineStr">
        <is>
          <t>No</t>
        </is>
      </c>
      <c r="I414" t="inlineStr">
        <is>
          <t>No</t>
        </is>
      </c>
      <c r="J414" t="inlineStr">
        <is>
          <t>0</t>
        </is>
      </c>
      <c r="L414" t="inlineStr">
        <is>
          <t>Boca Raton : Lewis Publishers, c1994.</t>
        </is>
      </c>
      <c r="M414" t="inlineStr">
        <is>
          <t>1994</t>
        </is>
      </c>
      <c r="O414" t="inlineStr">
        <is>
          <t>eng</t>
        </is>
      </c>
      <c r="P414" t="inlineStr">
        <is>
          <t>flu</t>
        </is>
      </c>
      <c r="R414" t="inlineStr">
        <is>
          <t xml:space="preserve">GE </t>
        </is>
      </c>
      <c r="S414" t="n">
        <v>4</v>
      </c>
      <c r="T414" t="n">
        <v>4</v>
      </c>
      <c r="U414" t="inlineStr">
        <is>
          <t>1994-08-23</t>
        </is>
      </c>
      <c r="V414" t="inlineStr">
        <is>
          <t>1994-08-23</t>
        </is>
      </c>
      <c r="W414" t="inlineStr">
        <is>
          <t>1994-06-29</t>
        </is>
      </c>
      <c r="X414" t="inlineStr">
        <is>
          <t>1994-06-29</t>
        </is>
      </c>
      <c r="Y414" t="n">
        <v>271</v>
      </c>
      <c r="Z414" t="n">
        <v>205</v>
      </c>
      <c r="AA414" t="n">
        <v>210</v>
      </c>
      <c r="AB414" t="n">
        <v>3</v>
      </c>
      <c r="AC414" t="n">
        <v>3</v>
      </c>
      <c r="AD414" t="n">
        <v>11</v>
      </c>
      <c r="AE414" t="n">
        <v>11</v>
      </c>
      <c r="AF414" t="n">
        <v>3</v>
      </c>
      <c r="AG414" t="n">
        <v>3</v>
      </c>
      <c r="AH414" t="n">
        <v>2</v>
      </c>
      <c r="AI414" t="n">
        <v>2</v>
      </c>
      <c r="AJ414" t="n">
        <v>5</v>
      </c>
      <c r="AK414" t="n">
        <v>5</v>
      </c>
      <c r="AL414" t="n">
        <v>2</v>
      </c>
      <c r="AM414" t="n">
        <v>2</v>
      </c>
      <c r="AN414" t="n">
        <v>1</v>
      </c>
      <c r="AO414" t="n">
        <v>1</v>
      </c>
      <c r="AP414" t="inlineStr">
        <is>
          <t>No</t>
        </is>
      </c>
      <c r="AQ414" t="inlineStr">
        <is>
          <t>No</t>
        </is>
      </c>
      <c r="AS414">
        <f>HYPERLINK("https://creighton-primo.hosted.exlibrisgroup.com/primo-explore/search?tab=default_tab&amp;search_scope=EVERYTHING&amp;vid=01CRU&amp;lang=en_US&amp;offset=0&amp;query=any,contains,991002205369702656","Catalog Record")</f>
        <v/>
      </c>
      <c r="AT414">
        <f>HYPERLINK("http://www.worldcat.org/oclc/28376007","WorldCat Record")</f>
        <v/>
      </c>
      <c r="AU414" t="inlineStr">
        <is>
          <t>375575198:eng</t>
        </is>
      </c>
      <c r="AV414" t="inlineStr">
        <is>
          <t>28376007</t>
        </is>
      </c>
      <c r="AW414" t="inlineStr">
        <is>
          <t>991002205369702656</t>
        </is>
      </c>
      <c r="AX414" t="inlineStr">
        <is>
          <t>991002205369702656</t>
        </is>
      </c>
      <c r="AY414" t="inlineStr">
        <is>
          <t>2256970430002656</t>
        </is>
      </c>
      <c r="AZ414" t="inlineStr">
        <is>
          <t>BOOK</t>
        </is>
      </c>
      <c r="BB414" t="inlineStr">
        <is>
          <t>9780873719360</t>
        </is>
      </c>
      <c r="BC414" t="inlineStr">
        <is>
          <t>32285001930030</t>
        </is>
      </c>
      <c r="BD414" t="inlineStr">
        <is>
          <t>893603309</t>
        </is>
      </c>
    </row>
    <row r="415">
      <c r="A415" t="inlineStr">
        <is>
          <t>No</t>
        </is>
      </c>
      <c r="B415" t="inlineStr">
        <is>
          <t>GE5 .D34 2003</t>
        </is>
      </c>
      <c r="C415" t="inlineStr">
        <is>
          <t>0                      GE 0005000D  34          2003</t>
        </is>
      </c>
      <c r="D415" t="inlineStr">
        <is>
          <t>Earth system analysis for sustainability / edited by Hans Joachim Schellnhuber ... [et al.].</t>
        </is>
      </c>
      <c r="F415" t="inlineStr">
        <is>
          <t>No</t>
        </is>
      </c>
      <c r="G415" t="inlineStr">
        <is>
          <t>1</t>
        </is>
      </c>
      <c r="H415" t="inlineStr">
        <is>
          <t>No</t>
        </is>
      </c>
      <c r="I415" t="inlineStr">
        <is>
          <t>No</t>
        </is>
      </c>
      <c r="J415" t="inlineStr">
        <is>
          <t>0</t>
        </is>
      </c>
      <c r="K415" t="inlineStr">
        <is>
          <t>Dahlem Workshop on Earth System Analysis for Sustainability (2003 : Berlin, Germany)</t>
        </is>
      </c>
      <c r="L415" t="inlineStr">
        <is>
          <t>Cambridge, Mass. : MIT Press in cooperation with Dahlem University Press, c2004.</t>
        </is>
      </c>
      <c r="M415" t="inlineStr">
        <is>
          <t>2004</t>
        </is>
      </c>
      <c r="O415" t="inlineStr">
        <is>
          <t>eng</t>
        </is>
      </c>
      <c r="P415" t="inlineStr">
        <is>
          <t>mau</t>
        </is>
      </c>
      <c r="R415" t="inlineStr">
        <is>
          <t xml:space="preserve">GE </t>
        </is>
      </c>
      <c r="S415" t="n">
        <v>1</v>
      </c>
      <c r="T415" t="n">
        <v>1</v>
      </c>
      <c r="U415" t="inlineStr">
        <is>
          <t>2008-06-02</t>
        </is>
      </c>
      <c r="V415" t="inlineStr">
        <is>
          <t>2008-06-02</t>
        </is>
      </c>
      <c r="W415" t="inlineStr">
        <is>
          <t>2008-06-02</t>
        </is>
      </c>
      <c r="X415" t="inlineStr">
        <is>
          <t>2008-06-02</t>
        </is>
      </c>
      <c r="Y415" t="n">
        <v>253</v>
      </c>
      <c r="Z415" t="n">
        <v>172</v>
      </c>
      <c r="AA415" t="n">
        <v>211</v>
      </c>
      <c r="AB415" t="n">
        <v>1</v>
      </c>
      <c r="AC415" t="n">
        <v>1</v>
      </c>
      <c r="AD415" t="n">
        <v>4</v>
      </c>
      <c r="AE415" t="n">
        <v>4</v>
      </c>
      <c r="AF415" t="n">
        <v>2</v>
      </c>
      <c r="AG415" t="n">
        <v>2</v>
      </c>
      <c r="AH415" t="n">
        <v>2</v>
      </c>
      <c r="AI415" t="n">
        <v>2</v>
      </c>
      <c r="AJ415" t="n">
        <v>1</v>
      </c>
      <c r="AK415" t="n">
        <v>1</v>
      </c>
      <c r="AL415" t="n">
        <v>0</v>
      </c>
      <c r="AM415" t="n">
        <v>0</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HYPERLINK("https://creighton-primo.hosted.exlibrisgroup.com/primo-explore/search?tab=default_tab&amp;search_scope=EVERYTHING&amp;vid=01CRU&amp;lang=en_US&amp;offset=0&amp;query=any,contains,991005221919702656","Catalog Record")</f>
        <v/>
      </c>
      <c r="AT415">
        <f>HYPERLINK("http://www.worldcat.org/oclc/56660455","WorldCat Record")</f>
        <v/>
      </c>
      <c r="AU415" t="inlineStr">
        <is>
          <t>3856946733:eng</t>
        </is>
      </c>
      <c r="AV415" t="inlineStr">
        <is>
          <t>56660455</t>
        </is>
      </c>
      <c r="AW415" t="inlineStr">
        <is>
          <t>991005221919702656</t>
        </is>
      </c>
      <c r="AX415" t="inlineStr">
        <is>
          <t>991005221919702656</t>
        </is>
      </c>
      <c r="AY415" t="inlineStr">
        <is>
          <t>2258719700002656</t>
        </is>
      </c>
      <c r="AZ415" t="inlineStr">
        <is>
          <t>BOOK</t>
        </is>
      </c>
      <c r="BB415" t="inlineStr">
        <is>
          <t>9780262195133</t>
        </is>
      </c>
      <c r="BC415" t="inlineStr">
        <is>
          <t>32285005441315</t>
        </is>
      </c>
      <c r="BD415" t="inlineStr">
        <is>
          <t>893263690</t>
        </is>
      </c>
    </row>
    <row r="416">
      <c r="A416" t="inlineStr">
        <is>
          <t>No</t>
        </is>
      </c>
      <c r="B416" t="inlineStr">
        <is>
          <t>GE56 .G67 2008</t>
        </is>
      </c>
      <c r="C416" t="inlineStr">
        <is>
          <t>0                      GE 0056000G  67          2008</t>
        </is>
      </c>
      <c r="D416" t="inlineStr">
        <is>
          <t>Our purpose : the Nobel Peace Prize lecture 2007 / Al Gore.</t>
        </is>
      </c>
      <c r="F416" t="inlineStr">
        <is>
          <t>No</t>
        </is>
      </c>
      <c r="G416" t="inlineStr">
        <is>
          <t>1</t>
        </is>
      </c>
      <c r="H416" t="inlineStr">
        <is>
          <t>No</t>
        </is>
      </c>
      <c r="I416" t="inlineStr">
        <is>
          <t>No</t>
        </is>
      </c>
      <c r="J416" t="inlineStr">
        <is>
          <t>0</t>
        </is>
      </c>
      <c r="K416" t="inlineStr">
        <is>
          <t>Gore, Al, 1948-</t>
        </is>
      </c>
      <c r="L416" t="inlineStr">
        <is>
          <t>New York, NY : Rodale : Distributed to the book trade by Macmillan, c2008.</t>
        </is>
      </c>
      <c r="M416" t="inlineStr">
        <is>
          <t>2008</t>
        </is>
      </c>
      <c r="O416" t="inlineStr">
        <is>
          <t>eng</t>
        </is>
      </c>
      <c r="P416" t="inlineStr">
        <is>
          <t>nyu</t>
        </is>
      </c>
      <c r="R416" t="inlineStr">
        <is>
          <t xml:space="preserve">GE </t>
        </is>
      </c>
      <c r="S416" t="n">
        <v>2</v>
      </c>
      <c r="T416" t="n">
        <v>2</v>
      </c>
      <c r="U416" t="inlineStr">
        <is>
          <t>2010-12-08</t>
        </is>
      </c>
      <c r="V416" t="inlineStr">
        <is>
          <t>2010-12-08</t>
        </is>
      </c>
      <c r="W416" t="inlineStr">
        <is>
          <t>2008-10-07</t>
        </is>
      </c>
      <c r="X416" t="inlineStr">
        <is>
          <t>2008-10-07</t>
        </is>
      </c>
      <c r="Y416" t="n">
        <v>193</v>
      </c>
      <c r="Z416" t="n">
        <v>162</v>
      </c>
      <c r="AA416" t="n">
        <v>163</v>
      </c>
      <c r="AB416" t="n">
        <v>1</v>
      </c>
      <c r="AC416" t="n">
        <v>1</v>
      </c>
      <c r="AD416" t="n">
        <v>8</v>
      </c>
      <c r="AE416" t="n">
        <v>8</v>
      </c>
      <c r="AF416" t="n">
        <v>3</v>
      </c>
      <c r="AG416" t="n">
        <v>3</v>
      </c>
      <c r="AH416" t="n">
        <v>2</v>
      </c>
      <c r="AI416" t="n">
        <v>2</v>
      </c>
      <c r="AJ416" t="n">
        <v>7</v>
      </c>
      <c r="AK416" t="n">
        <v>7</v>
      </c>
      <c r="AL416" t="n">
        <v>0</v>
      </c>
      <c r="AM416" t="n">
        <v>0</v>
      </c>
      <c r="AN416" t="n">
        <v>0</v>
      </c>
      <c r="AO416" t="n">
        <v>0</v>
      </c>
      <c r="AP416" t="inlineStr">
        <is>
          <t>No</t>
        </is>
      </c>
      <c r="AQ416" t="inlineStr">
        <is>
          <t>Yes</t>
        </is>
      </c>
      <c r="AR416">
        <f>HYPERLINK("http://catalog.hathitrust.org/Record/005860527","HathiTrust Record")</f>
        <v/>
      </c>
      <c r="AS416">
        <f>HYPERLINK("https://creighton-primo.hosted.exlibrisgroup.com/primo-explore/search?tab=default_tab&amp;search_scope=EVERYTHING&amp;vid=01CRU&amp;lang=en_US&amp;offset=0&amp;query=any,contains,991005268899702656","Catalog Record")</f>
        <v/>
      </c>
      <c r="AT416">
        <f>HYPERLINK("http://www.worldcat.org/oclc/191732504","WorldCat Record")</f>
        <v/>
      </c>
      <c r="AU416" t="inlineStr">
        <is>
          <t>477418191:eng</t>
        </is>
      </c>
      <c r="AV416" t="inlineStr">
        <is>
          <t>191732504</t>
        </is>
      </c>
      <c r="AW416" t="inlineStr">
        <is>
          <t>991005268899702656</t>
        </is>
      </c>
      <c r="AX416" t="inlineStr">
        <is>
          <t>991005268899702656</t>
        </is>
      </c>
      <c r="AY416" t="inlineStr">
        <is>
          <t>2266896440002656</t>
        </is>
      </c>
      <c r="AZ416" t="inlineStr">
        <is>
          <t>BOOK</t>
        </is>
      </c>
      <c r="BB416" t="inlineStr">
        <is>
          <t>9781605299907</t>
        </is>
      </c>
      <c r="BC416" t="inlineStr">
        <is>
          <t>32285005461826</t>
        </is>
      </c>
      <c r="BD416" t="inlineStr">
        <is>
          <t>893720105</t>
        </is>
      </c>
    </row>
    <row r="417">
      <c r="A417" t="inlineStr">
        <is>
          <t>No</t>
        </is>
      </c>
      <c r="B417" t="inlineStr">
        <is>
          <t>GE60 .R455  2008</t>
        </is>
      </c>
      <c r="C417" t="inlineStr">
        <is>
          <t>0                      GE 0060000R  455         2008</t>
        </is>
      </c>
      <c r="D417" t="inlineStr">
        <is>
          <t>Green jobs : working for people and the environment / Michael Renner, Sean Sweeney, Jill Kubit ; Lisa Mastny, editor.</t>
        </is>
      </c>
      <c r="F417" t="inlineStr">
        <is>
          <t>No</t>
        </is>
      </c>
      <c r="G417" t="inlineStr">
        <is>
          <t>1</t>
        </is>
      </c>
      <c r="H417" t="inlineStr">
        <is>
          <t>No</t>
        </is>
      </c>
      <c r="I417" t="inlineStr">
        <is>
          <t>No</t>
        </is>
      </c>
      <c r="J417" t="inlineStr">
        <is>
          <t>0</t>
        </is>
      </c>
      <c r="K417" t="inlineStr">
        <is>
          <t>Renner, Michael.</t>
        </is>
      </c>
      <c r="L417" t="inlineStr">
        <is>
          <t>Washington, DC : Worldwatch Institute, 2008.</t>
        </is>
      </c>
      <c r="M417" t="inlineStr">
        <is>
          <t>2008</t>
        </is>
      </c>
      <c r="O417" t="inlineStr">
        <is>
          <t>eng</t>
        </is>
      </c>
      <c r="P417" t="inlineStr">
        <is>
          <t>dcu</t>
        </is>
      </c>
      <c r="Q417" t="inlineStr">
        <is>
          <t>Worldwatch report ; 177</t>
        </is>
      </c>
      <c r="R417" t="inlineStr">
        <is>
          <t xml:space="preserve">GE </t>
        </is>
      </c>
      <c r="S417" t="n">
        <v>2</v>
      </c>
      <c r="T417" t="n">
        <v>2</v>
      </c>
      <c r="U417" t="inlineStr">
        <is>
          <t>2009-11-05</t>
        </is>
      </c>
      <c r="V417" t="inlineStr">
        <is>
          <t>2009-11-05</t>
        </is>
      </c>
      <c r="W417" t="inlineStr">
        <is>
          <t>2009-03-03</t>
        </is>
      </c>
      <c r="X417" t="inlineStr">
        <is>
          <t>2009-03-03</t>
        </is>
      </c>
      <c r="Y417" t="n">
        <v>400</v>
      </c>
      <c r="Z417" t="n">
        <v>347</v>
      </c>
      <c r="AA417" t="n">
        <v>353</v>
      </c>
      <c r="AB417" t="n">
        <v>5</v>
      </c>
      <c r="AC417" t="n">
        <v>5</v>
      </c>
      <c r="AD417" t="n">
        <v>18</v>
      </c>
      <c r="AE417" t="n">
        <v>18</v>
      </c>
      <c r="AF417" t="n">
        <v>7</v>
      </c>
      <c r="AG417" t="n">
        <v>7</v>
      </c>
      <c r="AH417" t="n">
        <v>4</v>
      </c>
      <c r="AI417" t="n">
        <v>4</v>
      </c>
      <c r="AJ417" t="n">
        <v>8</v>
      </c>
      <c r="AK417" t="n">
        <v>8</v>
      </c>
      <c r="AL417" t="n">
        <v>4</v>
      </c>
      <c r="AM417" t="n">
        <v>4</v>
      </c>
      <c r="AN417" t="n">
        <v>0</v>
      </c>
      <c r="AO417" t="n">
        <v>0</v>
      </c>
      <c r="AP417" t="inlineStr">
        <is>
          <t>No</t>
        </is>
      </c>
      <c r="AQ417" t="inlineStr">
        <is>
          <t>No</t>
        </is>
      </c>
      <c r="AS417">
        <f>HYPERLINK("https://creighton-primo.hosted.exlibrisgroup.com/primo-explore/search?tab=default_tab&amp;search_scope=EVERYTHING&amp;vid=01CRU&amp;lang=en_US&amp;offset=0&amp;query=any,contains,991005296809702656","Catalog Record")</f>
        <v/>
      </c>
      <c r="AT417">
        <f>HYPERLINK("http://www.worldcat.org/oclc/272967834","WorldCat Record")</f>
        <v/>
      </c>
      <c r="AU417" t="inlineStr">
        <is>
          <t>375784726:eng</t>
        </is>
      </c>
      <c r="AV417" t="inlineStr">
        <is>
          <t>272967834</t>
        </is>
      </c>
      <c r="AW417" t="inlineStr">
        <is>
          <t>991005296809702656</t>
        </is>
      </c>
      <c r="AX417" t="inlineStr">
        <is>
          <t>991005296809702656</t>
        </is>
      </c>
      <c r="AY417" t="inlineStr">
        <is>
          <t>2257231820002656</t>
        </is>
      </c>
      <c r="AZ417" t="inlineStr">
        <is>
          <t>BOOK</t>
        </is>
      </c>
      <c r="BB417" t="inlineStr">
        <is>
          <t>9781878071866</t>
        </is>
      </c>
      <c r="BC417" t="inlineStr">
        <is>
          <t>32285005505473</t>
        </is>
      </c>
      <c r="BD417" t="inlineStr">
        <is>
          <t>893527253</t>
        </is>
      </c>
    </row>
    <row r="418">
      <c r="A418" t="inlineStr">
        <is>
          <t>No</t>
        </is>
      </c>
      <c r="B418" t="inlineStr">
        <is>
          <t>GE70 .B68 1995</t>
        </is>
      </c>
      <c r="C418" t="inlineStr">
        <is>
          <t>0                      GE 0070000B  68          1995</t>
        </is>
      </c>
      <c r="D418" t="inlineStr">
        <is>
          <t>Educating for an ecologically sustainable culture : rethinking moral education, creativity, intelligence, and other modern orthodoxies / C.A. Bowers.</t>
        </is>
      </c>
      <c r="F418" t="inlineStr">
        <is>
          <t>No</t>
        </is>
      </c>
      <c r="G418" t="inlineStr">
        <is>
          <t>1</t>
        </is>
      </c>
      <c r="H418" t="inlineStr">
        <is>
          <t>No</t>
        </is>
      </c>
      <c r="I418" t="inlineStr">
        <is>
          <t>No</t>
        </is>
      </c>
      <c r="J418" t="inlineStr">
        <is>
          <t>0</t>
        </is>
      </c>
      <c r="K418" t="inlineStr">
        <is>
          <t>Bowers, C. A.</t>
        </is>
      </c>
      <c r="L418" t="inlineStr">
        <is>
          <t>Albany, N.Y. : State University of New York Press, [1995]</t>
        </is>
      </c>
      <c r="M418" t="inlineStr">
        <is>
          <t>1995</t>
        </is>
      </c>
      <c r="O418" t="inlineStr">
        <is>
          <t>eng</t>
        </is>
      </c>
      <c r="P418" t="inlineStr">
        <is>
          <t>nyu</t>
        </is>
      </c>
      <c r="Q418" t="inlineStr">
        <is>
          <t>SUNY series in environmental public policy</t>
        </is>
      </c>
      <c r="R418" t="inlineStr">
        <is>
          <t xml:space="preserve">GE </t>
        </is>
      </c>
      <c r="S418" t="n">
        <v>7</v>
      </c>
      <c r="T418" t="n">
        <v>7</v>
      </c>
      <c r="U418" t="inlineStr">
        <is>
          <t>2007-10-07</t>
        </is>
      </c>
      <c r="V418" t="inlineStr">
        <is>
          <t>2007-10-07</t>
        </is>
      </c>
      <c r="W418" t="inlineStr">
        <is>
          <t>1996-01-10</t>
        </is>
      </c>
      <c r="X418" t="inlineStr">
        <is>
          <t>1996-01-10</t>
        </is>
      </c>
      <c r="Y418" t="n">
        <v>476</v>
      </c>
      <c r="Z418" t="n">
        <v>390</v>
      </c>
      <c r="AA418" t="n">
        <v>395</v>
      </c>
      <c r="AB418" t="n">
        <v>3</v>
      </c>
      <c r="AC418" t="n">
        <v>3</v>
      </c>
      <c r="AD418" t="n">
        <v>20</v>
      </c>
      <c r="AE418" t="n">
        <v>20</v>
      </c>
      <c r="AF418" t="n">
        <v>9</v>
      </c>
      <c r="AG418" t="n">
        <v>9</v>
      </c>
      <c r="AH418" t="n">
        <v>3</v>
      </c>
      <c r="AI418" t="n">
        <v>3</v>
      </c>
      <c r="AJ418" t="n">
        <v>10</v>
      </c>
      <c r="AK418" t="n">
        <v>10</v>
      </c>
      <c r="AL418" t="n">
        <v>2</v>
      </c>
      <c r="AM418" t="n">
        <v>2</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HYPERLINK("https://creighton-primo.hosted.exlibrisgroup.com/primo-explore/search?tab=default_tab&amp;search_scope=EVERYTHING&amp;vid=01CRU&amp;lang=en_US&amp;offset=0&amp;query=any,contains,991002374359702656","Catalog Record")</f>
        <v/>
      </c>
      <c r="AT418">
        <f>HYPERLINK("http://www.worldcat.org/oclc/30892872","WorldCat Record")</f>
        <v/>
      </c>
      <c r="AU418" t="inlineStr">
        <is>
          <t>890268869:eng</t>
        </is>
      </c>
      <c r="AV418" t="inlineStr">
        <is>
          <t>30892872</t>
        </is>
      </c>
      <c r="AW418" t="inlineStr">
        <is>
          <t>991002374359702656</t>
        </is>
      </c>
      <c r="AX418" t="inlineStr">
        <is>
          <t>991002374359702656</t>
        </is>
      </c>
      <c r="AY418" t="inlineStr">
        <is>
          <t>2270046980002656</t>
        </is>
      </c>
      <c r="AZ418" t="inlineStr">
        <is>
          <t>BOOK</t>
        </is>
      </c>
      <c r="BB418" t="inlineStr">
        <is>
          <t>9780791424971</t>
        </is>
      </c>
      <c r="BC418" t="inlineStr">
        <is>
          <t>32285002116399</t>
        </is>
      </c>
      <c r="BD418" t="inlineStr">
        <is>
          <t>893440082</t>
        </is>
      </c>
    </row>
    <row r="419">
      <c r="A419" t="inlineStr">
        <is>
          <t>No</t>
        </is>
      </c>
      <c r="B419" t="inlineStr">
        <is>
          <t>GE70 .E583 1994</t>
        </is>
      </c>
      <c r="C419" t="inlineStr">
        <is>
          <t>0                      GE 0070000E  583         1994</t>
        </is>
      </c>
      <c r="D419" t="inlineStr">
        <is>
          <t>Environmental remote sensing from regional to global scales / edited by Giles M. Foody and Paul J. Curran.</t>
        </is>
      </c>
      <c r="F419" t="inlineStr">
        <is>
          <t>No</t>
        </is>
      </c>
      <c r="G419" t="inlineStr">
        <is>
          <t>1</t>
        </is>
      </c>
      <c r="H419" t="inlineStr">
        <is>
          <t>No</t>
        </is>
      </c>
      <c r="I419" t="inlineStr">
        <is>
          <t>No</t>
        </is>
      </c>
      <c r="J419" t="inlineStr">
        <is>
          <t>0</t>
        </is>
      </c>
      <c r="L419" t="inlineStr">
        <is>
          <t>Chichester ; New York : Wiley, c1994.</t>
        </is>
      </c>
      <c r="M419" t="inlineStr">
        <is>
          <t>1994</t>
        </is>
      </c>
      <c r="O419" t="inlineStr">
        <is>
          <t>eng</t>
        </is>
      </c>
      <c r="P419" t="inlineStr">
        <is>
          <t>enk</t>
        </is>
      </c>
      <c r="R419" t="inlineStr">
        <is>
          <t xml:space="preserve">GE </t>
        </is>
      </c>
      <c r="S419" t="n">
        <v>11</v>
      </c>
      <c r="T419" t="n">
        <v>11</v>
      </c>
      <c r="U419" t="inlineStr">
        <is>
          <t>2003-12-02</t>
        </is>
      </c>
      <c r="V419" t="inlineStr">
        <is>
          <t>2003-12-02</t>
        </is>
      </c>
      <c r="W419" t="inlineStr">
        <is>
          <t>1994-11-22</t>
        </is>
      </c>
      <c r="X419" t="inlineStr">
        <is>
          <t>1994-11-22</t>
        </is>
      </c>
      <c r="Y419" t="n">
        <v>415</v>
      </c>
      <c r="Z419" t="n">
        <v>251</v>
      </c>
      <c r="AA419" t="n">
        <v>256</v>
      </c>
      <c r="AB419" t="n">
        <v>5</v>
      </c>
      <c r="AC419" t="n">
        <v>5</v>
      </c>
      <c r="AD419" t="n">
        <v>9</v>
      </c>
      <c r="AE419" t="n">
        <v>9</v>
      </c>
      <c r="AF419" t="n">
        <v>2</v>
      </c>
      <c r="AG419" t="n">
        <v>2</v>
      </c>
      <c r="AH419" t="n">
        <v>2</v>
      </c>
      <c r="AI419" t="n">
        <v>2</v>
      </c>
      <c r="AJ419" t="n">
        <v>3</v>
      </c>
      <c r="AK419" t="n">
        <v>3</v>
      </c>
      <c r="AL419" t="n">
        <v>4</v>
      </c>
      <c r="AM419" t="n">
        <v>4</v>
      </c>
      <c r="AN419" t="n">
        <v>0</v>
      </c>
      <c r="AO419" t="n">
        <v>0</v>
      </c>
      <c r="AP419" t="inlineStr">
        <is>
          <t>No</t>
        </is>
      </c>
      <c r="AQ419" t="inlineStr">
        <is>
          <t>Yes</t>
        </is>
      </c>
      <c r="AR419">
        <f>HYPERLINK("http://catalog.hathitrust.org/Record/002898270","HathiTrust Record")</f>
        <v/>
      </c>
      <c r="AS419">
        <f>HYPERLINK("https://creighton-primo.hosted.exlibrisgroup.com/primo-explore/search?tab=default_tab&amp;search_scope=EVERYTHING&amp;vid=01CRU&amp;lang=en_US&amp;offset=0&amp;query=any,contains,991002209619702656","Catalog Record")</f>
        <v/>
      </c>
      <c r="AT419">
        <f>HYPERLINK("http://www.worldcat.org/oclc/28420151","WorldCat Record")</f>
        <v/>
      </c>
      <c r="AU419" t="inlineStr">
        <is>
          <t>181254473:eng</t>
        </is>
      </c>
      <c r="AV419" t="inlineStr">
        <is>
          <t>28420151</t>
        </is>
      </c>
      <c r="AW419" t="inlineStr">
        <is>
          <t>991002209619702656</t>
        </is>
      </c>
      <c r="AX419" t="inlineStr">
        <is>
          <t>991002209619702656</t>
        </is>
      </c>
      <c r="AY419" t="inlineStr">
        <is>
          <t>2260561990002656</t>
        </is>
      </c>
      <c r="AZ419" t="inlineStr">
        <is>
          <t>BOOK</t>
        </is>
      </c>
      <c r="BB419" t="inlineStr">
        <is>
          <t>9780471944348</t>
        </is>
      </c>
      <c r="BC419" t="inlineStr">
        <is>
          <t>32285001959674</t>
        </is>
      </c>
      <c r="BD419" t="inlineStr">
        <is>
          <t>893615831</t>
        </is>
      </c>
    </row>
    <row r="420">
      <c r="A420" t="inlineStr">
        <is>
          <t>No</t>
        </is>
      </c>
      <c r="B420" t="inlineStr">
        <is>
          <t>GE70 .G67 1998</t>
        </is>
      </c>
      <c r="C420" t="inlineStr">
        <is>
          <t>0                      GE 0070000G  67          1998</t>
        </is>
      </c>
      <c r="D420" t="inlineStr">
        <is>
          <t>A primer for environmental literacy / Frank B. Golley.</t>
        </is>
      </c>
      <c r="F420" t="inlineStr">
        <is>
          <t>No</t>
        </is>
      </c>
      <c r="G420" t="inlineStr">
        <is>
          <t>1</t>
        </is>
      </c>
      <c r="H420" t="inlineStr">
        <is>
          <t>No</t>
        </is>
      </c>
      <c r="I420" t="inlineStr">
        <is>
          <t>No</t>
        </is>
      </c>
      <c r="J420" t="inlineStr">
        <is>
          <t>0</t>
        </is>
      </c>
      <c r="K420" t="inlineStr">
        <is>
          <t>Golley, Frank B.</t>
        </is>
      </c>
      <c r="L420" t="inlineStr">
        <is>
          <t>New Haven : Yale University Press, c1998.</t>
        </is>
      </c>
      <c r="M420" t="inlineStr">
        <is>
          <t>1998</t>
        </is>
      </c>
      <c r="O420" t="inlineStr">
        <is>
          <t>eng</t>
        </is>
      </c>
      <c r="P420" t="inlineStr">
        <is>
          <t>ctu</t>
        </is>
      </c>
      <c r="R420" t="inlineStr">
        <is>
          <t xml:space="preserve">GE </t>
        </is>
      </c>
      <c r="S420" t="n">
        <v>6</v>
      </c>
      <c r="T420" t="n">
        <v>6</v>
      </c>
      <c r="U420" t="inlineStr">
        <is>
          <t>2005-09-10</t>
        </is>
      </c>
      <c r="V420" t="inlineStr">
        <is>
          <t>2005-09-10</t>
        </is>
      </c>
      <c r="W420" t="inlineStr">
        <is>
          <t>1998-11-16</t>
        </is>
      </c>
      <c r="X420" t="inlineStr">
        <is>
          <t>1998-11-16</t>
        </is>
      </c>
      <c r="Y420" t="n">
        <v>782</v>
      </c>
      <c r="Z420" t="n">
        <v>680</v>
      </c>
      <c r="AA420" t="n">
        <v>834</v>
      </c>
      <c r="AB420" t="n">
        <v>6</v>
      </c>
      <c r="AC420" t="n">
        <v>6</v>
      </c>
      <c r="AD420" t="n">
        <v>31</v>
      </c>
      <c r="AE420" t="n">
        <v>38</v>
      </c>
      <c r="AF420" t="n">
        <v>11</v>
      </c>
      <c r="AG420" t="n">
        <v>17</v>
      </c>
      <c r="AH420" t="n">
        <v>7</v>
      </c>
      <c r="AI420" t="n">
        <v>8</v>
      </c>
      <c r="AJ420" t="n">
        <v>16</v>
      </c>
      <c r="AK420" t="n">
        <v>19</v>
      </c>
      <c r="AL420" t="n">
        <v>3</v>
      </c>
      <c r="AM420" t="n">
        <v>3</v>
      </c>
      <c r="AN420" t="n">
        <v>2</v>
      </c>
      <c r="AO420" t="n">
        <v>2</v>
      </c>
      <c r="AP420" t="inlineStr">
        <is>
          <t>No</t>
        </is>
      </c>
      <c r="AQ420" t="inlineStr">
        <is>
          <t>No</t>
        </is>
      </c>
      <c r="AS420">
        <f>HYPERLINK("https://creighton-primo.hosted.exlibrisgroup.com/primo-explore/search?tab=default_tab&amp;search_scope=EVERYTHING&amp;vid=01CRU&amp;lang=en_US&amp;offset=0&amp;query=any,contains,991002846039702656","Catalog Record")</f>
        <v/>
      </c>
      <c r="AT420">
        <f>HYPERLINK("http://www.worldcat.org/oclc/37499896","WorldCat Record")</f>
        <v/>
      </c>
      <c r="AU420" t="inlineStr">
        <is>
          <t>605978:eng</t>
        </is>
      </c>
      <c r="AV420" t="inlineStr">
        <is>
          <t>37499896</t>
        </is>
      </c>
      <c r="AW420" t="inlineStr">
        <is>
          <t>991002846039702656</t>
        </is>
      </c>
      <c r="AX420" t="inlineStr">
        <is>
          <t>991002846039702656</t>
        </is>
      </c>
      <c r="AY420" t="inlineStr">
        <is>
          <t>2260093500002656</t>
        </is>
      </c>
      <c r="AZ420" t="inlineStr">
        <is>
          <t>BOOK</t>
        </is>
      </c>
      <c r="BB420" t="inlineStr">
        <is>
          <t>9780300070491</t>
        </is>
      </c>
      <c r="BC420" t="inlineStr">
        <is>
          <t>32285003489027</t>
        </is>
      </c>
      <c r="BD420" t="inlineStr">
        <is>
          <t>893685853</t>
        </is>
      </c>
    </row>
    <row r="421">
      <c r="A421" t="inlineStr">
        <is>
          <t>No</t>
        </is>
      </c>
      <c r="B421" t="inlineStr">
        <is>
          <t>GE70 .M38 1999</t>
        </is>
      </c>
      <c r="C421" t="inlineStr">
        <is>
          <t>0                      GE 0070000M  38          1999</t>
        </is>
      </c>
      <c r="D421" t="inlineStr">
        <is>
          <t>Environmental issues : measuring, analyzing, and evaluating / Robert L. McConnell, Daniel C. Abel.</t>
        </is>
      </c>
      <c r="F421" t="inlineStr">
        <is>
          <t>No</t>
        </is>
      </c>
      <c r="G421" t="inlineStr">
        <is>
          <t>1</t>
        </is>
      </c>
      <c r="H421" t="inlineStr">
        <is>
          <t>No</t>
        </is>
      </c>
      <c r="I421" t="inlineStr">
        <is>
          <t>No</t>
        </is>
      </c>
      <c r="J421" t="inlineStr">
        <is>
          <t>0</t>
        </is>
      </c>
      <c r="K421" t="inlineStr">
        <is>
          <t>McConnell, Robert L.</t>
        </is>
      </c>
      <c r="L421" t="inlineStr">
        <is>
          <t>Upper Saddle River, NJ : Prentice Hall, 1999.</t>
        </is>
      </c>
      <c r="M421" t="inlineStr">
        <is>
          <t>1999</t>
        </is>
      </c>
      <c r="O421" t="inlineStr">
        <is>
          <t>eng</t>
        </is>
      </c>
      <c r="P421" t="inlineStr">
        <is>
          <t>nju</t>
        </is>
      </c>
      <c r="R421" t="inlineStr">
        <is>
          <t xml:space="preserve">GE </t>
        </is>
      </c>
      <c r="S421" t="n">
        <v>8</v>
      </c>
      <c r="T421" t="n">
        <v>8</v>
      </c>
      <c r="U421" t="inlineStr">
        <is>
          <t>2000-01-12</t>
        </is>
      </c>
      <c r="V421" t="inlineStr">
        <is>
          <t>2000-01-12</t>
        </is>
      </c>
      <c r="W421" t="inlineStr">
        <is>
          <t>1998-11-17</t>
        </is>
      </c>
      <c r="X421" t="inlineStr">
        <is>
          <t>1998-11-17</t>
        </is>
      </c>
      <c r="Y421" t="n">
        <v>124</v>
      </c>
      <c r="Z421" t="n">
        <v>68</v>
      </c>
      <c r="AA421" t="n">
        <v>125</v>
      </c>
      <c r="AB421" t="n">
        <v>1</v>
      </c>
      <c r="AC421" t="n">
        <v>1</v>
      </c>
      <c r="AD421" t="n">
        <v>2</v>
      </c>
      <c r="AE421" t="n">
        <v>2</v>
      </c>
      <c r="AF421" t="n">
        <v>1</v>
      </c>
      <c r="AG421" t="n">
        <v>1</v>
      </c>
      <c r="AH421" t="n">
        <v>1</v>
      </c>
      <c r="AI421" t="n">
        <v>1</v>
      </c>
      <c r="AJ421" t="n">
        <v>0</v>
      </c>
      <c r="AK421" t="n">
        <v>0</v>
      </c>
      <c r="AL421" t="n">
        <v>0</v>
      </c>
      <c r="AM421" t="n">
        <v>0</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HYPERLINK("https://creighton-primo.hosted.exlibrisgroup.com/primo-explore/search?tab=default_tab&amp;search_scope=EVERYTHING&amp;vid=01CRU&amp;lang=en_US&amp;offset=0&amp;query=any,contains,991002921109702656","Catalog Record")</f>
        <v/>
      </c>
      <c r="AT421">
        <f>HYPERLINK("http://www.worldcat.org/oclc/38752990","WorldCat Record")</f>
        <v/>
      </c>
      <c r="AU421" t="inlineStr">
        <is>
          <t>924303:eng</t>
        </is>
      </c>
      <c r="AV421" t="inlineStr">
        <is>
          <t>38752990</t>
        </is>
      </c>
      <c r="AW421" t="inlineStr">
        <is>
          <t>991002921109702656</t>
        </is>
      </c>
      <c r="AX421" t="inlineStr">
        <is>
          <t>991002921109702656</t>
        </is>
      </c>
      <c r="AY421" t="inlineStr">
        <is>
          <t>2269319680002656</t>
        </is>
      </c>
      <c r="AZ421" t="inlineStr">
        <is>
          <t>BOOK</t>
        </is>
      </c>
      <c r="BB421" t="inlineStr">
        <is>
          <t>9780130952707</t>
        </is>
      </c>
      <c r="BC421" t="inlineStr">
        <is>
          <t>32285003489878</t>
        </is>
      </c>
      <c r="BD421" t="inlineStr">
        <is>
          <t>893805211</t>
        </is>
      </c>
    </row>
    <row r="422">
      <c r="A422" t="inlineStr">
        <is>
          <t>No</t>
        </is>
      </c>
      <c r="B422" t="inlineStr">
        <is>
          <t>GE90.D6 L83 1990</t>
        </is>
      </c>
      <c r="C422" t="inlineStr">
        <is>
          <t>0                      GE 0090000D  6                  L  83          1990</t>
        </is>
      </c>
      <c r="D422" t="inlineStr">
        <is>
          <t>Medio ambiente y educaciʹon / Eduardo Franco Luciano.</t>
        </is>
      </c>
      <c r="F422" t="inlineStr">
        <is>
          <t>No</t>
        </is>
      </c>
      <c r="G422" t="inlineStr">
        <is>
          <t>1</t>
        </is>
      </c>
      <c r="H422" t="inlineStr">
        <is>
          <t>No</t>
        </is>
      </c>
      <c r="I422" t="inlineStr">
        <is>
          <t>No</t>
        </is>
      </c>
      <c r="J422" t="inlineStr">
        <is>
          <t>0</t>
        </is>
      </c>
      <c r="K422" t="inlineStr">
        <is>
          <t>Luciano, Eduardo Franco.</t>
        </is>
      </c>
      <c r="L422" t="inlineStr">
        <is>
          <t>Santo Domingo, R.D. : [s.n., 199?]</t>
        </is>
      </c>
      <c r="M422" t="inlineStr">
        <is>
          <t>1990</t>
        </is>
      </c>
      <c r="O422" t="inlineStr">
        <is>
          <t>spa</t>
        </is>
      </c>
      <c r="P422" t="inlineStr">
        <is>
          <t xml:space="preserve">dr </t>
        </is>
      </c>
      <c r="R422" t="inlineStr">
        <is>
          <t xml:space="preserve">GE </t>
        </is>
      </c>
      <c r="S422" t="n">
        <v>4</v>
      </c>
      <c r="T422" t="n">
        <v>4</v>
      </c>
      <c r="U422" t="inlineStr">
        <is>
          <t>2002-03-25</t>
        </is>
      </c>
      <c r="V422" t="inlineStr">
        <is>
          <t>2002-03-25</t>
        </is>
      </c>
      <c r="W422" t="inlineStr">
        <is>
          <t>2002-03-06</t>
        </is>
      </c>
      <c r="X422" t="inlineStr">
        <is>
          <t>2002-03-06</t>
        </is>
      </c>
      <c r="Y422" t="n">
        <v>1</v>
      </c>
      <c r="Z422" t="n">
        <v>1</v>
      </c>
      <c r="AA422" t="n">
        <v>1</v>
      </c>
      <c r="AB422" t="n">
        <v>1</v>
      </c>
      <c r="AC422" t="n">
        <v>1</v>
      </c>
      <c r="AD422" t="n">
        <v>0</v>
      </c>
      <c r="AE422" t="n">
        <v>0</v>
      </c>
      <c r="AF422" t="n">
        <v>0</v>
      </c>
      <c r="AG422" t="n">
        <v>0</v>
      </c>
      <c r="AH422" t="n">
        <v>0</v>
      </c>
      <c r="AI422" t="n">
        <v>0</v>
      </c>
      <c r="AJ422" t="n">
        <v>0</v>
      </c>
      <c r="AK422" t="n">
        <v>0</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HYPERLINK("https://creighton-primo.hosted.exlibrisgroup.com/primo-explore/search?tab=default_tab&amp;search_scope=EVERYTHING&amp;vid=01CRU&amp;lang=en_US&amp;offset=0&amp;query=any,contains,991003758149702656","Catalog Record")</f>
        <v/>
      </c>
      <c r="AT422">
        <f>HYPERLINK("http://www.worldcat.org/oclc/49244199","WorldCat Record")</f>
        <v/>
      </c>
      <c r="AU422" t="inlineStr">
        <is>
          <t>39086761:spa</t>
        </is>
      </c>
      <c r="AV422" t="inlineStr">
        <is>
          <t>49244199</t>
        </is>
      </c>
      <c r="AW422" t="inlineStr">
        <is>
          <t>991003758149702656</t>
        </is>
      </c>
      <c r="AX422" t="inlineStr">
        <is>
          <t>991003758149702656</t>
        </is>
      </c>
      <c r="AY422" t="inlineStr">
        <is>
          <t>2255634910002656</t>
        </is>
      </c>
      <c r="AZ422" t="inlineStr">
        <is>
          <t>BOOK</t>
        </is>
      </c>
      <c r="BC422" t="inlineStr">
        <is>
          <t>32285003568663</t>
        </is>
      </c>
      <c r="BD422" t="inlineStr">
        <is>
          <t>893868815</t>
        </is>
      </c>
    </row>
    <row r="423">
      <c r="A423" t="inlineStr">
        <is>
          <t>No</t>
        </is>
      </c>
      <c r="B423" t="inlineStr">
        <is>
          <t>GF13 .E57 1988</t>
        </is>
      </c>
      <c r="C423" t="inlineStr">
        <is>
          <t>0                      GF 0013000E  57          1988</t>
        </is>
      </c>
      <c r="D423" t="inlineStr">
        <is>
          <t>The Environment of life / [edited by] Colin Tudge.</t>
        </is>
      </c>
      <c r="F423" t="inlineStr">
        <is>
          <t>No</t>
        </is>
      </c>
      <c r="G423" t="inlineStr">
        <is>
          <t>1</t>
        </is>
      </c>
      <c r="H423" t="inlineStr">
        <is>
          <t>No</t>
        </is>
      </c>
      <c r="I423" t="inlineStr">
        <is>
          <t>No</t>
        </is>
      </c>
      <c r="J423" t="inlineStr">
        <is>
          <t>0</t>
        </is>
      </c>
      <c r="L423" t="inlineStr">
        <is>
          <t>New York : Oxford University Press, 1988.</t>
        </is>
      </c>
      <c r="M423" t="inlineStr">
        <is>
          <t>1988</t>
        </is>
      </c>
      <c r="O423" t="inlineStr">
        <is>
          <t>eng</t>
        </is>
      </c>
      <c r="P423" t="inlineStr">
        <is>
          <t>nyu</t>
        </is>
      </c>
      <c r="R423" t="inlineStr">
        <is>
          <t xml:space="preserve">GF </t>
        </is>
      </c>
      <c r="S423" t="n">
        <v>3</v>
      </c>
      <c r="T423" t="n">
        <v>3</v>
      </c>
      <c r="U423" t="inlineStr">
        <is>
          <t>1994-11-07</t>
        </is>
      </c>
      <c r="V423" t="inlineStr">
        <is>
          <t>1994-11-07</t>
        </is>
      </c>
      <c r="W423" t="inlineStr">
        <is>
          <t>1991-06-19</t>
        </is>
      </c>
      <c r="X423" t="inlineStr">
        <is>
          <t>1991-06-19</t>
        </is>
      </c>
      <c r="Y423" t="n">
        <v>611</v>
      </c>
      <c r="Z423" t="n">
        <v>576</v>
      </c>
      <c r="AA423" t="n">
        <v>590</v>
      </c>
      <c r="AB423" t="n">
        <v>6</v>
      </c>
      <c r="AC423" t="n">
        <v>6</v>
      </c>
      <c r="AD423" t="n">
        <v>12</v>
      </c>
      <c r="AE423" t="n">
        <v>13</v>
      </c>
      <c r="AF423" t="n">
        <v>5</v>
      </c>
      <c r="AG423" t="n">
        <v>6</v>
      </c>
      <c r="AH423" t="n">
        <v>1</v>
      </c>
      <c r="AI423" t="n">
        <v>1</v>
      </c>
      <c r="AJ423" t="n">
        <v>7</v>
      </c>
      <c r="AK423" t="n">
        <v>7</v>
      </c>
      <c r="AL423" t="n">
        <v>3</v>
      </c>
      <c r="AM423" t="n">
        <v>3</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HYPERLINK("https://creighton-primo.hosted.exlibrisgroup.com/primo-explore/search?tab=default_tab&amp;search_scope=EVERYTHING&amp;vid=01CRU&amp;lang=en_US&amp;offset=0&amp;query=any,contains,991001087909702656","Catalog Record")</f>
        <v/>
      </c>
      <c r="AT423">
        <f>HYPERLINK("http://www.worldcat.org/oclc/16131659","WorldCat Record")</f>
        <v/>
      </c>
      <c r="AU423" t="inlineStr">
        <is>
          <t>3943312248:eng</t>
        </is>
      </c>
      <c r="AV423" t="inlineStr">
        <is>
          <t>16131659</t>
        </is>
      </c>
      <c r="AW423" t="inlineStr">
        <is>
          <t>991001087909702656</t>
        </is>
      </c>
      <c r="AX423" t="inlineStr">
        <is>
          <t>991001087909702656</t>
        </is>
      </c>
      <c r="AY423" t="inlineStr">
        <is>
          <t>2268591450002656</t>
        </is>
      </c>
      <c r="AZ423" t="inlineStr">
        <is>
          <t>BOOK</t>
        </is>
      </c>
      <c r="BB423" t="inlineStr">
        <is>
          <t>9780195206210</t>
        </is>
      </c>
      <c r="BC423" t="inlineStr">
        <is>
          <t>32285000657451</t>
        </is>
      </c>
      <c r="BD423" t="inlineStr">
        <is>
          <t>893684021</t>
        </is>
      </c>
    </row>
    <row r="424">
      <c r="A424" t="inlineStr">
        <is>
          <t>No</t>
        </is>
      </c>
      <c r="B424" t="inlineStr">
        <is>
          <t>GF13 .R6 1989</t>
        </is>
      </c>
      <c r="C424" t="inlineStr">
        <is>
          <t>0                      GF 0013000R  6           1989</t>
        </is>
      </c>
      <c r="D424" t="inlineStr">
        <is>
          <t>The Holocene : an environmental history / Neil Roberts.</t>
        </is>
      </c>
      <c r="F424" t="inlineStr">
        <is>
          <t>No</t>
        </is>
      </c>
      <c r="G424" t="inlineStr">
        <is>
          <t>1</t>
        </is>
      </c>
      <c r="H424" t="inlineStr">
        <is>
          <t>No</t>
        </is>
      </c>
      <c r="I424" t="inlineStr">
        <is>
          <t>Yes</t>
        </is>
      </c>
      <c r="J424" t="inlineStr">
        <is>
          <t>0</t>
        </is>
      </c>
      <c r="K424" t="inlineStr">
        <is>
          <t>Roberts, Neil, 1953-</t>
        </is>
      </c>
      <c r="L424" t="inlineStr">
        <is>
          <t>Oxford, UK ; New York, NY, USA : B. Blackwell, 1989.</t>
        </is>
      </c>
      <c r="M424" t="inlineStr">
        <is>
          <t>1989</t>
        </is>
      </c>
      <c r="O424" t="inlineStr">
        <is>
          <t>eng</t>
        </is>
      </c>
      <c r="P424" t="inlineStr">
        <is>
          <t>enk</t>
        </is>
      </c>
      <c r="R424" t="inlineStr">
        <is>
          <t xml:space="preserve">GF </t>
        </is>
      </c>
      <c r="S424" t="n">
        <v>2</v>
      </c>
      <c r="T424" t="n">
        <v>2</v>
      </c>
      <c r="U424" t="inlineStr">
        <is>
          <t>1998-02-15</t>
        </is>
      </c>
      <c r="V424" t="inlineStr">
        <is>
          <t>1998-02-15</t>
        </is>
      </c>
      <c r="W424" t="inlineStr">
        <is>
          <t>1990-07-19</t>
        </is>
      </c>
      <c r="X424" t="inlineStr">
        <is>
          <t>1990-07-19</t>
        </is>
      </c>
      <c r="Y424" t="n">
        <v>550</v>
      </c>
      <c r="Z424" t="n">
        <v>366</v>
      </c>
      <c r="AA424" t="n">
        <v>987</v>
      </c>
      <c r="AB424" t="n">
        <v>4</v>
      </c>
      <c r="AC424" t="n">
        <v>8</v>
      </c>
      <c r="AD424" t="n">
        <v>15</v>
      </c>
      <c r="AE424" t="n">
        <v>38</v>
      </c>
      <c r="AF424" t="n">
        <v>6</v>
      </c>
      <c r="AG424" t="n">
        <v>15</v>
      </c>
      <c r="AH424" t="n">
        <v>5</v>
      </c>
      <c r="AI424" t="n">
        <v>8</v>
      </c>
      <c r="AJ424" t="n">
        <v>5</v>
      </c>
      <c r="AK424" t="n">
        <v>16</v>
      </c>
      <c r="AL424" t="n">
        <v>3</v>
      </c>
      <c r="AM424" t="n">
        <v>7</v>
      </c>
      <c r="AN424" t="n">
        <v>0</v>
      </c>
      <c r="AO424" t="n">
        <v>1</v>
      </c>
      <c r="AP424" t="inlineStr">
        <is>
          <t>No</t>
        </is>
      </c>
      <c r="AQ424" t="inlineStr">
        <is>
          <t>No</t>
        </is>
      </c>
      <c r="AS424">
        <f>HYPERLINK("https://creighton-primo.hosted.exlibrisgroup.com/primo-explore/search?tab=default_tab&amp;search_scope=EVERYTHING&amp;vid=01CRU&amp;lang=en_US&amp;offset=0&amp;query=any,contains,991001343789702656","Catalog Record")</f>
        <v/>
      </c>
      <c r="AT424">
        <f>HYPERLINK("http://www.worldcat.org/oclc/18411365","WorldCat Record")</f>
        <v/>
      </c>
      <c r="AU424" t="inlineStr">
        <is>
          <t>566132:eng</t>
        </is>
      </c>
      <c r="AV424" t="inlineStr">
        <is>
          <t>18411365</t>
        </is>
      </c>
      <c r="AW424" t="inlineStr">
        <is>
          <t>991001343789702656</t>
        </is>
      </c>
      <c r="AX424" t="inlineStr">
        <is>
          <t>991001343789702656</t>
        </is>
      </c>
      <c r="AY424" t="inlineStr">
        <is>
          <t>2255288150002656</t>
        </is>
      </c>
      <c r="AZ424" t="inlineStr">
        <is>
          <t>BOOK</t>
        </is>
      </c>
      <c r="BB424" t="inlineStr">
        <is>
          <t>9780631161783</t>
        </is>
      </c>
      <c r="BC424" t="inlineStr">
        <is>
          <t>32285000209303</t>
        </is>
      </c>
      <c r="BD424" t="inlineStr">
        <is>
          <t>893797500</t>
        </is>
      </c>
    </row>
    <row r="425">
      <c r="A425" t="inlineStr">
        <is>
          <t>No</t>
        </is>
      </c>
      <c r="B425" t="inlineStr">
        <is>
          <t>GF13.3.E852 E26 2001</t>
        </is>
      </c>
      <c r="C425" t="inlineStr">
        <is>
          <t>0                      GF 0013300E  852                E  26          2001</t>
        </is>
      </c>
      <c r="D425" t="inlineStr">
        <is>
          <t>East central Europe and the former Soviet Union : environment and society / edited by David Turnock.</t>
        </is>
      </c>
      <c r="F425" t="inlineStr">
        <is>
          <t>No</t>
        </is>
      </c>
      <c r="G425" t="inlineStr">
        <is>
          <t>1</t>
        </is>
      </c>
      <c r="H425" t="inlineStr">
        <is>
          <t>No</t>
        </is>
      </c>
      <c r="I425" t="inlineStr">
        <is>
          <t>No</t>
        </is>
      </c>
      <c r="J425" t="inlineStr">
        <is>
          <t>0</t>
        </is>
      </c>
      <c r="L425" t="inlineStr">
        <is>
          <t>London : Arnold ; New York : Oxford University Press, c2001.</t>
        </is>
      </c>
      <c r="M425" t="inlineStr">
        <is>
          <t>2001</t>
        </is>
      </c>
      <c r="O425" t="inlineStr">
        <is>
          <t>eng</t>
        </is>
      </c>
      <c r="P425" t="inlineStr">
        <is>
          <t>enk</t>
        </is>
      </c>
      <c r="R425" t="inlineStr">
        <is>
          <t xml:space="preserve">GF </t>
        </is>
      </c>
      <c r="S425" t="n">
        <v>1</v>
      </c>
      <c r="T425" t="n">
        <v>1</v>
      </c>
      <c r="U425" t="inlineStr">
        <is>
          <t>2003-12-02</t>
        </is>
      </c>
      <c r="V425" t="inlineStr">
        <is>
          <t>2003-12-02</t>
        </is>
      </c>
      <c r="W425" t="inlineStr">
        <is>
          <t>2003-12-02</t>
        </is>
      </c>
      <c r="X425" t="inlineStr">
        <is>
          <t>2003-12-02</t>
        </is>
      </c>
      <c r="Y425" t="n">
        <v>218</v>
      </c>
      <c r="Z425" t="n">
        <v>136</v>
      </c>
      <c r="AA425" t="n">
        <v>138</v>
      </c>
      <c r="AB425" t="n">
        <v>2</v>
      </c>
      <c r="AC425" t="n">
        <v>2</v>
      </c>
      <c r="AD425" t="n">
        <v>10</v>
      </c>
      <c r="AE425" t="n">
        <v>10</v>
      </c>
      <c r="AF425" t="n">
        <v>2</v>
      </c>
      <c r="AG425" t="n">
        <v>2</v>
      </c>
      <c r="AH425" t="n">
        <v>3</v>
      </c>
      <c r="AI425" t="n">
        <v>3</v>
      </c>
      <c r="AJ425" t="n">
        <v>8</v>
      </c>
      <c r="AK425" t="n">
        <v>8</v>
      </c>
      <c r="AL425" t="n">
        <v>1</v>
      </c>
      <c r="AM425" t="n">
        <v>1</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HYPERLINK("https://creighton-primo.hosted.exlibrisgroup.com/primo-explore/search?tab=default_tab&amp;search_scope=EVERYTHING&amp;vid=01CRU&amp;lang=en_US&amp;offset=0&amp;query=any,contains,991004185619702656","Catalog Record")</f>
        <v/>
      </c>
      <c r="AT425">
        <f>HYPERLINK("http://www.worldcat.org/oclc/44604369","WorldCat Record")</f>
        <v/>
      </c>
      <c r="AU425" t="inlineStr">
        <is>
          <t>793104012:eng</t>
        </is>
      </c>
      <c r="AV425" t="inlineStr">
        <is>
          <t>44604369</t>
        </is>
      </c>
      <c r="AW425" t="inlineStr">
        <is>
          <t>991004185619702656</t>
        </is>
      </c>
      <c r="AX425" t="inlineStr">
        <is>
          <t>991004185619702656</t>
        </is>
      </c>
      <c r="AY425" t="inlineStr">
        <is>
          <t>2260372310002656</t>
        </is>
      </c>
      <c r="AZ425" t="inlineStr">
        <is>
          <t>BOOK</t>
        </is>
      </c>
      <c r="BB425" t="inlineStr">
        <is>
          <t>9780340692158</t>
        </is>
      </c>
      <c r="BC425" t="inlineStr">
        <is>
          <t>32285004842836</t>
        </is>
      </c>
      <c r="BD425" t="inlineStr">
        <is>
          <t>893253360</t>
        </is>
      </c>
    </row>
    <row r="426">
      <c r="A426" t="inlineStr">
        <is>
          <t>No</t>
        </is>
      </c>
      <c r="B426" t="inlineStr">
        <is>
          <t>GF21 .B56 1993</t>
        </is>
      </c>
      <c r="C426" t="inlineStr">
        <is>
          <t>0                      GF 0021000B  56          1993</t>
        </is>
      </c>
      <c r="D426" t="inlineStr">
        <is>
          <t>The Biophilia hypothesis / edited by Stephen R. Kellert and Edward O. Wilson.</t>
        </is>
      </c>
      <c r="F426" t="inlineStr">
        <is>
          <t>No</t>
        </is>
      </c>
      <c r="G426" t="inlineStr">
        <is>
          <t>1</t>
        </is>
      </c>
      <c r="H426" t="inlineStr">
        <is>
          <t>No</t>
        </is>
      </c>
      <c r="I426" t="inlineStr">
        <is>
          <t>No</t>
        </is>
      </c>
      <c r="J426" t="inlineStr">
        <is>
          <t>0</t>
        </is>
      </c>
      <c r="L426" t="inlineStr">
        <is>
          <t>Washington, D.C. : Island Press, c1993.</t>
        </is>
      </c>
      <c r="M426" t="inlineStr">
        <is>
          <t>1993</t>
        </is>
      </c>
      <c r="O426" t="inlineStr">
        <is>
          <t>eng</t>
        </is>
      </c>
      <c r="P426" t="inlineStr">
        <is>
          <t>dcu</t>
        </is>
      </c>
      <c r="R426" t="inlineStr">
        <is>
          <t xml:space="preserve">GF </t>
        </is>
      </c>
      <c r="S426" t="n">
        <v>5</v>
      </c>
      <c r="T426" t="n">
        <v>5</v>
      </c>
      <c r="U426" t="inlineStr">
        <is>
          <t>1999-03-15</t>
        </is>
      </c>
      <c r="V426" t="inlineStr">
        <is>
          <t>1999-03-15</t>
        </is>
      </c>
      <c r="W426" t="inlineStr">
        <is>
          <t>1995-02-14</t>
        </is>
      </c>
      <c r="X426" t="inlineStr">
        <is>
          <t>1995-02-14</t>
        </is>
      </c>
      <c r="Y426" t="n">
        <v>911</v>
      </c>
      <c r="Z426" t="n">
        <v>752</v>
      </c>
      <c r="AA426" t="n">
        <v>1252</v>
      </c>
      <c r="AB426" t="n">
        <v>5</v>
      </c>
      <c r="AC426" t="n">
        <v>15</v>
      </c>
      <c r="AD426" t="n">
        <v>35</v>
      </c>
      <c r="AE426" t="n">
        <v>54</v>
      </c>
      <c r="AF426" t="n">
        <v>17</v>
      </c>
      <c r="AG426" t="n">
        <v>21</v>
      </c>
      <c r="AH426" t="n">
        <v>6</v>
      </c>
      <c r="AI426" t="n">
        <v>9</v>
      </c>
      <c r="AJ426" t="n">
        <v>18</v>
      </c>
      <c r="AK426" t="n">
        <v>21</v>
      </c>
      <c r="AL426" t="n">
        <v>4</v>
      </c>
      <c r="AM426" t="n">
        <v>13</v>
      </c>
      <c r="AN426" t="n">
        <v>0</v>
      </c>
      <c r="AO426" t="n">
        <v>1</v>
      </c>
      <c r="AP426" t="inlineStr">
        <is>
          <t>No</t>
        </is>
      </c>
      <c r="AQ426" t="inlineStr">
        <is>
          <t>Yes</t>
        </is>
      </c>
      <c r="AR426">
        <f>HYPERLINK("http://catalog.hathitrust.org/Record/002736837","HathiTrust Record")</f>
        <v/>
      </c>
      <c r="AS426">
        <f>HYPERLINK("https://creighton-primo.hosted.exlibrisgroup.com/primo-explore/search?tab=default_tab&amp;search_scope=EVERYTHING&amp;vid=01CRU&amp;lang=en_US&amp;offset=0&amp;query=any,contains,991002190129702656","Catalog Record")</f>
        <v/>
      </c>
      <c r="AT426">
        <f>HYPERLINK("http://www.worldcat.org/oclc/28181961","WorldCat Record")</f>
        <v/>
      </c>
      <c r="AU426" t="inlineStr">
        <is>
          <t>20611974:eng</t>
        </is>
      </c>
      <c r="AV426" t="inlineStr">
        <is>
          <t>28181961</t>
        </is>
      </c>
      <c r="AW426" t="inlineStr">
        <is>
          <t>991002190129702656</t>
        </is>
      </c>
      <c r="AX426" t="inlineStr">
        <is>
          <t>991002190129702656</t>
        </is>
      </c>
      <c r="AY426" t="inlineStr">
        <is>
          <t>2270984330002656</t>
        </is>
      </c>
      <c r="AZ426" t="inlineStr">
        <is>
          <t>BOOK</t>
        </is>
      </c>
      <c r="BB426" t="inlineStr">
        <is>
          <t>9781559631488</t>
        </is>
      </c>
      <c r="BC426" t="inlineStr">
        <is>
          <t>32285001998599</t>
        </is>
      </c>
      <c r="BD426" t="inlineStr">
        <is>
          <t>893773309</t>
        </is>
      </c>
    </row>
    <row r="427">
      <c r="A427" t="inlineStr">
        <is>
          <t>No</t>
        </is>
      </c>
      <c r="B427" t="inlineStr">
        <is>
          <t>GF21 .E74</t>
        </is>
      </c>
      <c r="C427" t="inlineStr">
        <is>
          <t>0                      GF 0021000E  74</t>
        </is>
      </c>
      <c r="D427" t="inlineStr">
        <is>
          <t>The territorial experience : human ecology as symbolic interaction / by E. Gordon Ericksen ; foreword by Herbert Blumer.</t>
        </is>
      </c>
      <c r="F427" t="inlineStr">
        <is>
          <t>No</t>
        </is>
      </c>
      <c r="G427" t="inlineStr">
        <is>
          <t>1</t>
        </is>
      </c>
      <c r="H427" t="inlineStr">
        <is>
          <t>No</t>
        </is>
      </c>
      <c r="I427" t="inlineStr">
        <is>
          <t>No</t>
        </is>
      </c>
      <c r="J427" t="inlineStr">
        <is>
          <t>0</t>
        </is>
      </c>
      <c r="K427" t="inlineStr">
        <is>
          <t>Ericksen, E. Gordon (Ephraim Gordon), 1917-</t>
        </is>
      </c>
      <c r="L427" t="inlineStr">
        <is>
          <t>Austin : University of Texas Press, c1980.</t>
        </is>
      </c>
      <c r="M427" t="inlineStr">
        <is>
          <t>1980</t>
        </is>
      </c>
      <c r="O427" t="inlineStr">
        <is>
          <t>eng</t>
        </is>
      </c>
      <c r="P427" t="inlineStr">
        <is>
          <t>txu</t>
        </is>
      </c>
      <c r="R427" t="inlineStr">
        <is>
          <t xml:space="preserve">GF </t>
        </is>
      </c>
      <c r="S427" t="n">
        <v>9</v>
      </c>
      <c r="T427" t="n">
        <v>9</v>
      </c>
      <c r="U427" t="inlineStr">
        <is>
          <t>1992-12-17</t>
        </is>
      </c>
      <c r="V427" t="inlineStr">
        <is>
          <t>1992-12-17</t>
        </is>
      </c>
      <c r="W427" t="inlineStr">
        <is>
          <t>1990-09-14</t>
        </is>
      </c>
      <c r="X427" t="inlineStr">
        <is>
          <t>1990-09-14</t>
        </is>
      </c>
      <c r="Y427" t="n">
        <v>362</v>
      </c>
      <c r="Z427" t="n">
        <v>293</v>
      </c>
      <c r="AA427" t="n">
        <v>312</v>
      </c>
      <c r="AB427" t="n">
        <v>3</v>
      </c>
      <c r="AC427" t="n">
        <v>3</v>
      </c>
      <c r="AD427" t="n">
        <v>13</v>
      </c>
      <c r="AE427" t="n">
        <v>14</v>
      </c>
      <c r="AF427" t="n">
        <v>5</v>
      </c>
      <c r="AG427" t="n">
        <v>6</v>
      </c>
      <c r="AH427" t="n">
        <v>3</v>
      </c>
      <c r="AI427" t="n">
        <v>4</v>
      </c>
      <c r="AJ427" t="n">
        <v>3</v>
      </c>
      <c r="AK427" t="n">
        <v>3</v>
      </c>
      <c r="AL427" t="n">
        <v>2</v>
      </c>
      <c r="AM427" t="n">
        <v>2</v>
      </c>
      <c r="AN427" t="n">
        <v>0</v>
      </c>
      <c r="AO427" t="n">
        <v>0</v>
      </c>
      <c r="AP427" t="inlineStr">
        <is>
          <t>No</t>
        </is>
      </c>
      <c r="AQ427" t="inlineStr">
        <is>
          <t>Yes</t>
        </is>
      </c>
      <c r="AR427">
        <f>HYPERLINK("http://catalog.hathitrust.org/Record/000736418","HathiTrust Record")</f>
        <v/>
      </c>
      <c r="AS427">
        <f>HYPERLINK("https://creighton-primo.hosted.exlibrisgroup.com/primo-explore/search?tab=default_tab&amp;search_scope=EVERYTHING&amp;vid=01CRU&amp;lang=en_US&amp;offset=0&amp;query=any,contains,991004952869702656","Catalog Record")</f>
        <v/>
      </c>
      <c r="AT427">
        <f>HYPERLINK("http://www.worldcat.org/oclc/6251847","WorldCat Record")</f>
        <v/>
      </c>
      <c r="AU427" t="inlineStr">
        <is>
          <t>571773:eng</t>
        </is>
      </c>
      <c r="AV427" t="inlineStr">
        <is>
          <t>6251847</t>
        </is>
      </c>
      <c r="AW427" t="inlineStr">
        <is>
          <t>991004952869702656</t>
        </is>
      </c>
      <c r="AX427" t="inlineStr">
        <is>
          <t>991004952869702656</t>
        </is>
      </c>
      <c r="AY427" t="inlineStr">
        <is>
          <t>2262918730002656</t>
        </is>
      </c>
      <c r="AZ427" t="inlineStr">
        <is>
          <t>BOOK</t>
        </is>
      </c>
      <c r="BB427" t="inlineStr">
        <is>
          <t>9780292780385</t>
        </is>
      </c>
      <c r="BC427" t="inlineStr">
        <is>
          <t>32285000286996</t>
        </is>
      </c>
      <c r="BD427" t="inlineStr">
        <is>
          <t>893332212</t>
        </is>
      </c>
    </row>
    <row r="428">
      <c r="A428" t="inlineStr">
        <is>
          <t>No</t>
        </is>
      </c>
      <c r="B428" t="inlineStr">
        <is>
          <t>GF21 .G8313 2000</t>
        </is>
      </c>
      <c r="C428" t="inlineStr">
        <is>
          <t>0                      GF 0021000G  8313        2000</t>
        </is>
      </c>
      <c r="D428" t="inlineStr">
        <is>
          <t>The three ecologies / Félix Guattari ; translated by Ian Pindar and Paul Sutton.</t>
        </is>
      </c>
      <c r="F428" t="inlineStr">
        <is>
          <t>No</t>
        </is>
      </c>
      <c r="G428" t="inlineStr">
        <is>
          <t>1</t>
        </is>
      </c>
      <c r="H428" t="inlineStr">
        <is>
          <t>No</t>
        </is>
      </c>
      <c r="I428" t="inlineStr">
        <is>
          <t>No</t>
        </is>
      </c>
      <c r="J428" t="inlineStr">
        <is>
          <t>0</t>
        </is>
      </c>
      <c r="K428" t="inlineStr">
        <is>
          <t>Guattari, Félix, 1930-1992.</t>
        </is>
      </c>
      <c r="L428" t="inlineStr">
        <is>
          <t>London ; New Brunswick, N.J. : Athlone Press ; Somerset, N.J. : Distributed in the United States by Transaction Publishers, 2000.</t>
        </is>
      </c>
      <c r="M428" t="inlineStr">
        <is>
          <t>2000</t>
        </is>
      </c>
      <c r="N428" t="inlineStr">
        <is>
          <t>English ed.</t>
        </is>
      </c>
      <c r="O428" t="inlineStr">
        <is>
          <t>eng</t>
        </is>
      </c>
      <c r="P428" t="inlineStr">
        <is>
          <t>enk</t>
        </is>
      </c>
      <c r="R428" t="inlineStr">
        <is>
          <t xml:space="preserve">GF </t>
        </is>
      </c>
      <c r="S428" t="n">
        <v>1</v>
      </c>
      <c r="T428" t="n">
        <v>1</v>
      </c>
      <c r="U428" t="inlineStr">
        <is>
          <t>2006-01-09</t>
        </is>
      </c>
      <c r="V428" t="inlineStr">
        <is>
          <t>2006-01-09</t>
        </is>
      </c>
      <c r="W428" t="inlineStr">
        <is>
          <t>2002-09-16</t>
        </is>
      </c>
      <c r="X428" t="inlineStr">
        <is>
          <t>2002-09-16</t>
        </is>
      </c>
      <c r="Y428" t="n">
        <v>269</v>
      </c>
      <c r="Z428" t="n">
        <v>187</v>
      </c>
      <c r="AA428" t="n">
        <v>251</v>
      </c>
      <c r="AB428" t="n">
        <v>2</v>
      </c>
      <c r="AC428" t="n">
        <v>2</v>
      </c>
      <c r="AD428" t="n">
        <v>12</v>
      </c>
      <c r="AE428" t="n">
        <v>14</v>
      </c>
      <c r="AF428" t="n">
        <v>3</v>
      </c>
      <c r="AG428" t="n">
        <v>4</v>
      </c>
      <c r="AH428" t="n">
        <v>5</v>
      </c>
      <c r="AI428" t="n">
        <v>6</v>
      </c>
      <c r="AJ428" t="n">
        <v>6</v>
      </c>
      <c r="AK428" t="n">
        <v>8</v>
      </c>
      <c r="AL428" t="n">
        <v>1</v>
      </c>
      <c r="AM428" t="n">
        <v>1</v>
      </c>
      <c r="AN428" t="n">
        <v>0</v>
      </c>
      <c r="AO428" t="n">
        <v>0</v>
      </c>
      <c r="AP428" t="inlineStr">
        <is>
          <t>No</t>
        </is>
      </c>
      <c r="AQ428" t="inlineStr">
        <is>
          <t>Yes</t>
        </is>
      </c>
      <c r="AR428">
        <f>HYPERLINK("http://catalog.hathitrust.org/Record/004131628","HathiTrust Record")</f>
        <v/>
      </c>
      <c r="AS428">
        <f>HYPERLINK("https://creighton-primo.hosted.exlibrisgroup.com/primo-explore/search?tab=default_tab&amp;search_scope=EVERYTHING&amp;vid=01CRU&amp;lang=en_US&amp;offset=0&amp;query=any,contains,991003890769702656","Catalog Record")</f>
        <v/>
      </c>
      <c r="AT428">
        <f>HYPERLINK("http://www.worldcat.org/oclc/43286743","WorldCat Record")</f>
        <v/>
      </c>
      <c r="AU428" t="inlineStr">
        <is>
          <t>57893167:eng</t>
        </is>
      </c>
      <c r="AV428" t="inlineStr">
        <is>
          <t>43286743</t>
        </is>
      </c>
      <c r="AW428" t="inlineStr">
        <is>
          <t>991003890769702656</t>
        </is>
      </c>
      <c r="AX428" t="inlineStr">
        <is>
          <t>991003890769702656</t>
        </is>
      </c>
      <c r="AY428" t="inlineStr">
        <is>
          <t>2258321640002656</t>
        </is>
      </c>
      <c r="AZ428" t="inlineStr">
        <is>
          <t>BOOK</t>
        </is>
      </c>
      <c r="BB428" t="inlineStr">
        <is>
          <t>9780485004083</t>
        </is>
      </c>
      <c r="BC428" t="inlineStr">
        <is>
          <t>32285004652409</t>
        </is>
      </c>
      <c r="BD428" t="inlineStr">
        <is>
          <t>893324669</t>
        </is>
      </c>
    </row>
    <row r="429">
      <c r="A429" t="inlineStr">
        <is>
          <t>No</t>
        </is>
      </c>
      <c r="B429" t="inlineStr">
        <is>
          <t>GF21 .P43</t>
        </is>
      </c>
      <c r="C429" t="inlineStr">
        <is>
          <t>0                      GF 0021000P  43</t>
        </is>
      </c>
      <c r="D429" t="inlineStr">
        <is>
          <t>American environmentalism : values, tactics, priorities / by Joseph M. Petulla.</t>
        </is>
      </c>
      <c r="F429" t="inlineStr">
        <is>
          <t>No</t>
        </is>
      </c>
      <c r="G429" t="inlineStr">
        <is>
          <t>1</t>
        </is>
      </c>
      <c r="H429" t="inlineStr">
        <is>
          <t>No</t>
        </is>
      </c>
      <c r="I429" t="inlineStr">
        <is>
          <t>No</t>
        </is>
      </c>
      <c r="J429" t="inlineStr">
        <is>
          <t>0</t>
        </is>
      </c>
      <c r="K429" t="inlineStr">
        <is>
          <t>Petulla, Joseph M.</t>
        </is>
      </c>
      <c r="L429" t="inlineStr">
        <is>
          <t>College Station : Texas A&amp;M University Press, 1980.</t>
        </is>
      </c>
      <c r="M429" t="inlineStr">
        <is>
          <t>1980</t>
        </is>
      </c>
      <c r="N429" t="inlineStr">
        <is>
          <t>1st ed.</t>
        </is>
      </c>
      <c r="O429" t="inlineStr">
        <is>
          <t>eng</t>
        </is>
      </c>
      <c r="P429" t="inlineStr">
        <is>
          <t>txu</t>
        </is>
      </c>
      <c r="Q429" t="inlineStr">
        <is>
          <t>Environmental history series ; no. 1</t>
        </is>
      </c>
      <c r="R429" t="inlineStr">
        <is>
          <t xml:space="preserve">GF </t>
        </is>
      </c>
      <c r="S429" t="n">
        <v>9</v>
      </c>
      <c r="T429" t="n">
        <v>9</v>
      </c>
      <c r="U429" t="inlineStr">
        <is>
          <t>2006-11-12</t>
        </is>
      </c>
      <c r="V429" t="inlineStr">
        <is>
          <t>2006-11-12</t>
        </is>
      </c>
      <c r="W429" t="inlineStr">
        <is>
          <t>1990-09-14</t>
        </is>
      </c>
      <c r="X429" t="inlineStr">
        <is>
          <t>1990-09-14</t>
        </is>
      </c>
      <c r="Y429" t="n">
        <v>613</v>
      </c>
      <c r="Z429" t="n">
        <v>561</v>
      </c>
      <c r="AA429" t="n">
        <v>568</v>
      </c>
      <c r="AB429" t="n">
        <v>5</v>
      </c>
      <c r="AC429" t="n">
        <v>5</v>
      </c>
      <c r="AD429" t="n">
        <v>27</v>
      </c>
      <c r="AE429" t="n">
        <v>27</v>
      </c>
      <c r="AF429" t="n">
        <v>10</v>
      </c>
      <c r="AG429" t="n">
        <v>10</v>
      </c>
      <c r="AH429" t="n">
        <v>5</v>
      </c>
      <c r="AI429" t="n">
        <v>5</v>
      </c>
      <c r="AJ429" t="n">
        <v>13</v>
      </c>
      <c r="AK429" t="n">
        <v>13</v>
      </c>
      <c r="AL429" t="n">
        <v>4</v>
      </c>
      <c r="AM429" t="n">
        <v>4</v>
      </c>
      <c r="AN429" t="n">
        <v>2</v>
      </c>
      <c r="AO429" t="n">
        <v>2</v>
      </c>
      <c r="AP429" t="inlineStr">
        <is>
          <t>No</t>
        </is>
      </c>
      <c r="AQ429" t="inlineStr">
        <is>
          <t>Yes</t>
        </is>
      </c>
      <c r="AR429">
        <f>HYPERLINK("http://catalog.hathitrust.org/Record/000688398","HathiTrust Record")</f>
        <v/>
      </c>
      <c r="AS429">
        <f>HYPERLINK("https://creighton-primo.hosted.exlibrisgroup.com/primo-explore/search?tab=default_tab&amp;search_scope=EVERYTHING&amp;vid=01CRU&amp;lang=en_US&amp;offset=0&amp;query=any,contains,991004894359702656","Catalog Record")</f>
        <v/>
      </c>
      <c r="AT429">
        <f>HYPERLINK("http://www.worldcat.org/oclc/5892194","WorldCat Record")</f>
        <v/>
      </c>
      <c r="AU429" t="inlineStr">
        <is>
          <t>309131939:eng</t>
        </is>
      </c>
      <c r="AV429" t="inlineStr">
        <is>
          <t>5892194</t>
        </is>
      </c>
      <c r="AW429" t="inlineStr">
        <is>
          <t>991004894359702656</t>
        </is>
      </c>
      <c r="AX429" t="inlineStr">
        <is>
          <t>991004894359702656</t>
        </is>
      </c>
      <c r="AY429" t="inlineStr">
        <is>
          <t>2262962740002656</t>
        </is>
      </c>
      <c r="AZ429" t="inlineStr">
        <is>
          <t>BOOK</t>
        </is>
      </c>
      <c r="BB429" t="inlineStr">
        <is>
          <t>9780890960875</t>
        </is>
      </c>
      <c r="BC429" t="inlineStr">
        <is>
          <t>32285000287002</t>
        </is>
      </c>
      <c r="BD429" t="inlineStr">
        <is>
          <t>893606568</t>
        </is>
      </c>
    </row>
    <row r="430">
      <c r="A430" t="inlineStr">
        <is>
          <t>No</t>
        </is>
      </c>
      <c r="B430" t="inlineStr">
        <is>
          <t>GF21 .R52 1991</t>
        </is>
      </c>
      <c r="C430" t="inlineStr">
        <is>
          <t>0                      GF 0021000R  52          1991</t>
        </is>
      </c>
      <c r="D430" t="inlineStr">
        <is>
          <t>Biosphere politics : a new consciousness for a new century / Jeremy Rifkin.</t>
        </is>
      </c>
      <c r="F430" t="inlineStr">
        <is>
          <t>No</t>
        </is>
      </c>
      <c r="G430" t="inlineStr">
        <is>
          <t>1</t>
        </is>
      </c>
      <c r="H430" t="inlineStr">
        <is>
          <t>No</t>
        </is>
      </c>
      <c r="I430" t="inlineStr">
        <is>
          <t>No</t>
        </is>
      </c>
      <c r="J430" t="inlineStr">
        <is>
          <t>0</t>
        </is>
      </c>
      <c r="K430" t="inlineStr">
        <is>
          <t>Rifkin, Jeremy.</t>
        </is>
      </c>
      <c r="L430" t="inlineStr">
        <is>
          <t>New York : Crown, c1991.</t>
        </is>
      </c>
      <c r="M430" t="inlineStr">
        <is>
          <t>1991</t>
        </is>
      </c>
      <c r="N430" t="inlineStr">
        <is>
          <t>1st ed.</t>
        </is>
      </c>
      <c r="O430" t="inlineStr">
        <is>
          <t>eng</t>
        </is>
      </c>
      <c r="P430" t="inlineStr">
        <is>
          <t>nyu</t>
        </is>
      </c>
      <c r="R430" t="inlineStr">
        <is>
          <t xml:space="preserve">GF </t>
        </is>
      </c>
      <c r="S430" t="n">
        <v>19</v>
      </c>
      <c r="T430" t="n">
        <v>19</v>
      </c>
      <c r="U430" t="inlineStr">
        <is>
          <t>1999-03-15</t>
        </is>
      </c>
      <c r="V430" t="inlineStr">
        <is>
          <t>1999-03-15</t>
        </is>
      </c>
      <c r="W430" t="inlineStr">
        <is>
          <t>1992-02-04</t>
        </is>
      </c>
      <c r="X430" t="inlineStr">
        <is>
          <t>1992-02-04</t>
        </is>
      </c>
      <c r="Y430" t="n">
        <v>569</v>
      </c>
      <c r="Z430" t="n">
        <v>512</v>
      </c>
      <c r="AA430" t="n">
        <v>520</v>
      </c>
      <c r="AB430" t="n">
        <v>4</v>
      </c>
      <c r="AC430" t="n">
        <v>4</v>
      </c>
      <c r="AD430" t="n">
        <v>17</v>
      </c>
      <c r="AE430" t="n">
        <v>17</v>
      </c>
      <c r="AF430" t="n">
        <v>7</v>
      </c>
      <c r="AG430" t="n">
        <v>7</v>
      </c>
      <c r="AH430" t="n">
        <v>2</v>
      </c>
      <c r="AI430" t="n">
        <v>2</v>
      </c>
      <c r="AJ430" t="n">
        <v>9</v>
      </c>
      <c r="AK430" t="n">
        <v>9</v>
      </c>
      <c r="AL430" t="n">
        <v>3</v>
      </c>
      <c r="AM430" t="n">
        <v>3</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HYPERLINK("https://creighton-primo.hosted.exlibrisgroup.com/primo-explore/search?tab=default_tab&amp;search_scope=EVERYTHING&amp;vid=01CRU&amp;lang=en_US&amp;offset=0&amp;query=any,contains,991001807119702656","Catalog Record")</f>
        <v/>
      </c>
      <c r="AT430">
        <f>HYPERLINK("http://www.worldcat.org/oclc/22709697","WorldCat Record")</f>
        <v/>
      </c>
      <c r="AU430" t="inlineStr">
        <is>
          <t>24061360:eng</t>
        </is>
      </c>
      <c r="AV430" t="inlineStr">
        <is>
          <t>22709697</t>
        </is>
      </c>
      <c r="AW430" t="inlineStr">
        <is>
          <t>991001807119702656</t>
        </is>
      </c>
      <c r="AX430" t="inlineStr">
        <is>
          <t>991001807119702656</t>
        </is>
      </c>
      <c r="AY430" t="inlineStr">
        <is>
          <t>2270559380002656</t>
        </is>
      </c>
      <c r="AZ430" t="inlineStr">
        <is>
          <t>BOOK</t>
        </is>
      </c>
      <c r="BB430" t="inlineStr">
        <is>
          <t>9780517577462</t>
        </is>
      </c>
      <c r="BC430" t="inlineStr">
        <is>
          <t>32285000868389</t>
        </is>
      </c>
      <c r="BD430" t="inlineStr">
        <is>
          <t>893529248</t>
        </is>
      </c>
    </row>
    <row r="431">
      <c r="A431" t="inlineStr">
        <is>
          <t>No</t>
        </is>
      </c>
      <c r="B431" t="inlineStr">
        <is>
          <t>GF21 .R53</t>
        </is>
      </c>
      <c r="C431" t="inlineStr">
        <is>
          <t>0                      GF 0021000R  53</t>
        </is>
      </c>
      <c r="D431" t="inlineStr">
        <is>
          <t>Entropy : a new world view / by Jeremy Rifkin with Ted Howard ; afterword by Nicholas Georgescu-Roegen.</t>
        </is>
      </c>
      <c r="F431" t="inlineStr">
        <is>
          <t>No</t>
        </is>
      </c>
      <c r="G431" t="inlineStr">
        <is>
          <t>1</t>
        </is>
      </c>
      <c r="H431" t="inlineStr">
        <is>
          <t>No</t>
        </is>
      </c>
      <c r="I431" t="inlineStr">
        <is>
          <t>No</t>
        </is>
      </c>
      <c r="J431" t="inlineStr">
        <is>
          <t>0</t>
        </is>
      </c>
      <c r="K431" t="inlineStr">
        <is>
          <t>Rifkin, Jeremy.</t>
        </is>
      </c>
      <c r="L431" t="inlineStr">
        <is>
          <t>New York : Viking Press, c1980.</t>
        </is>
      </c>
      <c r="M431" t="inlineStr">
        <is>
          <t>1980</t>
        </is>
      </c>
      <c r="O431" t="inlineStr">
        <is>
          <t>eng</t>
        </is>
      </c>
      <c r="P431" t="inlineStr">
        <is>
          <t>nyu</t>
        </is>
      </c>
      <c r="R431" t="inlineStr">
        <is>
          <t xml:space="preserve">GF </t>
        </is>
      </c>
      <c r="S431" t="n">
        <v>4</v>
      </c>
      <c r="T431" t="n">
        <v>4</v>
      </c>
      <c r="U431" t="inlineStr">
        <is>
          <t>2009-03-09</t>
        </is>
      </c>
      <c r="V431" t="inlineStr">
        <is>
          <t>2009-03-09</t>
        </is>
      </c>
      <c r="W431" t="inlineStr">
        <is>
          <t>1990-08-16</t>
        </is>
      </c>
      <c r="X431" t="inlineStr">
        <is>
          <t>1990-08-16</t>
        </is>
      </c>
      <c r="Y431" t="n">
        <v>1385</v>
      </c>
      <c r="Z431" t="n">
        <v>1248</v>
      </c>
      <c r="AA431" t="n">
        <v>1364</v>
      </c>
      <c r="AB431" t="n">
        <v>12</v>
      </c>
      <c r="AC431" t="n">
        <v>13</v>
      </c>
      <c r="AD431" t="n">
        <v>38</v>
      </c>
      <c r="AE431" t="n">
        <v>43</v>
      </c>
      <c r="AF431" t="n">
        <v>13</v>
      </c>
      <c r="AG431" t="n">
        <v>16</v>
      </c>
      <c r="AH431" t="n">
        <v>6</v>
      </c>
      <c r="AI431" t="n">
        <v>6</v>
      </c>
      <c r="AJ431" t="n">
        <v>19</v>
      </c>
      <c r="AK431" t="n">
        <v>23</v>
      </c>
      <c r="AL431" t="n">
        <v>7</v>
      </c>
      <c r="AM431" t="n">
        <v>8</v>
      </c>
      <c r="AN431" t="n">
        <v>2</v>
      </c>
      <c r="AO431" t="n">
        <v>2</v>
      </c>
      <c r="AP431" t="inlineStr">
        <is>
          <t>No</t>
        </is>
      </c>
      <c r="AQ431" t="inlineStr">
        <is>
          <t>Yes</t>
        </is>
      </c>
      <c r="AR431">
        <f>HYPERLINK("http://catalog.hathitrust.org/Record/000691875","HathiTrust Record")</f>
        <v/>
      </c>
      <c r="AS431">
        <f>HYPERLINK("https://creighton-primo.hosted.exlibrisgroup.com/primo-explore/search?tab=default_tab&amp;search_scope=EVERYTHING&amp;vid=01CRU&amp;lang=en_US&amp;offset=0&amp;query=any,contains,991004952899702656","Catalog Record")</f>
        <v/>
      </c>
      <c r="AT431">
        <f>HYPERLINK("http://www.worldcat.org/oclc/6251858","WorldCat Record")</f>
        <v/>
      </c>
      <c r="AU431" t="inlineStr">
        <is>
          <t>2821781:eng</t>
        </is>
      </c>
      <c r="AV431" t="inlineStr">
        <is>
          <t>6251858</t>
        </is>
      </c>
      <c r="AW431" t="inlineStr">
        <is>
          <t>991004952899702656</t>
        </is>
      </c>
      <c r="AX431" t="inlineStr">
        <is>
          <t>991004952899702656</t>
        </is>
      </c>
      <c r="AY431" t="inlineStr">
        <is>
          <t>2262917500002656</t>
        </is>
      </c>
      <c r="AZ431" t="inlineStr">
        <is>
          <t>BOOK</t>
        </is>
      </c>
      <c r="BB431" t="inlineStr">
        <is>
          <t>9780670297177</t>
        </is>
      </c>
      <c r="BC431" t="inlineStr">
        <is>
          <t>32285000290212</t>
        </is>
      </c>
      <c r="BD431" t="inlineStr">
        <is>
          <t>893325973</t>
        </is>
      </c>
    </row>
    <row r="432">
      <c r="A432" t="inlineStr">
        <is>
          <t>No</t>
        </is>
      </c>
      <c r="B432" t="inlineStr">
        <is>
          <t>GF21 .S87 1998</t>
        </is>
      </c>
      <c r="C432" t="inlineStr">
        <is>
          <t>0                      GF 0021000S  87          1998</t>
        </is>
      </c>
      <c r="D432" t="inlineStr">
        <is>
          <t>The sacred balance : rediscovering our place in nature / David Suzuki with Amanda McConnell.</t>
        </is>
      </c>
      <c r="F432" t="inlineStr">
        <is>
          <t>No</t>
        </is>
      </c>
      <c r="G432" t="inlineStr">
        <is>
          <t>1</t>
        </is>
      </c>
      <c r="H432" t="inlineStr">
        <is>
          <t>No</t>
        </is>
      </c>
      <c r="I432" t="inlineStr">
        <is>
          <t>No</t>
        </is>
      </c>
      <c r="J432" t="inlineStr">
        <is>
          <t>0</t>
        </is>
      </c>
      <c r="K432" t="inlineStr">
        <is>
          <t>Suzuki, David, 1936-</t>
        </is>
      </c>
      <c r="L432" t="inlineStr">
        <is>
          <t>Amherst, N.Y. : Prometheus Books, 1998.</t>
        </is>
      </c>
      <c r="M432" t="inlineStr">
        <is>
          <t>1998</t>
        </is>
      </c>
      <c r="O432" t="inlineStr">
        <is>
          <t>eng</t>
        </is>
      </c>
      <c r="P432" t="inlineStr">
        <is>
          <t>nyu</t>
        </is>
      </c>
      <c r="R432" t="inlineStr">
        <is>
          <t xml:space="preserve">GF </t>
        </is>
      </c>
      <c r="S432" t="n">
        <v>4</v>
      </c>
      <c r="T432" t="n">
        <v>4</v>
      </c>
      <c r="U432" t="inlineStr">
        <is>
          <t>2008-01-02</t>
        </is>
      </c>
      <c r="V432" t="inlineStr">
        <is>
          <t>2008-01-02</t>
        </is>
      </c>
      <c r="W432" t="inlineStr">
        <is>
          <t>1999-11-30</t>
        </is>
      </c>
      <c r="X432" t="inlineStr">
        <is>
          <t>1999-11-30</t>
        </is>
      </c>
      <c r="Y432" t="n">
        <v>328</v>
      </c>
      <c r="Z432" t="n">
        <v>306</v>
      </c>
      <c r="AA432" t="n">
        <v>671</v>
      </c>
      <c r="AB432" t="n">
        <v>3</v>
      </c>
      <c r="AC432" t="n">
        <v>4</v>
      </c>
      <c r="AD432" t="n">
        <v>8</v>
      </c>
      <c r="AE432" t="n">
        <v>20</v>
      </c>
      <c r="AF432" t="n">
        <v>1</v>
      </c>
      <c r="AG432" t="n">
        <v>9</v>
      </c>
      <c r="AH432" t="n">
        <v>3</v>
      </c>
      <c r="AI432" t="n">
        <v>6</v>
      </c>
      <c r="AJ432" t="n">
        <v>4</v>
      </c>
      <c r="AK432" t="n">
        <v>10</v>
      </c>
      <c r="AL432" t="n">
        <v>1</v>
      </c>
      <c r="AM432" t="n">
        <v>1</v>
      </c>
      <c r="AN432" t="n">
        <v>0</v>
      </c>
      <c r="AO432" t="n">
        <v>1</v>
      </c>
      <c r="AP432" t="inlineStr">
        <is>
          <t>No</t>
        </is>
      </c>
      <c r="AQ432" t="inlineStr">
        <is>
          <t>Yes</t>
        </is>
      </c>
      <c r="AR432">
        <f>HYPERLINK("http://catalog.hathitrust.org/Record/007135246","HathiTrust Record")</f>
        <v/>
      </c>
      <c r="AS432">
        <f>HYPERLINK("https://creighton-primo.hosted.exlibrisgroup.com/primo-explore/search?tab=default_tab&amp;search_scope=EVERYTHING&amp;vid=01CRU&amp;lang=en_US&amp;offset=0&amp;query=any,contains,991005427629702656","Catalog Record")</f>
        <v/>
      </c>
      <c r="AT432">
        <f>HYPERLINK("http://www.worldcat.org/oclc/38150206","WorldCat Record")</f>
        <v/>
      </c>
      <c r="AU432" t="inlineStr">
        <is>
          <t>686417:eng</t>
        </is>
      </c>
      <c r="AV432" t="inlineStr">
        <is>
          <t>38150206</t>
        </is>
      </c>
      <c r="AW432" t="inlineStr">
        <is>
          <t>991005427629702656</t>
        </is>
      </c>
      <c r="AX432" t="inlineStr">
        <is>
          <t>991005427629702656</t>
        </is>
      </c>
      <c r="AY432" t="inlineStr">
        <is>
          <t>2267493220002656</t>
        </is>
      </c>
      <c r="AZ432" t="inlineStr">
        <is>
          <t>BOOK</t>
        </is>
      </c>
      <c r="BB432" t="inlineStr">
        <is>
          <t>9781573921992</t>
        </is>
      </c>
      <c r="BC432" t="inlineStr">
        <is>
          <t>32285003625521</t>
        </is>
      </c>
      <c r="BD432" t="inlineStr">
        <is>
          <t>893254996</t>
        </is>
      </c>
    </row>
    <row r="433">
      <c r="A433" t="inlineStr">
        <is>
          <t>No</t>
        </is>
      </c>
      <c r="B433" t="inlineStr">
        <is>
          <t>GF26 .S92</t>
        </is>
      </c>
      <c r="C433" t="inlineStr">
        <is>
          <t>0                      GF 0026000S  92</t>
        </is>
      </c>
      <c r="D433" t="inlineStr">
        <is>
          <t>Environmental education; strategies toward a more livable future, edited by James A. Swan and William B. Stapp.</t>
        </is>
      </c>
      <c r="F433" t="inlineStr">
        <is>
          <t>No</t>
        </is>
      </c>
      <c r="G433" t="inlineStr">
        <is>
          <t>1</t>
        </is>
      </c>
      <c r="H433" t="inlineStr">
        <is>
          <t>No</t>
        </is>
      </c>
      <c r="I433" t="inlineStr">
        <is>
          <t>No</t>
        </is>
      </c>
      <c r="J433" t="inlineStr">
        <is>
          <t>0</t>
        </is>
      </c>
      <c r="K433" t="inlineStr">
        <is>
          <t>Swan, James A.</t>
        </is>
      </c>
      <c r="L433" t="inlineStr">
        <is>
          <t>[Beverly Hills, Calif.] Sage Publications; [distributed by] Halsted Press, New York, [1974]</t>
        </is>
      </c>
      <c r="M433" t="inlineStr">
        <is>
          <t>1974</t>
        </is>
      </c>
      <c r="O433" t="inlineStr">
        <is>
          <t>eng</t>
        </is>
      </c>
      <c r="P433" t="inlineStr">
        <is>
          <t>cau</t>
        </is>
      </c>
      <c r="R433" t="inlineStr">
        <is>
          <t xml:space="preserve">GF </t>
        </is>
      </c>
      <c r="S433" t="n">
        <v>3</v>
      </c>
      <c r="T433" t="n">
        <v>3</v>
      </c>
      <c r="U433" t="inlineStr">
        <is>
          <t>2000-10-12</t>
        </is>
      </c>
      <c r="V433" t="inlineStr">
        <is>
          <t>2000-10-12</t>
        </is>
      </c>
      <c r="W433" t="inlineStr">
        <is>
          <t>1997-05-27</t>
        </is>
      </c>
      <c r="X433" t="inlineStr">
        <is>
          <t>1997-05-27</t>
        </is>
      </c>
      <c r="Y433" t="n">
        <v>385</v>
      </c>
      <c r="Z433" t="n">
        <v>301</v>
      </c>
      <c r="AA433" t="n">
        <v>310</v>
      </c>
      <c r="AB433" t="n">
        <v>3</v>
      </c>
      <c r="AC433" t="n">
        <v>3</v>
      </c>
      <c r="AD433" t="n">
        <v>13</v>
      </c>
      <c r="AE433" t="n">
        <v>13</v>
      </c>
      <c r="AF433" t="n">
        <v>5</v>
      </c>
      <c r="AG433" t="n">
        <v>5</v>
      </c>
      <c r="AH433" t="n">
        <v>4</v>
      </c>
      <c r="AI433" t="n">
        <v>4</v>
      </c>
      <c r="AJ433" t="n">
        <v>5</v>
      </c>
      <c r="AK433" t="n">
        <v>5</v>
      </c>
      <c r="AL433" t="n">
        <v>2</v>
      </c>
      <c r="AM433" t="n">
        <v>2</v>
      </c>
      <c r="AN433" t="n">
        <v>0</v>
      </c>
      <c r="AO433" t="n">
        <v>0</v>
      </c>
      <c r="AP433" t="inlineStr">
        <is>
          <t>No</t>
        </is>
      </c>
      <c r="AQ433" t="inlineStr">
        <is>
          <t>Yes</t>
        </is>
      </c>
      <c r="AR433">
        <f>HYPERLINK("http://catalog.hathitrust.org/Record/000015982","HathiTrust Record")</f>
        <v/>
      </c>
      <c r="AS433">
        <f>HYPERLINK("https://creighton-primo.hosted.exlibrisgroup.com/primo-explore/search?tab=default_tab&amp;search_scope=EVERYTHING&amp;vid=01CRU&amp;lang=en_US&amp;offset=0&amp;query=any,contains,991003447759702656","Catalog Record")</f>
        <v/>
      </c>
      <c r="AT433">
        <f>HYPERLINK("http://www.worldcat.org/oclc/983666","WorldCat Record")</f>
        <v/>
      </c>
      <c r="AU433" t="inlineStr">
        <is>
          <t>1951393:eng</t>
        </is>
      </c>
      <c r="AV433" t="inlineStr">
        <is>
          <t>983666</t>
        </is>
      </c>
      <c r="AW433" t="inlineStr">
        <is>
          <t>991003447759702656</t>
        </is>
      </c>
      <c r="AX433" t="inlineStr">
        <is>
          <t>991003447759702656</t>
        </is>
      </c>
      <c r="AY433" t="inlineStr">
        <is>
          <t>2272697130002656</t>
        </is>
      </c>
      <c r="AZ433" t="inlineStr">
        <is>
          <t>BOOK</t>
        </is>
      </c>
      <c r="BB433" t="inlineStr">
        <is>
          <t>9780470838594</t>
        </is>
      </c>
      <c r="BC433" t="inlineStr">
        <is>
          <t>32285002693967</t>
        </is>
      </c>
      <c r="BD433" t="inlineStr">
        <is>
          <t>893711373</t>
        </is>
      </c>
    </row>
    <row r="434">
      <c r="A434" t="inlineStr">
        <is>
          <t>No</t>
        </is>
      </c>
      <c r="B434" t="inlineStr">
        <is>
          <t>GF26 .S94 1978</t>
        </is>
      </c>
      <c r="C434" t="inlineStr">
        <is>
          <t>0                      GF 0026000S  94          1978</t>
        </is>
      </c>
      <c r="D434" t="inlineStr">
        <is>
          <t>Environmental education : principles, methods, and applications / edited by Trilochan S. Bakshi and Zev Naveh.</t>
        </is>
      </c>
      <c r="F434" t="inlineStr">
        <is>
          <t>No</t>
        </is>
      </c>
      <c r="G434" t="inlineStr">
        <is>
          <t>1</t>
        </is>
      </c>
      <c r="H434" t="inlineStr">
        <is>
          <t>No</t>
        </is>
      </c>
      <c r="I434" t="inlineStr">
        <is>
          <t>No</t>
        </is>
      </c>
      <c r="J434" t="inlineStr">
        <is>
          <t>0</t>
        </is>
      </c>
      <c r="K434" t="inlineStr">
        <is>
          <t>Symposium on Environmental Education (1978 : Jerusalem)</t>
        </is>
      </c>
      <c r="L434" t="inlineStr">
        <is>
          <t>New York : Plenum Press, c1980.</t>
        </is>
      </c>
      <c r="M434" t="inlineStr">
        <is>
          <t>1980</t>
        </is>
      </c>
      <c r="O434" t="inlineStr">
        <is>
          <t>eng</t>
        </is>
      </c>
      <c r="P434" t="inlineStr">
        <is>
          <t>nyu</t>
        </is>
      </c>
      <c r="Q434" t="inlineStr">
        <is>
          <t>Environmental science research ; v. 18</t>
        </is>
      </c>
      <c r="R434" t="inlineStr">
        <is>
          <t xml:space="preserve">GF </t>
        </is>
      </c>
      <c r="S434" t="n">
        <v>5</v>
      </c>
      <c r="T434" t="n">
        <v>5</v>
      </c>
      <c r="U434" t="inlineStr">
        <is>
          <t>1999-02-25</t>
        </is>
      </c>
      <c r="V434" t="inlineStr">
        <is>
          <t>1999-02-25</t>
        </is>
      </c>
      <c r="W434" t="inlineStr">
        <is>
          <t>1990-09-14</t>
        </is>
      </c>
      <c r="X434" t="inlineStr">
        <is>
          <t>1990-09-14</t>
        </is>
      </c>
      <c r="Y434" t="n">
        <v>299</v>
      </c>
      <c r="Z434" t="n">
        <v>198</v>
      </c>
      <c r="AA434" t="n">
        <v>215</v>
      </c>
      <c r="AB434" t="n">
        <v>3</v>
      </c>
      <c r="AC434" t="n">
        <v>3</v>
      </c>
      <c r="AD434" t="n">
        <v>5</v>
      </c>
      <c r="AE434" t="n">
        <v>5</v>
      </c>
      <c r="AF434" t="n">
        <v>1</v>
      </c>
      <c r="AG434" t="n">
        <v>1</v>
      </c>
      <c r="AH434" t="n">
        <v>1</v>
      </c>
      <c r="AI434" t="n">
        <v>1</v>
      </c>
      <c r="AJ434" t="n">
        <v>3</v>
      </c>
      <c r="AK434" t="n">
        <v>3</v>
      </c>
      <c r="AL434" t="n">
        <v>2</v>
      </c>
      <c r="AM434" t="n">
        <v>2</v>
      </c>
      <c r="AN434" t="n">
        <v>0</v>
      </c>
      <c r="AO434" t="n">
        <v>0</v>
      </c>
      <c r="AP434" t="inlineStr">
        <is>
          <t>No</t>
        </is>
      </c>
      <c r="AQ434" t="inlineStr">
        <is>
          <t>Yes</t>
        </is>
      </c>
      <c r="AR434">
        <f>HYPERLINK("http://catalog.hathitrust.org/Record/000738898","HathiTrust Record")</f>
        <v/>
      </c>
      <c r="AS434">
        <f>HYPERLINK("https://creighton-primo.hosted.exlibrisgroup.com/primo-explore/search?tab=default_tab&amp;search_scope=EVERYTHING&amp;vid=01CRU&amp;lang=en_US&amp;offset=0&amp;query=any,contains,991004926349702656","Catalog Record")</f>
        <v/>
      </c>
      <c r="AT434">
        <f>HYPERLINK("http://www.worldcat.org/oclc/6086293","WorldCat Record")</f>
        <v/>
      </c>
      <c r="AU434" t="inlineStr">
        <is>
          <t>355806859:eng</t>
        </is>
      </c>
      <c r="AV434" t="inlineStr">
        <is>
          <t>6086293</t>
        </is>
      </c>
      <c r="AW434" t="inlineStr">
        <is>
          <t>991004926349702656</t>
        </is>
      </c>
      <c r="AX434" t="inlineStr">
        <is>
          <t>991004926349702656</t>
        </is>
      </c>
      <c r="AY434" t="inlineStr">
        <is>
          <t>2257739820002656</t>
        </is>
      </c>
      <c r="AZ434" t="inlineStr">
        <is>
          <t>BOOK</t>
        </is>
      </c>
      <c r="BB434" t="inlineStr">
        <is>
          <t>9780306404337</t>
        </is>
      </c>
      <c r="BC434" t="inlineStr">
        <is>
          <t>32285000287010</t>
        </is>
      </c>
      <c r="BD434" t="inlineStr">
        <is>
          <t>893443202</t>
        </is>
      </c>
    </row>
    <row r="435">
      <c r="A435" t="inlineStr">
        <is>
          <t>No</t>
        </is>
      </c>
      <c r="B435" t="inlineStr">
        <is>
          <t>GF27 .S36</t>
        </is>
      </c>
      <c r="C435" t="inlineStr">
        <is>
          <t>0                      GF 0027000S  36</t>
        </is>
      </c>
      <c r="D435" t="inlineStr">
        <is>
          <t>Outlines of environmental education. Edited by Clay Schoenfeld.</t>
        </is>
      </c>
      <c r="F435" t="inlineStr">
        <is>
          <t>No</t>
        </is>
      </c>
      <c r="G435" t="inlineStr">
        <is>
          <t>1</t>
        </is>
      </c>
      <c r="H435" t="inlineStr">
        <is>
          <t>No</t>
        </is>
      </c>
      <c r="I435" t="inlineStr">
        <is>
          <t>No</t>
        </is>
      </c>
      <c r="J435" t="inlineStr">
        <is>
          <t>0</t>
        </is>
      </c>
      <c r="K435" t="inlineStr">
        <is>
          <t>Schoenfeld, Clay, 1918-1996, compiler.</t>
        </is>
      </c>
      <c r="L435" t="inlineStr">
        <is>
          <t>Madison, Wis., Dembar Educational Research Services [1971?]</t>
        </is>
      </c>
      <c r="M435" t="inlineStr">
        <is>
          <t>1971</t>
        </is>
      </c>
      <c r="O435" t="inlineStr">
        <is>
          <t>eng</t>
        </is>
      </c>
      <c r="P435" t="inlineStr">
        <is>
          <t>wiu</t>
        </is>
      </c>
      <c r="R435" t="inlineStr">
        <is>
          <t xml:space="preserve">GF </t>
        </is>
      </c>
      <c r="S435" t="n">
        <v>1</v>
      </c>
      <c r="T435" t="n">
        <v>1</v>
      </c>
      <c r="U435" t="inlineStr">
        <is>
          <t>1999-02-25</t>
        </is>
      </c>
      <c r="V435" t="inlineStr">
        <is>
          <t>1999-02-25</t>
        </is>
      </c>
      <c r="W435" t="inlineStr">
        <is>
          <t>1997-05-27</t>
        </is>
      </c>
      <c r="X435" t="inlineStr">
        <is>
          <t>1997-05-27</t>
        </is>
      </c>
      <c r="Y435" t="n">
        <v>186</v>
      </c>
      <c r="Z435" t="n">
        <v>168</v>
      </c>
      <c r="AA435" t="n">
        <v>173</v>
      </c>
      <c r="AB435" t="n">
        <v>1</v>
      </c>
      <c r="AC435" t="n">
        <v>1</v>
      </c>
      <c r="AD435" t="n">
        <v>7</v>
      </c>
      <c r="AE435" t="n">
        <v>7</v>
      </c>
      <c r="AF435" t="n">
        <v>4</v>
      </c>
      <c r="AG435" t="n">
        <v>4</v>
      </c>
      <c r="AH435" t="n">
        <v>2</v>
      </c>
      <c r="AI435" t="n">
        <v>2</v>
      </c>
      <c r="AJ435" t="n">
        <v>5</v>
      </c>
      <c r="AK435" t="n">
        <v>5</v>
      </c>
      <c r="AL435" t="n">
        <v>0</v>
      </c>
      <c r="AM435" t="n">
        <v>0</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HYPERLINK("https://creighton-primo.hosted.exlibrisgroup.com/primo-explore/search?tab=default_tab&amp;search_scope=EVERYTHING&amp;vid=01CRU&amp;lang=en_US&amp;offset=0&amp;query=any,contains,991002072509702656","Catalog Record")</f>
        <v/>
      </c>
      <c r="AT435">
        <f>HYPERLINK("http://www.worldcat.org/oclc/263622","WorldCat Record")</f>
        <v/>
      </c>
      <c r="AU435" t="inlineStr">
        <is>
          <t>3141153:eng</t>
        </is>
      </c>
      <c r="AV435" t="inlineStr">
        <is>
          <t>263622</t>
        </is>
      </c>
      <c r="AW435" t="inlineStr">
        <is>
          <t>991002072509702656</t>
        </is>
      </c>
      <c r="AX435" t="inlineStr">
        <is>
          <t>991002072509702656</t>
        </is>
      </c>
      <c r="AY435" t="inlineStr">
        <is>
          <t>2268703900002656</t>
        </is>
      </c>
      <c r="AZ435" t="inlineStr">
        <is>
          <t>BOOK</t>
        </is>
      </c>
      <c r="BC435" t="inlineStr">
        <is>
          <t>32285002693975</t>
        </is>
      </c>
      <c r="BD435" t="inlineStr">
        <is>
          <t>893414783</t>
        </is>
      </c>
    </row>
    <row r="436">
      <c r="A436" t="inlineStr">
        <is>
          <t>No</t>
        </is>
      </c>
      <c r="B436" t="inlineStr">
        <is>
          <t>GF27 .V58</t>
        </is>
      </c>
      <c r="C436" t="inlineStr">
        <is>
          <t>0                      GF 0027000V  58</t>
        </is>
      </c>
      <c r="D436" t="inlineStr">
        <is>
          <t>Sourcebook for environmental education [by] V. Eugene Vivian.</t>
        </is>
      </c>
      <c r="F436" t="inlineStr">
        <is>
          <t>No</t>
        </is>
      </c>
      <c r="G436" t="inlineStr">
        <is>
          <t>1</t>
        </is>
      </c>
      <c r="H436" t="inlineStr">
        <is>
          <t>No</t>
        </is>
      </c>
      <c r="I436" t="inlineStr">
        <is>
          <t>No</t>
        </is>
      </c>
      <c r="J436" t="inlineStr">
        <is>
          <t>0</t>
        </is>
      </c>
      <c r="K436" t="inlineStr">
        <is>
          <t>Vivian, V. Eugene.</t>
        </is>
      </c>
      <c r="L436" t="inlineStr">
        <is>
          <t>Saint Louis, Mosby, 1973.</t>
        </is>
      </c>
      <c r="M436" t="inlineStr">
        <is>
          <t>1973</t>
        </is>
      </c>
      <c r="O436" t="inlineStr">
        <is>
          <t>eng</t>
        </is>
      </c>
      <c r="P436" t="inlineStr">
        <is>
          <t>mou</t>
        </is>
      </c>
      <c r="R436" t="inlineStr">
        <is>
          <t xml:space="preserve">GF </t>
        </is>
      </c>
      <c r="S436" t="n">
        <v>2</v>
      </c>
      <c r="T436" t="n">
        <v>2</v>
      </c>
      <c r="U436" t="inlineStr">
        <is>
          <t>2000-10-12</t>
        </is>
      </c>
      <c r="V436" t="inlineStr">
        <is>
          <t>2000-10-12</t>
        </is>
      </c>
      <c r="W436" t="inlineStr">
        <is>
          <t>1997-05-27</t>
        </is>
      </c>
      <c r="X436" t="inlineStr">
        <is>
          <t>1997-05-27</t>
        </is>
      </c>
      <c r="Y436" t="n">
        <v>322</v>
      </c>
      <c r="Z436" t="n">
        <v>266</v>
      </c>
      <c r="AA436" t="n">
        <v>268</v>
      </c>
      <c r="AB436" t="n">
        <v>3</v>
      </c>
      <c r="AC436" t="n">
        <v>3</v>
      </c>
      <c r="AD436" t="n">
        <v>11</v>
      </c>
      <c r="AE436" t="n">
        <v>11</v>
      </c>
      <c r="AF436" t="n">
        <v>6</v>
      </c>
      <c r="AG436" t="n">
        <v>6</v>
      </c>
      <c r="AH436" t="n">
        <v>1</v>
      </c>
      <c r="AI436" t="n">
        <v>1</v>
      </c>
      <c r="AJ436" t="n">
        <v>5</v>
      </c>
      <c r="AK436" t="n">
        <v>5</v>
      </c>
      <c r="AL436" t="n">
        <v>2</v>
      </c>
      <c r="AM436" t="n">
        <v>2</v>
      </c>
      <c r="AN436" t="n">
        <v>0</v>
      </c>
      <c r="AO436" t="n">
        <v>0</v>
      </c>
      <c r="AP436" t="inlineStr">
        <is>
          <t>No</t>
        </is>
      </c>
      <c r="AQ436" t="inlineStr">
        <is>
          <t>Yes</t>
        </is>
      </c>
      <c r="AR436">
        <f>HYPERLINK("http://catalog.hathitrust.org/Record/102575005","HathiTrust Record")</f>
        <v/>
      </c>
      <c r="AS436">
        <f>HYPERLINK("https://creighton-primo.hosted.exlibrisgroup.com/primo-explore/search?tab=default_tab&amp;search_scope=EVERYTHING&amp;vid=01CRU&amp;lang=en_US&amp;offset=0&amp;query=any,contains,991003135049702656","Catalog Record")</f>
        <v/>
      </c>
      <c r="AT436">
        <f>HYPERLINK("http://www.worldcat.org/oclc/677104","WorldCat Record")</f>
        <v/>
      </c>
      <c r="AU436" t="inlineStr">
        <is>
          <t>1733519:eng</t>
        </is>
      </c>
      <c r="AV436" t="inlineStr">
        <is>
          <t>677104</t>
        </is>
      </c>
      <c r="AW436" t="inlineStr">
        <is>
          <t>991003135049702656</t>
        </is>
      </c>
      <c r="AX436" t="inlineStr">
        <is>
          <t>991003135049702656</t>
        </is>
      </c>
      <c r="AY436" t="inlineStr">
        <is>
          <t>2272324950002656</t>
        </is>
      </c>
      <c r="AZ436" t="inlineStr">
        <is>
          <t>BOOK</t>
        </is>
      </c>
      <c r="BB436" t="inlineStr">
        <is>
          <t>9780801652400</t>
        </is>
      </c>
      <c r="BC436" t="inlineStr">
        <is>
          <t>32285002693983</t>
        </is>
      </c>
      <c r="BD436" t="inlineStr">
        <is>
          <t>893498974</t>
        </is>
      </c>
    </row>
    <row r="437">
      <c r="A437" t="inlineStr">
        <is>
          <t>No</t>
        </is>
      </c>
      <c r="B437" t="inlineStr">
        <is>
          <t>GF3 .E17 1990</t>
        </is>
      </c>
      <c r="C437" t="inlineStr">
        <is>
          <t>0                      GF 0003000E  17          1990</t>
        </is>
      </c>
      <c r="D437" t="inlineStr">
        <is>
          <t>The Earth in transition : patterns and processes of biotic impoverishment / edited by George M. Woodwell.</t>
        </is>
      </c>
      <c r="F437" t="inlineStr">
        <is>
          <t>No</t>
        </is>
      </c>
      <c r="G437" t="inlineStr">
        <is>
          <t>1</t>
        </is>
      </c>
      <c r="H437" t="inlineStr">
        <is>
          <t>No</t>
        </is>
      </c>
      <c r="I437" t="inlineStr">
        <is>
          <t>No</t>
        </is>
      </c>
      <c r="J437" t="inlineStr">
        <is>
          <t>0</t>
        </is>
      </c>
      <c r="L437" t="inlineStr">
        <is>
          <t>Cambridge [England] ; New York : Cambridge University Press, 1990.</t>
        </is>
      </c>
      <c r="M437" t="inlineStr">
        <is>
          <t>1990</t>
        </is>
      </c>
      <c r="O437" t="inlineStr">
        <is>
          <t>eng</t>
        </is>
      </c>
      <c r="P437" t="inlineStr">
        <is>
          <t>enk</t>
        </is>
      </c>
      <c r="R437" t="inlineStr">
        <is>
          <t xml:space="preserve">GF </t>
        </is>
      </c>
      <c r="S437" t="n">
        <v>7</v>
      </c>
      <c r="T437" t="n">
        <v>7</v>
      </c>
      <c r="U437" t="inlineStr">
        <is>
          <t>1998-02-24</t>
        </is>
      </c>
      <c r="V437" t="inlineStr">
        <is>
          <t>1998-02-24</t>
        </is>
      </c>
      <c r="W437" t="inlineStr">
        <is>
          <t>1995-07-21</t>
        </is>
      </c>
      <c r="X437" t="inlineStr">
        <is>
          <t>1995-07-21</t>
        </is>
      </c>
      <c r="Y437" t="n">
        <v>496</v>
      </c>
      <c r="Z437" t="n">
        <v>391</v>
      </c>
      <c r="AA437" t="n">
        <v>400</v>
      </c>
      <c r="AB437" t="n">
        <v>4</v>
      </c>
      <c r="AC437" t="n">
        <v>4</v>
      </c>
      <c r="AD437" t="n">
        <v>14</v>
      </c>
      <c r="AE437" t="n">
        <v>14</v>
      </c>
      <c r="AF437" t="n">
        <v>6</v>
      </c>
      <c r="AG437" t="n">
        <v>6</v>
      </c>
      <c r="AH437" t="n">
        <v>3</v>
      </c>
      <c r="AI437" t="n">
        <v>3</v>
      </c>
      <c r="AJ437" t="n">
        <v>5</v>
      </c>
      <c r="AK437" t="n">
        <v>5</v>
      </c>
      <c r="AL437" t="n">
        <v>3</v>
      </c>
      <c r="AM437" t="n">
        <v>3</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HYPERLINK("https://creighton-primo.hosted.exlibrisgroup.com/primo-explore/search?tab=default_tab&amp;search_scope=EVERYTHING&amp;vid=01CRU&amp;lang=en_US&amp;offset=0&amp;query=any,contains,991001652989702656","Catalog Record")</f>
        <v/>
      </c>
      <c r="AT437">
        <f>HYPERLINK("http://www.worldcat.org/oclc/21046687","WorldCat Record")</f>
        <v/>
      </c>
      <c r="AU437" t="inlineStr">
        <is>
          <t>475535113:eng</t>
        </is>
      </c>
      <c r="AV437" t="inlineStr">
        <is>
          <t>21046687</t>
        </is>
      </c>
      <c r="AW437" t="inlineStr">
        <is>
          <t>991001652989702656</t>
        </is>
      </c>
      <c r="AX437" t="inlineStr">
        <is>
          <t>991001652989702656</t>
        </is>
      </c>
      <c r="AY437" t="inlineStr">
        <is>
          <t>2264243680002656</t>
        </is>
      </c>
      <c r="AZ437" t="inlineStr">
        <is>
          <t>BOOK</t>
        </is>
      </c>
      <c r="BB437" t="inlineStr">
        <is>
          <t>9780521391375</t>
        </is>
      </c>
      <c r="BC437" t="inlineStr">
        <is>
          <t>32285002075512</t>
        </is>
      </c>
      <c r="BD437" t="inlineStr">
        <is>
          <t>893426735</t>
        </is>
      </c>
    </row>
    <row r="438">
      <c r="A438" t="inlineStr">
        <is>
          <t>No</t>
        </is>
      </c>
      <c r="B438" t="inlineStr">
        <is>
          <t>GF3 .I5 1996</t>
        </is>
      </c>
      <c r="C438" t="inlineStr">
        <is>
          <t>0                      GF 0003000I  5           1996</t>
        </is>
      </c>
      <c r="D438" t="inlineStr">
        <is>
          <t>Our natural environment : concepts &amp; solutions : proceedings, second international Interdisciplinary Conference on the Environment, Newport, Rhode Island, USA, June 15-19, 1996 / edited by: Kevin L. Hickey, Demetri Kantarelis.</t>
        </is>
      </c>
      <c r="F438" t="inlineStr">
        <is>
          <t>No</t>
        </is>
      </c>
      <c r="G438" t="inlineStr">
        <is>
          <t>1</t>
        </is>
      </c>
      <c r="H438" t="inlineStr">
        <is>
          <t>No</t>
        </is>
      </c>
      <c r="I438" t="inlineStr">
        <is>
          <t>No</t>
        </is>
      </c>
      <c r="J438" t="inlineStr">
        <is>
          <t>0</t>
        </is>
      </c>
      <c r="K438" t="inlineStr">
        <is>
          <t>Interdisciplinary Conference on the Environment (2nd : 1996 : Newport, R.I.)</t>
        </is>
      </c>
      <c r="L438" t="inlineStr">
        <is>
          <t>Worcester, MA : Assumption College, c1996.</t>
        </is>
      </c>
      <c r="M438" t="inlineStr">
        <is>
          <t>1996</t>
        </is>
      </c>
      <c r="O438" t="inlineStr">
        <is>
          <t>eng</t>
        </is>
      </c>
      <c r="P438" t="inlineStr">
        <is>
          <t>riu</t>
        </is>
      </c>
      <c r="R438" t="inlineStr">
        <is>
          <t xml:space="preserve">GF </t>
        </is>
      </c>
      <c r="S438" t="n">
        <v>2</v>
      </c>
      <c r="T438" t="n">
        <v>2</v>
      </c>
      <c r="U438" t="inlineStr">
        <is>
          <t>2000-10-12</t>
        </is>
      </c>
      <c r="V438" t="inlineStr">
        <is>
          <t>2000-10-12</t>
        </is>
      </c>
      <c r="W438" t="inlineStr">
        <is>
          <t>2000-10-12</t>
        </is>
      </c>
      <c r="X438" t="inlineStr">
        <is>
          <t>2000-10-12</t>
        </is>
      </c>
      <c r="Y438" t="n">
        <v>10</v>
      </c>
      <c r="Z438" t="n">
        <v>7</v>
      </c>
      <c r="AA438" t="n">
        <v>8</v>
      </c>
      <c r="AB438" t="n">
        <v>1</v>
      </c>
      <c r="AC438" t="n">
        <v>1</v>
      </c>
      <c r="AD438" t="n">
        <v>0</v>
      </c>
      <c r="AE438" t="n">
        <v>0</v>
      </c>
      <c r="AF438" t="n">
        <v>0</v>
      </c>
      <c r="AG438" t="n">
        <v>0</v>
      </c>
      <c r="AH438" t="n">
        <v>0</v>
      </c>
      <c r="AI438" t="n">
        <v>0</v>
      </c>
      <c r="AJ438" t="n">
        <v>0</v>
      </c>
      <c r="AK438" t="n">
        <v>0</v>
      </c>
      <c r="AL438" t="n">
        <v>0</v>
      </c>
      <c r="AM438" t="n">
        <v>0</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HYPERLINK("https://creighton-primo.hosted.exlibrisgroup.com/primo-explore/search?tab=default_tab&amp;search_scope=EVERYTHING&amp;vid=01CRU&amp;lang=en_US&amp;offset=0&amp;query=any,contains,991003297509702656","Catalog Record")</f>
        <v/>
      </c>
      <c r="AT438">
        <f>HYPERLINK("http://www.worldcat.org/oclc/36467950","WorldCat Record")</f>
        <v/>
      </c>
      <c r="AU438" t="inlineStr">
        <is>
          <t>23660726:eng</t>
        </is>
      </c>
      <c r="AV438" t="inlineStr">
        <is>
          <t>36467950</t>
        </is>
      </c>
      <c r="AW438" t="inlineStr">
        <is>
          <t>991003297509702656</t>
        </is>
      </c>
      <c r="AX438" t="inlineStr">
        <is>
          <t>991003297509702656</t>
        </is>
      </c>
      <c r="AY438" t="inlineStr">
        <is>
          <t>2256977060002656</t>
        </is>
      </c>
      <c r="AZ438" t="inlineStr">
        <is>
          <t>BOOK</t>
        </is>
      </c>
      <c r="BC438" t="inlineStr">
        <is>
          <t>32285003767828</t>
        </is>
      </c>
      <c r="BD438" t="inlineStr">
        <is>
          <t>893686416</t>
        </is>
      </c>
    </row>
    <row r="439">
      <c r="A439" t="inlineStr">
        <is>
          <t>No</t>
        </is>
      </c>
      <c r="B439" t="inlineStr">
        <is>
          <t>GF3 .I5 1997</t>
        </is>
      </c>
      <c r="C439" t="inlineStr">
        <is>
          <t>0                      GF 0003000I  5           1997</t>
        </is>
      </c>
      <c r="D439" t="inlineStr">
        <is>
          <t>Our natural environment: at a crossroad : proceedings, third international Interdisciplinary Conference on the Environment, Cambridge / Boston, Massachusetts, USA, June 25-28, 1997 / edited by: Kevin L. Hickey, Demetri Kantarelis.</t>
        </is>
      </c>
      <c r="F439" t="inlineStr">
        <is>
          <t>No</t>
        </is>
      </c>
      <c r="G439" t="inlineStr">
        <is>
          <t>1</t>
        </is>
      </c>
      <c r="H439" t="inlineStr">
        <is>
          <t>No</t>
        </is>
      </c>
      <c r="I439" t="inlineStr">
        <is>
          <t>No</t>
        </is>
      </c>
      <c r="J439" t="inlineStr">
        <is>
          <t>0</t>
        </is>
      </c>
      <c r="K439" t="inlineStr">
        <is>
          <t>Interdisciplinary Conference on the Environment (3rd : 1997 : Cambridge, Mass.; Boston, Mass.)</t>
        </is>
      </c>
      <c r="L439" t="inlineStr">
        <is>
          <t>Worcester, MA : Assumption College, c1997.</t>
        </is>
      </c>
      <c r="M439" t="inlineStr">
        <is>
          <t>1997</t>
        </is>
      </c>
      <c r="O439" t="inlineStr">
        <is>
          <t>eng</t>
        </is>
      </c>
      <c r="P439" t="inlineStr">
        <is>
          <t>mau</t>
        </is>
      </c>
      <c r="R439" t="inlineStr">
        <is>
          <t xml:space="preserve">GF </t>
        </is>
      </c>
      <c r="S439" t="n">
        <v>2</v>
      </c>
      <c r="T439" t="n">
        <v>2</v>
      </c>
      <c r="U439" t="inlineStr">
        <is>
          <t>2000-09-21</t>
        </is>
      </c>
      <c r="V439" t="inlineStr">
        <is>
          <t>2000-09-21</t>
        </is>
      </c>
      <c r="W439" t="inlineStr">
        <is>
          <t>2000-09-21</t>
        </is>
      </c>
      <c r="X439" t="inlineStr">
        <is>
          <t>2000-09-21</t>
        </is>
      </c>
      <c r="Y439" t="n">
        <v>6</v>
      </c>
      <c r="Z439" t="n">
        <v>5</v>
      </c>
      <c r="AA439" t="n">
        <v>5</v>
      </c>
      <c r="AB439" t="n">
        <v>1</v>
      </c>
      <c r="AC439" t="n">
        <v>1</v>
      </c>
      <c r="AD439" t="n">
        <v>0</v>
      </c>
      <c r="AE439" t="n">
        <v>0</v>
      </c>
      <c r="AF439" t="n">
        <v>0</v>
      </c>
      <c r="AG439" t="n">
        <v>0</v>
      </c>
      <c r="AH439" t="n">
        <v>0</v>
      </c>
      <c r="AI439" t="n">
        <v>0</v>
      </c>
      <c r="AJ439" t="n">
        <v>0</v>
      </c>
      <c r="AK439" t="n">
        <v>0</v>
      </c>
      <c r="AL439" t="n">
        <v>0</v>
      </c>
      <c r="AM439" t="n">
        <v>0</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HYPERLINK("https://creighton-primo.hosted.exlibrisgroup.com/primo-explore/search?tab=default_tab&amp;search_scope=EVERYTHING&amp;vid=01CRU&amp;lang=en_US&amp;offset=0&amp;query=any,contains,991003293769702656","Catalog Record")</f>
        <v/>
      </c>
      <c r="AT439">
        <f>HYPERLINK("http://www.worldcat.org/oclc/40763627","WorldCat Record")</f>
        <v/>
      </c>
      <c r="AU439" t="inlineStr">
        <is>
          <t>25265122:eng</t>
        </is>
      </c>
      <c r="AV439" t="inlineStr">
        <is>
          <t>40763627</t>
        </is>
      </c>
      <c r="AW439" t="inlineStr">
        <is>
          <t>991003293769702656</t>
        </is>
      </c>
      <c r="AX439" t="inlineStr">
        <is>
          <t>991003293769702656</t>
        </is>
      </c>
      <c r="AY439" t="inlineStr">
        <is>
          <t>2270039630002656</t>
        </is>
      </c>
      <c r="AZ439" t="inlineStr">
        <is>
          <t>BOOK</t>
        </is>
      </c>
      <c r="BC439" t="inlineStr">
        <is>
          <t>32285003764130</t>
        </is>
      </c>
      <c r="BD439" t="inlineStr">
        <is>
          <t>893881019</t>
        </is>
      </c>
    </row>
    <row r="440">
      <c r="A440" t="inlineStr">
        <is>
          <t>No</t>
        </is>
      </c>
      <c r="B440" t="inlineStr">
        <is>
          <t>GF3 .I5 1998</t>
        </is>
      </c>
      <c r="C440" t="inlineStr">
        <is>
          <t>0                      GF 0003000I  5           1998</t>
        </is>
      </c>
      <c r="D440" t="inlineStr">
        <is>
          <t>Our natural environment : interdisciplinary interactions : proceedings, Fourth International Interdisciplinary Conference on the Environment, Washington, DC, USA, July 7-10, 1998 / edited by Kevin L. Hickey, Demetri Kantarelis.</t>
        </is>
      </c>
      <c r="F440" t="inlineStr">
        <is>
          <t>No</t>
        </is>
      </c>
      <c r="G440" t="inlineStr">
        <is>
          <t>1</t>
        </is>
      </c>
      <c r="H440" t="inlineStr">
        <is>
          <t>No</t>
        </is>
      </c>
      <c r="I440" t="inlineStr">
        <is>
          <t>No</t>
        </is>
      </c>
      <c r="J440" t="inlineStr">
        <is>
          <t>0</t>
        </is>
      </c>
      <c r="K440" t="inlineStr">
        <is>
          <t>Interdisciplinary Conference on the Environment (4th : 1998 : Washington, D.C.)</t>
        </is>
      </c>
      <c r="L440" t="inlineStr">
        <is>
          <t>Worcester, MA : Assumption College, Interdisciplinary Environmental Association, c1998.</t>
        </is>
      </c>
      <c r="M440" t="inlineStr">
        <is>
          <t>1998</t>
        </is>
      </c>
      <c r="O440" t="inlineStr">
        <is>
          <t>eng</t>
        </is>
      </c>
      <c r="P440" t="inlineStr">
        <is>
          <t>mau</t>
        </is>
      </c>
      <c r="R440" t="inlineStr">
        <is>
          <t xml:space="preserve">GF </t>
        </is>
      </c>
      <c r="S440" t="n">
        <v>2</v>
      </c>
      <c r="T440" t="n">
        <v>2</v>
      </c>
      <c r="U440" t="inlineStr">
        <is>
          <t>2000-09-21</t>
        </is>
      </c>
      <c r="V440" t="inlineStr">
        <is>
          <t>2000-09-21</t>
        </is>
      </c>
      <c r="W440" t="inlineStr">
        <is>
          <t>2000-09-21</t>
        </is>
      </c>
      <c r="X440" t="inlineStr">
        <is>
          <t>2000-09-21</t>
        </is>
      </c>
      <c r="Y440" t="n">
        <v>8</v>
      </c>
      <c r="Z440" t="n">
        <v>6</v>
      </c>
      <c r="AA440" t="n">
        <v>6</v>
      </c>
      <c r="AB440" t="n">
        <v>1</v>
      </c>
      <c r="AC440" t="n">
        <v>1</v>
      </c>
      <c r="AD440" t="n">
        <v>0</v>
      </c>
      <c r="AE440" t="n">
        <v>0</v>
      </c>
      <c r="AF440" t="n">
        <v>0</v>
      </c>
      <c r="AG440" t="n">
        <v>0</v>
      </c>
      <c r="AH440" t="n">
        <v>0</v>
      </c>
      <c r="AI440" t="n">
        <v>0</v>
      </c>
      <c r="AJ440" t="n">
        <v>0</v>
      </c>
      <c r="AK440" t="n">
        <v>0</v>
      </c>
      <c r="AL440" t="n">
        <v>0</v>
      </c>
      <c r="AM440" t="n">
        <v>0</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HYPERLINK("https://creighton-primo.hosted.exlibrisgroup.com/primo-explore/search?tab=default_tab&amp;search_scope=EVERYTHING&amp;vid=01CRU&amp;lang=en_US&amp;offset=0&amp;query=any,contains,991003293629702656","Catalog Record")</f>
        <v/>
      </c>
      <c r="AT440">
        <f>HYPERLINK("http://www.worldcat.org/oclc/40909162","WorldCat Record")</f>
        <v/>
      </c>
      <c r="AU440" t="inlineStr">
        <is>
          <t>3863848171:eng</t>
        </is>
      </c>
      <c r="AV440" t="inlineStr">
        <is>
          <t>40909162</t>
        </is>
      </c>
      <c r="AW440" t="inlineStr">
        <is>
          <t>991003293629702656</t>
        </is>
      </c>
      <c r="AX440" t="inlineStr">
        <is>
          <t>991003293629702656</t>
        </is>
      </c>
      <c r="AY440" t="inlineStr">
        <is>
          <t>2255029850002656</t>
        </is>
      </c>
      <c r="AZ440" t="inlineStr">
        <is>
          <t>BOOK</t>
        </is>
      </c>
      <c r="BB440" t="inlineStr">
        <is>
          <t>9780965403337</t>
        </is>
      </c>
      <c r="BC440" t="inlineStr">
        <is>
          <t>32285003764148</t>
        </is>
      </c>
      <c r="BD440" t="inlineStr">
        <is>
          <t>893535412</t>
        </is>
      </c>
    </row>
    <row r="441">
      <c r="A441" t="inlineStr">
        <is>
          <t>No</t>
        </is>
      </c>
      <c r="B441" t="inlineStr">
        <is>
          <t>GF31 .B68 1956</t>
        </is>
      </c>
      <c r="C441" t="inlineStr">
        <is>
          <t>0                      GF 0031000B  68          1956</t>
        </is>
      </c>
      <c r="D441" t="inlineStr">
        <is>
          <t>The challenge of man's future : an inquiry concerning the condition of man during the years that lie ahead / by Harrison Brown.</t>
        </is>
      </c>
      <c r="F441" t="inlineStr">
        <is>
          <t>No</t>
        </is>
      </c>
      <c r="G441" t="inlineStr">
        <is>
          <t>1</t>
        </is>
      </c>
      <c r="H441" t="inlineStr">
        <is>
          <t>No</t>
        </is>
      </c>
      <c r="I441" t="inlineStr">
        <is>
          <t>No</t>
        </is>
      </c>
      <c r="J441" t="inlineStr">
        <is>
          <t>0</t>
        </is>
      </c>
      <c r="K441" t="inlineStr">
        <is>
          <t>Brown, Harrison, 1917-1986.</t>
        </is>
      </c>
      <c r="L441" t="inlineStr">
        <is>
          <t>New York : Viking Press, 1956.</t>
        </is>
      </c>
      <c r="M441" t="inlineStr">
        <is>
          <t>1956</t>
        </is>
      </c>
      <c r="N441" t="inlineStr">
        <is>
          <t>Compass Books ed.</t>
        </is>
      </c>
      <c r="O441" t="inlineStr">
        <is>
          <t>eng</t>
        </is>
      </c>
      <c r="P441" t="inlineStr">
        <is>
          <t>nyu</t>
        </is>
      </c>
      <c r="Q441" t="inlineStr">
        <is>
          <t>Compass books ; C3</t>
        </is>
      </c>
      <c r="R441" t="inlineStr">
        <is>
          <t xml:space="preserve">GF </t>
        </is>
      </c>
      <c r="S441" t="n">
        <v>1</v>
      </c>
      <c r="T441" t="n">
        <v>1</v>
      </c>
      <c r="U441" t="inlineStr">
        <is>
          <t>2001-07-25</t>
        </is>
      </c>
      <c r="V441" t="inlineStr">
        <is>
          <t>2001-07-25</t>
        </is>
      </c>
      <c r="W441" t="inlineStr">
        <is>
          <t>2001-07-24</t>
        </is>
      </c>
      <c r="X441" t="inlineStr">
        <is>
          <t>2001-07-24</t>
        </is>
      </c>
      <c r="Y441" t="n">
        <v>82</v>
      </c>
      <c r="Z441" t="n">
        <v>79</v>
      </c>
      <c r="AA441" t="n">
        <v>100</v>
      </c>
      <c r="AB441" t="n">
        <v>1</v>
      </c>
      <c r="AC441" t="n">
        <v>1</v>
      </c>
      <c r="AD441" t="n">
        <v>3</v>
      </c>
      <c r="AE441" t="n">
        <v>5</v>
      </c>
      <c r="AF441" t="n">
        <v>1</v>
      </c>
      <c r="AG441" t="n">
        <v>1</v>
      </c>
      <c r="AH441" t="n">
        <v>0</v>
      </c>
      <c r="AI441" t="n">
        <v>1</v>
      </c>
      <c r="AJ441" t="n">
        <v>2</v>
      </c>
      <c r="AK441" t="n">
        <v>4</v>
      </c>
      <c r="AL441" t="n">
        <v>0</v>
      </c>
      <c r="AM441" t="n">
        <v>0</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HYPERLINK("https://creighton-primo.hosted.exlibrisgroup.com/primo-explore/search?tab=default_tab&amp;search_scope=EVERYTHING&amp;vid=01CRU&amp;lang=en_US&amp;offset=0&amp;query=any,contains,991003591689702656","Catalog Record")</f>
        <v/>
      </c>
      <c r="AT441">
        <f>HYPERLINK("http://www.worldcat.org/oclc/5377485","WorldCat Record")</f>
        <v/>
      </c>
      <c r="AU441" t="inlineStr">
        <is>
          <t>4662338343:eng</t>
        </is>
      </c>
      <c r="AV441" t="inlineStr">
        <is>
          <t>5377485</t>
        </is>
      </c>
      <c r="AW441" t="inlineStr">
        <is>
          <t>991003591689702656</t>
        </is>
      </c>
      <c r="AX441" t="inlineStr">
        <is>
          <t>991003591689702656</t>
        </is>
      </c>
      <c r="AY441" t="inlineStr">
        <is>
          <t>2271394410002656</t>
        </is>
      </c>
      <c r="AZ441" t="inlineStr">
        <is>
          <t>BOOK</t>
        </is>
      </c>
      <c r="BC441" t="inlineStr">
        <is>
          <t>32285004334875</t>
        </is>
      </c>
      <c r="BD441" t="inlineStr">
        <is>
          <t>893868590</t>
        </is>
      </c>
    </row>
    <row r="442">
      <c r="A442" t="inlineStr">
        <is>
          <t>No</t>
        </is>
      </c>
      <c r="B442" t="inlineStr">
        <is>
          <t>GF37 .S3 1963</t>
        </is>
      </c>
      <c r="C442" t="inlineStr">
        <is>
          <t>0                      GF 0037000S  3           1963</t>
        </is>
      </c>
      <c r="D442" t="inlineStr">
        <is>
          <t>Land and life : a selection from the writings of Carl Ortwin Sauer / edited by John Leighly.</t>
        </is>
      </c>
      <c r="F442" t="inlineStr">
        <is>
          <t>No</t>
        </is>
      </c>
      <c r="G442" t="inlineStr">
        <is>
          <t>1</t>
        </is>
      </c>
      <c r="H442" t="inlineStr">
        <is>
          <t>No</t>
        </is>
      </c>
      <c r="I442" t="inlineStr">
        <is>
          <t>No</t>
        </is>
      </c>
      <c r="J442" t="inlineStr">
        <is>
          <t>0</t>
        </is>
      </c>
      <c r="K442" t="inlineStr">
        <is>
          <t>Sauer, Carl Ortwin, 1889-1975.</t>
        </is>
      </c>
      <c r="L442" t="inlineStr">
        <is>
          <t>Berkeley : University of California Press, 1963.</t>
        </is>
      </c>
      <c r="M442" t="inlineStr">
        <is>
          <t>1963</t>
        </is>
      </c>
      <c r="O442" t="inlineStr">
        <is>
          <t>eng</t>
        </is>
      </c>
      <c r="P442" t="inlineStr">
        <is>
          <t>cau</t>
        </is>
      </c>
      <c r="R442" t="inlineStr">
        <is>
          <t xml:space="preserve">GF </t>
        </is>
      </c>
      <c r="S442" t="n">
        <v>3</v>
      </c>
      <c r="T442" t="n">
        <v>3</v>
      </c>
      <c r="U442" t="inlineStr">
        <is>
          <t>1994-04-19</t>
        </is>
      </c>
      <c r="V442" t="inlineStr">
        <is>
          <t>1994-04-19</t>
        </is>
      </c>
      <c r="W442" t="inlineStr">
        <is>
          <t>1993-05-03</t>
        </is>
      </c>
      <c r="X442" t="inlineStr">
        <is>
          <t>1993-05-03</t>
        </is>
      </c>
      <c r="Y442" t="n">
        <v>801</v>
      </c>
      <c r="Z442" t="n">
        <v>661</v>
      </c>
      <c r="AA442" t="n">
        <v>727</v>
      </c>
      <c r="AB442" t="n">
        <v>4</v>
      </c>
      <c r="AC442" t="n">
        <v>4</v>
      </c>
      <c r="AD442" t="n">
        <v>22</v>
      </c>
      <c r="AE442" t="n">
        <v>26</v>
      </c>
      <c r="AF442" t="n">
        <v>8</v>
      </c>
      <c r="AG442" t="n">
        <v>12</v>
      </c>
      <c r="AH442" t="n">
        <v>6</v>
      </c>
      <c r="AI442" t="n">
        <v>7</v>
      </c>
      <c r="AJ442" t="n">
        <v>10</v>
      </c>
      <c r="AK442" t="n">
        <v>11</v>
      </c>
      <c r="AL442" t="n">
        <v>3</v>
      </c>
      <c r="AM442" t="n">
        <v>3</v>
      </c>
      <c r="AN442" t="n">
        <v>0</v>
      </c>
      <c r="AO442" t="n">
        <v>0</v>
      </c>
      <c r="AP442" t="inlineStr">
        <is>
          <t>No</t>
        </is>
      </c>
      <c r="AQ442" t="inlineStr">
        <is>
          <t>No</t>
        </is>
      </c>
      <c r="AR442">
        <f>HYPERLINK("http://catalog.hathitrust.org/Record/001273772","HathiTrust Record")</f>
        <v/>
      </c>
      <c r="AS442">
        <f>HYPERLINK("https://creighton-primo.hosted.exlibrisgroup.com/primo-explore/search?tab=default_tab&amp;search_scope=EVERYTHING&amp;vid=01CRU&amp;lang=en_US&amp;offset=0&amp;query=any,contains,991002399079702656","Catalog Record")</f>
        <v/>
      </c>
      <c r="AT442">
        <f>HYPERLINK("http://www.worldcat.org/oclc/336111","WorldCat Record")</f>
        <v/>
      </c>
      <c r="AU442" t="inlineStr">
        <is>
          <t>198087394:eng</t>
        </is>
      </c>
      <c r="AV442" t="inlineStr">
        <is>
          <t>336111</t>
        </is>
      </c>
      <c r="AW442" t="inlineStr">
        <is>
          <t>991002399079702656</t>
        </is>
      </c>
      <c r="AX442" t="inlineStr">
        <is>
          <t>991002399079702656</t>
        </is>
      </c>
      <c r="AY442" t="inlineStr">
        <is>
          <t>2254958000002656</t>
        </is>
      </c>
      <c r="AZ442" t="inlineStr">
        <is>
          <t>BOOK</t>
        </is>
      </c>
      <c r="BC442" t="inlineStr">
        <is>
          <t>32285001632552</t>
        </is>
      </c>
      <c r="BD442" t="inlineStr">
        <is>
          <t>893523561</t>
        </is>
      </c>
    </row>
    <row r="443">
      <c r="A443" t="inlineStr">
        <is>
          <t>No</t>
        </is>
      </c>
      <c r="B443" t="inlineStr">
        <is>
          <t>GF41 .C355 1995</t>
        </is>
      </c>
      <c r="C443" t="inlineStr">
        <is>
          <t>0                      GF 0041000C  355         1995</t>
        </is>
      </c>
      <c r="D443" t="inlineStr">
        <is>
          <t>Human ecology : the story of our place in nature from prehistory to the present / Bernard Campbell.</t>
        </is>
      </c>
      <c r="F443" t="inlineStr">
        <is>
          <t>No</t>
        </is>
      </c>
      <c r="G443" t="inlineStr">
        <is>
          <t>1</t>
        </is>
      </c>
      <c r="H443" t="inlineStr">
        <is>
          <t>No</t>
        </is>
      </c>
      <c r="I443" t="inlineStr">
        <is>
          <t>No</t>
        </is>
      </c>
      <c r="J443" t="inlineStr">
        <is>
          <t>0</t>
        </is>
      </c>
      <c r="K443" t="inlineStr">
        <is>
          <t>Campbell, Bernard Grant.</t>
        </is>
      </c>
      <c r="L443" t="inlineStr">
        <is>
          <t>New York : A. de Gruyter, c1995.</t>
        </is>
      </c>
      <c r="M443" t="inlineStr">
        <is>
          <t>1995</t>
        </is>
      </c>
      <c r="N443" t="inlineStr">
        <is>
          <t>2nd ed.</t>
        </is>
      </c>
      <c r="O443" t="inlineStr">
        <is>
          <t>eng</t>
        </is>
      </c>
      <c r="P443" t="inlineStr">
        <is>
          <t>nyu</t>
        </is>
      </c>
      <c r="R443" t="inlineStr">
        <is>
          <t xml:space="preserve">GF </t>
        </is>
      </c>
      <c r="S443" t="n">
        <v>2</v>
      </c>
      <c r="T443" t="n">
        <v>2</v>
      </c>
      <c r="U443" t="inlineStr">
        <is>
          <t>2006-03-16</t>
        </is>
      </c>
      <c r="V443" t="inlineStr">
        <is>
          <t>2006-03-16</t>
        </is>
      </c>
      <c r="W443" t="inlineStr">
        <is>
          <t>1995-05-31</t>
        </is>
      </c>
      <c r="X443" t="inlineStr">
        <is>
          <t>1995-05-31</t>
        </is>
      </c>
      <c r="Y443" t="n">
        <v>248</v>
      </c>
      <c r="Z443" t="n">
        <v>189</v>
      </c>
      <c r="AA443" t="n">
        <v>566</v>
      </c>
      <c r="AB443" t="n">
        <v>2</v>
      </c>
      <c r="AC443" t="n">
        <v>4</v>
      </c>
      <c r="AD443" t="n">
        <v>7</v>
      </c>
      <c r="AE443" t="n">
        <v>24</v>
      </c>
      <c r="AF443" t="n">
        <v>4</v>
      </c>
      <c r="AG443" t="n">
        <v>10</v>
      </c>
      <c r="AH443" t="n">
        <v>0</v>
      </c>
      <c r="AI443" t="n">
        <v>3</v>
      </c>
      <c r="AJ443" t="n">
        <v>2</v>
      </c>
      <c r="AK443" t="n">
        <v>11</v>
      </c>
      <c r="AL443" t="n">
        <v>1</v>
      </c>
      <c r="AM443" t="n">
        <v>3</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HYPERLINK("https://creighton-primo.hosted.exlibrisgroup.com/primo-explore/search?tab=default_tab&amp;search_scope=EVERYTHING&amp;vid=01CRU&amp;lang=en_US&amp;offset=0&amp;query=any,contains,991002421069702656","Catalog Record")</f>
        <v/>
      </c>
      <c r="AT443">
        <f>HYPERLINK("http://www.worldcat.org/oclc/31519210","WorldCat Record")</f>
        <v/>
      </c>
      <c r="AU443" t="inlineStr">
        <is>
          <t>2810235:eng</t>
        </is>
      </c>
      <c r="AV443" t="inlineStr">
        <is>
          <t>31519210</t>
        </is>
      </c>
      <c r="AW443" t="inlineStr">
        <is>
          <t>991002421069702656</t>
        </is>
      </c>
      <c r="AX443" t="inlineStr">
        <is>
          <t>991002421069702656</t>
        </is>
      </c>
      <c r="AY443" t="inlineStr">
        <is>
          <t>2267356360002656</t>
        </is>
      </c>
      <c r="AZ443" t="inlineStr">
        <is>
          <t>BOOK</t>
        </is>
      </c>
      <c r="BB443" t="inlineStr">
        <is>
          <t>9780202020341</t>
        </is>
      </c>
      <c r="BC443" t="inlineStr">
        <is>
          <t>32285002048352</t>
        </is>
      </c>
      <c r="BD443" t="inlineStr">
        <is>
          <t>893329056</t>
        </is>
      </c>
    </row>
    <row r="444">
      <c r="A444" t="inlineStr">
        <is>
          <t>No</t>
        </is>
      </c>
      <c r="B444" t="inlineStr">
        <is>
          <t>GF41 .E24 1982</t>
        </is>
      </c>
      <c r="C444" t="inlineStr">
        <is>
          <t>0                      GF 0041000E  24          1982</t>
        </is>
      </c>
      <c r="D444" t="inlineStr">
        <is>
          <t>Down to earth : environment and human needs / Erik P. Eckholm ; International Institute for Environment and Development.</t>
        </is>
      </c>
      <c r="F444" t="inlineStr">
        <is>
          <t>No</t>
        </is>
      </c>
      <c r="G444" t="inlineStr">
        <is>
          <t>1</t>
        </is>
      </c>
      <c r="H444" t="inlineStr">
        <is>
          <t>No</t>
        </is>
      </c>
      <c r="I444" t="inlineStr">
        <is>
          <t>No</t>
        </is>
      </c>
      <c r="J444" t="inlineStr">
        <is>
          <t>0</t>
        </is>
      </c>
      <c r="K444" t="inlineStr">
        <is>
          <t>Eckholm, Erik P.</t>
        </is>
      </c>
      <c r="L444" t="inlineStr">
        <is>
          <t>New York : Norton, c1982.</t>
        </is>
      </c>
      <c r="M444" t="inlineStr">
        <is>
          <t>1982</t>
        </is>
      </c>
      <c r="N444" t="inlineStr">
        <is>
          <t>1st ed.</t>
        </is>
      </c>
      <c r="O444" t="inlineStr">
        <is>
          <t>eng</t>
        </is>
      </c>
      <c r="P444" t="inlineStr">
        <is>
          <t>nyu</t>
        </is>
      </c>
      <c r="R444" t="inlineStr">
        <is>
          <t xml:space="preserve">GF </t>
        </is>
      </c>
      <c r="S444" t="n">
        <v>4</v>
      </c>
      <c r="T444" t="n">
        <v>4</v>
      </c>
      <c r="U444" t="inlineStr">
        <is>
          <t>1994-12-05</t>
        </is>
      </c>
      <c r="V444" t="inlineStr">
        <is>
          <t>1994-12-05</t>
        </is>
      </c>
      <c r="W444" t="inlineStr">
        <is>
          <t>1990-09-14</t>
        </is>
      </c>
      <c r="X444" t="inlineStr">
        <is>
          <t>1990-09-14</t>
        </is>
      </c>
      <c r="Y444" t="n">
        <v>683</v>
      </c>
      <c r="Z444" t="n">
        <v>593</v>
      </c>
      <c r="AA444" t="n">
        <v>600</v>
      </c>
      <c r="AB444" t="n">
        <v>7</v>
      </c>
      <c r="AC444" t="n">
        <v>7</v>
      </c>
      <c r="AD444" t="n">
        <v>19</v>
      </c>
      <c r="AE444" t="n">
        <v>19</v>
      </c>
      <c r="AF444" t="n">
        <v>6</v>
      </c>
      <c r="AG444" t="n">
        <v>6</v>
      </c>
      <c r="AH444" t="n">
        <v>4</v>
      </c>
      <c r="AI444" t="n">
        <v>4</v>
      </c>
      <c r="AJ444" t="n">
        <v>9</v>
      </c>
      <c r="AK444" t="n">
        <v>9</v>
      </c>
      <c r="AL444" t="n">
        <v>5</v>
      </c>
      <c r="AM444" t="n">
        <v>5</v>
      </c>
      <c r="AN444" t="n">
        <v>1</v>
      </c>
      <c r="AO444" t="n">
        <v>1</v>
      </c>
      <c r="AP444" t="inlineStr">
        <is>
          <t>No</t>
        </is>
      </c>
      <c r="AQ444" t="inlineStr">
        <is>
          <t>No</t>
        </is>
      </c>
      <c r="AS444">
        <f>HYPERLINK("https://creighton-primo.hosted.exlibrisgroup.com/primo-explore/search?tab=default_tab&amp;search_scope=EVERYTHING&amp;vid=01CRU&amp;lang=en_US&amp;offset=0&amp;query=any,contains,991005225459702656","Catalog Record")</f>
        <v/>
      </c>
      <c r="AT444">
        <f>HYPERLINK("http://www.worldcat.org/oclc/8281528","WorldCat Record")</f>
        <v/>
      </c>
      <c r="AU444" t="inlineStr">
        <is>
          <t>836688570:eng</t>
        </is>
      </c>
      <c r="AV444" t="inlineStr">
        <is>
          <t>8281528</t>
        </is>
      </c>
      <c r="AW444" t="inlineStr">
        <is>
          <t>991005225459702656</t>
        </is>
      </c>
      <c r="AX444" t="inlineStr">
        <is>
          <t>991005225459702656</t>
        </is>
      </c>
      <c r="AY444" t="inlineStr">
        <is>
          <t>2266824780002656</t>
        </is>
      </c>
      <c r="AZ444" t="inlineStr">
        <is>
          <t>BOOK</t>
        </is>
      </c>
      <c r="BB444" t="inlineStr">
        <is>
          <t>9780393016000</t>
        </is>
      </c>
      <c r="BC444" t="inlineStr">
        <is>
          <t>32285000287044</t>
        </is>
      </c>
      <c r="BD444" t="inlineStr">
        <is>
          <t>893607038</t>
        </is>
      </c>
    </row>
    <row r="445">
      <c r="A445" t="inlineStr">
        <is>
          <t>No</t>
        </is>
      </c>
      <c r="B445" t="inlineStr">
        <is>
          <t>GF41 .E39 1973</t>
        </is>
      </c>
      <c r="C445" t="inlineStr">
        <is>
          <t>0                      GF 0041000E  39          1973</t>
        </is>
      </c>
      <c r="D445" t="inlineStr">
        <is>
          <t>Pollution, resources, and the environment / edited with an introd. by Alain C. Enthoven and A. Myrick Freeman III.</t>
        </is>
      </c>
      <c r="F445" t="inlineStr">
        <is>
          <t>No</t>
        </is>
      </c>
      <c r="G445" t="inlineStr">
        <is>
          <t>1</t>
        </is>
      </c>
      <c r="H445" t="inlineStr">
        <is>
          <t>No</t>
        </is>
      </c>
      <c r="I445" t="inlineStr">
        <is>
          <t>No</t>
        </is>
      </c>
      <c r="J445" t="inlineStr">
        <is>
          <t>0</t>
        </is>
      </c>
      <c r="K445" t="inlineStr">
        <is>
          <t>Enthoven, Alain C., 1930- compiler.</t>
        </is>
      </c>
      <c r="L445" t="inlineStr">
        <is>
          <t>New York : Norton, [1973]</t>
        </is>
      </c>
      <c r="M445" t="inlineStr">
        <is>
          <t>1973</t>
        </is>
      </c>
      <c r="N445" t="inlineStr">
        <is>
          <t>[1st ed.]</t>
        </is>
      </c>
      <c r="O445" t="inlineStr">
        <is>
          <t>eng</t>
        </is>
      </c>
      <c r="P445" t="inlineStr">
        <is>
          <t>nyu</t>
        </is>
      </c>
      <c r="Q445" t="inlineStr">
        <is>
          <t>Problems of the modern economy</t>
        </is>
      </c>
      <c r="R445" t="inlineStr">
        <is>
          <t xml:space="preserve">GF </t>
        </is>
      </c>
      <c r="S445" t="n">
        <v>2</v>
      </c>
      <c r="T445" t="n">
        <v>2</v>
      </c>
      <c r="U445" t="inlineStr">
        <is>
          <t>1992-10-16</t>
        </is>
      </c>
      <c r="V445" t="inlineStr">
        <is>
          <t>1992-10-16</t>
        </is>
      </c>
      <c r="W445" t="inlineStr">
        <is>
          <t>1992-05-08</t>
        </is>
      </c>
      <c r="X445" t="inlineStr">
        <is>
          <t>1992-05-08</t>
        </is>
      </c>
      <c r="Y445" t="n">
        <v>789</v>
      </c>
      <c r="Z445" t="n">
        <v>660</v>
      </c>
      <c r="AA445" t="n">
        <v>666</v>
      </c>
      <c r="AB445" t="n">
        <v>5</v>
      </c>
      <c r="AC445" t="n">
        <v>5</v>
      </c>
      <c r="AD445" t="n">
        <v>24</v>
      </c>
      <c r="AE445" t="n">
        <v>24</v>
      </c>
      <c r="AF445" t="n">
        <v>8</v>
      </c>
      <c r="AG445" t="n">
        <v>8</v>
      </c>
      <c r="AH445" t="n">
        <v>5</v>
      </c>
      <c r="AI445" t="n">
        <v>5</v>
      </c>
      <c r="AJ445" t="n">
        <v>9</v>
      </c>
      <c r="AK445" t="n">
        <v>9</v>
      </c>
      <c r="AL445" t="n">
        <v>4</v>
      </c>
      <c r="AM445" t="n">
        <v>4</v>
      </c>
      <c r="AN445" t="n">
        <v>3</v>
      </c>
      <c r="AO445" t="n">
        <v>3</v>
      </c>
      <c r="AP445" t="inlineStr">
        <is>
          <t>No</t>
        </is>
      </c>
      <c r="AQ445" t="inlineStr">
        <is>
          <t>Yes</t>
        </is>
      </c>
      <c r="AR445">
        <f>HYPERLINK("http://catalog.hathitrust.org/Record/001273776","HathiTrust Record")</f>
        <v/>
      </c>
      <c r="AS445">
        <f>HYPERLINK("https://creighton-primo.hosted.exlibrisgroup.com/primo-explore/search?tab=default_tab&amp;search_scope=EVERYTHING&amp;vid=01CRU&amp;lang=en_US&amp;offset=0&amp;query=any,contains,991003130569702656","Catalog Record")</f>
        <v/>
      </c>
      <c r="AT445">
        <f>HYPERLINK("http://www.worldcat.org/oclc/673520","WorldCat Record")</f>
        <v/>
      </c>
      <c r="AU445" t="inlineStr">
        <is>
          <t>1717625:eng</t>
        </is>
      </c>
      <c r="AV445" t="inlineStr">
        <is>
          <t>673520</t>
        </is>
      </c>
      <c r="AW445" t="inlineStr">
        <is>
          <t>991003130569702656</t>
        </is>
      </c>
      <c r="AX445" t="inlineStr">
        <is>
          <t>991003130569702656</t>
        </is>
      </c>
      <c r="AY445" t="inlineStr">
        <is>
          <t>2268928880002656</t>
        </is>
      </c>
      <c r="AZ445" t="inlineStr">
        <is>
          <t>BOOK</t>
        </is>
      </c>
      <c r="BB445" t="inlineStr">
        <is>
          <t>9780393055023</t>
        </is>
      </c>
      <c r="BC445" t="inlineStr">
        <is>
          <t>32285001105369</t>
        </is>
      </c>
      <c r="BD445" t="inlineStr">
        <is>
          <t>893428482</t>
        </is>
      </c>
    </row>
    <row r="446">
      <c r="A446" t="inlineStr">
        <is>
          <t>No</t>
        </is>
      </c>
      <c r="B446" t="inlineStr">
        <is>
          <t>GF41 .J3</t>
        </is>
      </c>
      <c r="C446" t="inlineStr">
        <is>
          <t>0                      GF 0041000J  3</t>
        </is>
      </c>
      <c r="D446" t="inlineStr">
        <is>
          <t>Only one earth; the care and maintenance of a small planet, by Barbara Ward and René Dubos.</t>
        </is>
      </c>
      <c r="F446" t="inlineStr">
        <is>
          <t>No</t>
        </is>
      </c>
      <c r="G446" t="inlineStr">
        <is>
          <t>1</t>
        </is>
      </c>
      <c r="H446" t="inlineStr">
        <is>
          <t>No</t>
        </is>
      </c>
      <c r="I446" t="inlineStr">
        <is>
          <t>No</t>
        </is>
      </c>
      <c r="J446" t="inlineStr">
        <is>
          <t>0</t>
        </is>
      </c>
      <c r="K446" t="inlineStr">
        <is>
          <t>Ward, Barbara, 1914-1981.</t>
        </is>
      </c>
      <c r="L446" t="inlineStr">
        <is>
          <t>New York, Norton [1972]</t>
        </is>
      </c>
      <c r="M446" t="inlineStr">
        <is>
          <t>1972</t>
        </is>
      </c>
      <c r="N446" t="inlineStr">
        <is>
          <t>[1st ed.]</t>
        </is>
      </c>
      <c r="O446" t="inlineStr">
        <is>
          <t>eng</t>
        </is>
      </c>
      <c r="P446" t="inlineStr">
        <is>
          <t>nyu</t>
        </is>
      </c>
      <c r="R446" t="inlineStr">
        <is>
          <t xml:space="preserve">GF </t>
        </is>
      </c>
      <c r="S446" t="n">
        <v>1</v>
      </c>
      <c r="T446" t="n">
        <v>1</v>
      </c>
      <c r="U446" t="inlineStr">
        <is>
          <t>2008-04-07</t>
        </is>
      </c>
      <c r="V446" t="inlineStr">
        <is>
          <t>2008-04-07</t>
        </is>
      </c>
      <c r="W446" t="inlineStr">
        <is>
          <t>1997-05-27</t>
        </is>
      </c>
      <c r="X446" t="inlineStr">
        <is>
          <t>1997-05-27</t>
        </is>
      </c>
      <c r="Y446" t="n">
        <v>1819</v>
      </c>
      <c r="Z446" t="n">
        <v>1663</v>
      </c>
      <c r="AA446" t="n">
        <v>1688</v>
      </c>
      <c r="AB446" t="n">
        <v>10</v>
      </c>
      <c r="AC446" t="n">
        <v>10</v>
      </c>
      <c r="AD446" t="n">
        <v>56</v>
      </c>
      <c r="AE446" t="n">
        <v>56</v>
      </c>
      <c r="AF446" t="n">
        <v>20</v>
      </c>
      <c r="AG446" t="n">
        <v>20</v>
      </c>
      <c r="AH446" t="n">
        <v>11</v>
      </c>
      <c r="AI446" t="n">
        <v>11</v>
      </c>
      <c r="AJ446" t="n">
        <v>25</v>
      </c>
      <c r="AK446" t="n">
        <v>25</v>
      </c>
      <c r="AL446" t="n">
        <v>7</v>
      </c>
      <c r="AM446" t="n">
        <v>7</v>
      </c>
      <c r="AN446" t="n">
        <v>6</v>
      </c>
      <c r="AO446" t="n">
        <v>6</v>
      </c>
      <c r="AP446" t="inlineStr">
        <is>
          <t>No</t>
        </is>
      </c>
      <c r="AQ446" t="inlineStr">
        <is>
          <t>No</t>
        </is>
      </c>
      <c r="AS446">
        <f>HYPERLINK("https://creighton-primo.hosted.exlibrisgroup.com/primo-explore/search?tab=default_tab&amp;search_scope=EVERYTHING&amp;vid=01CRU&amp;lang=en_US&amp;offset=0&amp;query=any,contains,991002108259702656","Catalog Record")</f>
        <v/>
      </c>
      <c r="AT446">
        <f>HYPERLINK("http://www.worldcat.org/oclc/266940","WorldCat Record")</f>
        <v/>
      </c>
      <c r="AU446" t="inlineStr">
        <is>
          <t>289242145:eng</t>
        </is>
      </c>
      <c r="AV446" t="inlineStr">
        <is>
          <t>266940</t>
        </is>
      </c>
      <c r="AW446" t="inlineStr">
        <is>
          <t>991002108259702656</t>
        </is>
      </c>
      <c r="AX446" t="inlineStr">
        <is>
          <t>991002108259702656</t>
        </is>
      </c>
      <c r="AY446" t="inlineStr">
        <is>
          <t>2269082270002656</t>
        </is>
      </c>
      <c r="AZ446" t="inlineStr">
        <is>
          <t>BOOK</t>
        </is>
      </c>
      <c r="BB446" t="inlineStr">
        <is>
          <t>9780393063912</t>
        </is>
      </c>
      <c r="BC446" t="inlineStr">
        <is>
          <t>32285002694023</t>
        </is>
      </c>
      <c r="BD446" t="inlineStr">
        <is>
          <t>893691231</t>
        </is>
      </c>
    </row>
    <row r="447">
      <c r="A447" t="inlineStr">
        <is>
          <t>No</t>
        </is>
      </c>
      <c r="B447" t="inlineStr">
        <is>
          <t>GF41 .K38 1993</t>
        </is>
      </c>
      <c r="C447" t="inlineStr">
        <is>
          <t>0                      GF 0041000K  38          1993</t>
        </is>
      </c>
      <c r="D447" t="inlineStr">
        <is>
          <t>Biosphere 2000 : protecting our global environment / Donald G. Kaufman, Cecilia M. Franz.</t>
        </is>
      </c>
      <c r="F447" t="inlineStr">
        <is>
          <t>No</t>
        </is>
      </c>
      <c r="G447" t="inlineStr">
        <is>
          <t>1</t>
        </is>
      </c>
      <c r="H447" t="inlineStr">
        <is>
          <t>No</t>
        </is>
      </c>
      <c r="I447" t="inlineStr">
        <is>
          <t>No</t>
        </is>
      </c>
      <c r="J447" t="inlineStr">
        <is>
          <t>0</t>
        </is>
      </c>
      <c r="K447" t="inlineStr">
        <is>
          <t>Kaufman, Donald G.</t>
        </is>
      </c>
      <c r="L447" t="inlineStr">
        <is>
          <t>New York, NY : HarperCollins College Publishers, c1993.</t>
        </is>
      </c>
      <c r="M447" t="inlineStr">
        <is>
          <t>1993</t>
        </is>
      </c>
      <c r="O447" t="inlineStr">
        <is>
          <t>eng</t>
        </is>
      </c>
      <c r="P447" t="inlineStr">
        <is>
          <t>nyu</t>
        </is>
      </c>
      <c r="R447" t="inlineStr">
        <is>
          <t xml:space="preserve">GF </t>
        </is>
      </c>
      <c r="S447" t="n">
        <v>14</v>
      </c>
      <c r="T447" t="n">
        <v>14</v>
      </c>
      <c r="U447" t="inlineStr">
        <is>
          <t>1997-10-29</t>
        </is>
      </c>
      <c r="V447" t="inlineStr">
        <is>
          <t>1997-10-29</t>
        </is>
      </c>
      <c r="W447" t="inlineStr">
        <is>
          <t>1993-09-01</t>
        </is>
      </c>
      <c r="X447" t="inlineStr">
        <is>
          <t>1993-09-01</t>
        </is>
      </c>
      <c r="Y447" t="n">
        <v>181</v>
      </c>
      <c r="Z447" t="n">
        <v>110</v>
      </c>
      <c r="AA447" t="n">
        <v>182</v>
      </c>
      <c r="AB447" t="n">
        <v>1</v>
      </c>
      <c r="AC447" t="n">
        <v>1</v>
      </c>
      <c r="AD447" t="n">
        <v>2</v>
      </c>
      <c r="AE447" t="n">
        <v>2</v>
      </c>
      <c r="AF447" t="n">
        <v>1</v>
      </c>
      <c r="AG447" t="n">
        <v>1</v>
      </c>
      <c r="AH447" t="n">
        <v>0</v>
      </c>
      <c r="AI447" t="n">
        <v>0</v>
      </c>
      <c r="AJ447" t="n">
        <v>1</v>
      </c>
      <c r="AK447" t="n">
        <v>1</v>
      </c>
      <c r="AL447" t="n">
        <v>0</v>
      </c>
      <c r="AM447" t="n">
        <v>0</v>
      </c>
      <c r="AN447" t="n">
        <v>0</v>
      </c>
      <c r="AO447" t="n">
        <v>0</v>
      </c>
      <c r="AP447" t="inlineStr">
        <is>
          <t>No</t>
        </is>
      </c>
      <c r="AQ447" t="inlineStr">
        <is>
          <t>Yes</t>
        </is>
      </c>
      <c r="AR447">
        <f>HYPERLINK("http://catalog.hathitrust.org/Record/002779990","HathiTrust Record")</f>
        <v/>
      </c>
      <c r="AS447">
        <f>HYPERLINK("https://creighton-primo.hosted.exlibrisgroup.com/primo-explore/search?tab=default_tab&amp;search_scope=EVERYTHING&amp;vid=01CRU&amp;lang=en_US&amp;offset=0&amp;query=any,contains,991002042619702656","Catalog Record")</f>
        <v/>
      </c>
      <c r="AT447">
        <f>HYPERLINK("http://www.worldcat.org/oclc/26055287","WorldCat Record")</f>
        <v/>
      </c>
      <c r="AU447" t="inlineStr">
        <is>
          <t>2012499:eng</t>
        </is>
      </c>
      <c r="AV447" t="inlineStr">
        <is>
          <t>26055287</t>
        </is>
      </c>
      <c r="AW447" t="inlineStr">
        <is>
          <t>991002042619702656</t>
        </is>
      </c>
      <c r="AX447" t="inlineStr">
        <is>
          <t>991002042619702656</t>
        </is>
      </c>
      <c r="AY447" t="inlineStr">
        <is>
          <t>2259160700002656</t>
        </is>
      </c>
      <c r="AZ447" t="inlineStr">
        <is>
          <t>BOOK</t>
        </is>
      </c>
      <c r="BB447" t="inlineStr">
        <is>
          <t>9780060435769</t>
        </is>
      </c>
      <c r="BC447" t="inlineStr">
        <is>
          <t>32285001729473</t>
        </is>
      </c>
      <c r="BD447" t="inlineStr">
        <is>
          <t>893684886</t>
        </is>
      </c>
    </row>
    <row r="448">
      <c r="A448" t="inlineStr">
        <is>
          <t>No</t>
        </is>
      </c>
      <c r="B448" t="inlineStr">
        <is>
          <t>GF41 .S6</t>
        </is>
      </c>
      <c r="C448" t="inlineStr">
        <is>
          <t>0                      GF 0041000S  6</t>
        </is>
      </c>
      <c r="D448" t="inlineStr">
        <is>
          <t>Sourcebook on the environment : a guide to the literature / edited by Kenneth A. Hammond, George Macinko, Wilma B. Fairchild.</t>
        </is>
      </c>
      <c r="F448" t="inlineStr">
        <is>
          <t>No</t>
        </is>
      </c>
      <c r="G448" t="inlineStr">
        <is>
          <t>1</t>
        </is>
      </c>
      <c r="H448" t="inlineStr">
        <is>
          <t>No</t>
        </is>
      </c>
      <c r="I448" t="inlineStr">
        <is>
          <t>No</t>
        </is>
      </c>
      <c r="J448" t="inlineStr">
        <is>
          <t>0</t>
        </is>
      </c>
      <c r="L448" t="inlineStr">
        <is>
          <t>Chicago : University of Chicago Press, 1978.</t>
        </is>
      </c>
      <c r="M448" t="inlineStr">
        <is>
          <t>1978</t>
        </is>
      </c>
      <c r="O448" t="inlineStr">
        <is>
          <t>eng</t>
        </is>
      </c>
      <c r="P448" t="inlineStr">
        <is>
          <t>ilu</t>
        </is>
      </c>
      <c r="R448" t="inlineStr">
        <is>
          <t xml:space="preserve">GF </t>
        </is>
      </c>
      <c r="S448" t="n">
        <v>1</v>
      </c>
      <c r="T448" t="n">
        <v>1</v>
      </c>
      <c r="U448" t="inlineStr">
        <is>
          <t>2006-03-16</t>
        </is>
      </c>
      <c r="V448" t="inlineStr">
        <is>
          <t>2006-03-16</t>
        </is>
      </c>
      <c r="W448" t="inlineStr">
        <is>
          <t>1992-05-08</t>
        </is>
      </c>
      <c r="X448" t="inlineStr">
        <is>
          <t>1992-05-08</t>
        </is>
      </c>
      <c r="Y448" t="n">
        <v>642</v>
      </c>
      <c r="Z448" t="n">
        <v>465</v>
      </c>
      <c r="AA448" t="n">
        <v>469</v>
      </c>
      <c r="AB448" t="n">
        <v>4</v>
      </c>
      <c r="AC448" t="n">
        <v>4</v>
      </c>
      <c r="AD448" t="n">
        <v>16</v>
      </c>
      <c r="AE448" t="n">
        <v>16</v>
      </c>
      <c r="AF448" t="n">
        <v>3</v>
      </c>
      <c r="AG448" t="n">
        <v>3</v>
      </c>
      <c r="AH448" t="n">
        <v>4</v>
      </c>
      <c r="AI448" t="n">
        <v>4</v>
      </c>
      <c r="AJ448" t="n">
        <v>6</v>
      </c>
      <c r="AK448" t="n">
        <v>6</v>
      </c>
      <c r="AL448" t="n">
        <v>3</v>
      </c>
      <c r="AM448" t="n">
        <v>3</v>
      </c>
      <c r="AN448" t="n">
        <v>4</v>
      </c>
      <c r="AO448" t="n">
        <v>4</v>
      </c>
      <c r="AP448" t="inlineStr">
        <is>
          <t>No</t>
        </is>
      </c>
      <c r="AQ448" t="inlineStr">
        <is>
          <t>No</t>
        </is>
      </c>
      <c r="AS448">
        <f>HYPERLINK("https://creighton-primo.hosted.exlibrisgroup.com/primo-explore/search?tab=default_tab&amp;search_scope=EVERYTHING&amp;vid=01CRU&amp;lang=en_US&amp;offset=0&amp;query=any,contains,991004433409702656","Catalog Record")</f>
        <v/>
      </c>
      <c r="AT448">
        <f>HYPERLINK("http://www.worldcat.org/oclc/3433341","WorldCat Record")</f>
        <v/>
      </c>
      <c r="AU448" t="inlineStr">
        <is>
          <t>180112235:eng</t>
        </is>
      </c>
      <c r="AV448" t="inlineStr">
        <is>
          <t>3433341</t>
        </is>
      </c>
      <c r="AW448" t="inlineStr">
        <is>
          <t>991004433409702656</t>
        </is>
      </c>
      <c r="AX448" t="inlineStr">
        <is>
          <t>991004433409702656</t>
        </is>
      </c>
      <c r="AY448" t="inlineStr">
        <is>
          <t>2265517380002656</t>
        </is>
      </c>
      <c r="AZ448" t="inlineStr">
        <is>
          <t>BOOK</t>
        </is>
      </c>
      <c r="BB448" t="inlineStr">
        <is>
          <t>9780226315225</t>
        </is>
      </c>
      <c r="BC448" t="inlineStr">
        <is>
          <t>32285001105351</t>
        </is>
      </c>
      <c r="BD448" t="inlineStr">
        <is>
          <t>893794852</t>
        </is>
      </c>
    </row>
    <row r="449">
      <c r="A449" t="inlineStr">
        <is>
          <t>No</t>
        </is>
      </c>
      <c r="B449" t="inlineStr">
        <is>
          <t>GF41 .T82 1990</t>
        </is>
      </c>
      <c r="C449" t="inlineStr">
        <is>
          <t>0                      GF 0041000T  82          1990</t>
        </is>
      </c>
      <c r="D449" t="inlineStr">
        <is>
          <t>Topophilia : a study of environmental perception, attitudes, and values / Yi-fu Tuan ; with a new preface by the author.</t>
        </is>
      </c>
      <c r="F449" t="inlineStr">
        <is>
          <t>No</t>
        </is>
      </c>
      <c r="G449" t="inlineStr">
        <is>
          <t>1</t>
        </is>
      </c>
      <c r="H449" t="inlineStr">
        <is>
          <t>No</t>
        </is>
      </c>
      <c r="I449" t="inlineStr">
        <is>
          <t>No</t>
        </is>
      </c>
      <c r="J449" t="inlineStr">
        <is>
          <t>0</t>
        </is>
      </c>
      <c r="K449" t="inlineStr">
        <is>
          <t>Tuan, Yi-fu, 1930-</t>
        </is>
      </c>
      <c r="L449" t="inlineStr">
        <is>
          <t>New York : Columbia University Press, 1990.</t>
        </is>
      </c>
      <c r="M449" t="inlineStr">
        <is>
          <t>1990</t>
        </is>
      </c>
      <c r="N449" t="inlineStr">
        <is>
          <t>Morningside ed.</t>
        </is>
      </c>
      <c r="O449" t="inlineStr">
        <is>
          <t>eng</t>
        </is>
      </c>
      <c r="P449" t="inlineStr">
        <is>
          <t>nyu</t>
        </is>
      </c>
      <c r="R449" t="inlineStr">
        <is>
          <t xml:space="preserve">GF </t>
        </is>
      </c>
      <c r="S449" t="n">
        <v>10</v>
      </c>
      <c r="T449" t="n">
        <v>10</v>
      </c>
      <c r="U449" t="inlineStr">
        <is>
          <t>1999-01-27</t>
        </is>
      </c>
      <c r="V449" t="inlineStr">
        <is>
          <t>1999-01-27</t>
        </is>
      </c>
      <c r="W449" t="inlineStr">
        <is>
          <t>1992-07-09</t>
        </is>
      </c>
      <c r="X449" t="inlineStr">
        <is>
          <t>1992-07-09</t>
        </is>
      </c>
      <c r="Y449" t="n">
        <v>348</v>
      </c>
      <c r="Z449" t="n">
        <v>242</v>
      </c>
      <c r="AA449" t="n">
        <v>574</v>
      </c>
      <c r="AB449" t="n">
        <v>2</v>
      </c>
      <c r="AC449" t="n">
        <v>6</v>
      </c>
      <c r="AD449" t="n">
        <v>11</v>
      </c>
      <c r="AE449" t="n">
        <v>29</v>
      </c>
      <c r="AF449" t="n">
        <v>3</v>
      </c>
      <c r="AG449" t="n">
        <v>8</v>
      </c>
      <c r="AH449" t="n">
        <v>1</v>
      </c>
      <c r="AI449" t="n">
        <v>6</v>
      </c>
      <c r="AJ449" t="n">
        <v>8</v>
      </c>
      <c r="AK449" t="n">
        <v>13</v>
      </c>
      <c r="AL449" t="n">
        <v>1</v>
      </c>
      <c r="AM449" t="n">
        <v>5</v>
      </c>
      <c r="AN449" t="n">
        <v>0</v>
      </c>
      <c r="AO449" t="n">
        <v>1</v>
      </c>
      <c r="AP449" t="inlineStr">
        <is>
          <t>No</t>
        </is>
      </c>
      <c r="AQ449" t="inlineStr">
        <is>
          <t>No</t>
        </is>
      </c>
      <c r="AS449">
        <f>HYPERLINK("https://creighton-primo.hosted.exlibrisgroup.com/primo-explore/search?tab=default_tab&amp;search_scope=EVERYTHING&amp;vid=01CRU&amp;lang=en_US&amp;offset=0&amp;query=any,contains,991001700469702656","Catalog Record")</f>
        <v/>
      </c>
      <c r="AT449">
        <f>HYPERLINK("http://www.worldcat.org/oclc/21522900","WorldCat Record")</f>
        <v/>
      </c>
      <c r="AU449" t="inlineStr">
        <is>
          <t>1597381:eng</t>
        </is>
      </c>
      <c r="AV449" t="inlineStr">
        <is>
          <t>21522900</t>
        </is>
      </c>
      <c r="AW449" t="inlineStr">
        <is>
          <t>991001700469702656</t>
        </is>
      </c>
      <c r="AX449" t="inlineStr">
        <is>
          <t>991001700469702656</t>
        </is>
      </c>
      <c r="AY449" t="inlineStr">
        <is>
          <t>2258618880002656</t>
        </is>
      </c>
      <c r="AZ449" t="inlineStr">
        <is>
          <t>BOOK</t>
        </is>
      </c>
      <c r="BB449" t="inlineStr">
        <is>
          <t>9780231073950</t>
        </is>
      </c>
      <c r="BC449" t="inlineStr">
        <is>
          <t>32285001158236</t>
        </is>
      </c>
      <c r="BD449" t="inlineStr">
        <is>
          <t>893703258</t>
        </is>
      </c>
    </row>
    <row r="450">
      <c r="A450" t="inlineStr">
        <is>
          <t>No</t>
        </is>
      </c>
      <c r="B450" t="inlineStr">
        <is>
          <t>GF47 .M49</t>
        </is>
      </c>
      <c r="C450" t="inlineStr">
        <is>
          <t>0                      GF 0047000M  49</t>
        </is>
      </c>
      <c r="D450" t="inlineStr">
        <is>
          <t>Living in the environment : concepts, problems, and alternatives / G. Tyler Miller, Jr.</t>
        </is>
      </c>
      <c r="F450" t="inlineStr">
        <is>
          <t>No</t>
        </is>
      </c>
      <c r="G450" t="inlineStr">
        <is>
          <t>1</t>
        </is>
      </c>
      <c r="H450" t="inlineStr">
        <is>
          <t>No</t>
        </is>
      </c>
      <c r="I450" t="inlineStr">
        <is>
          <t>No</t>
        </is>
      </c>
      <c r="J450" t="inlineStr">
        <is>
          <t>0</t>
        </is>
      </c>
      <c r="K450" t="inlineStr">
        <is>
          <t>Miller, G. Tyler (George Tyler), 1931-</t>
        </is>
      </c>
      <c r="L450" t="inlineStr">
        <is>
          <t>Belmont, Calif. : Wadsworth Pub. Co., [1974] c1975.</t>
        </is>
      </c>
      <c r="M450" t="inlineStr">
        <is>
          <t>1974</t>
        </is>
      </c>
      <c r="O450" t="inlineStr">
        <is>
          <t>eng</t>
        </is>
      </c>
      <c r="P450" t="inlineStr">
        <is>
          <t>cau</t>
        </is>
      </c>
      <c r="R450" t="inlineStr">
        <is>
          <t xml:space="preserve">GF </t>
        </is>
      </c>
      <c r="S450" t="n">
        <v>12</v>
      </c>
      <c r="T450" t="n">
        <v>12</v>
      </c>
      <c r="U450" t="inlineStr">
        <is>
          <t>1997-03-25</t>
        </is>
      </c>
      <c r="V450" t="inlineStr">
        <is>
          <t>1997-03-25</t>
        </is>
      </c>
      <c r="W450" t="inlineStr">
        <is>
          <t>1992-05-08</t>
        </is>
      </c>
      <c r="X450" t="inlineStr">
        <is>
          <t>1992-05-08</t>
        </is>
      </c>
      <c r="Y450" t="n">
        <v>501</v>
      </c>
      <c r="Z450" t="n">
        <v>429</v>
      </c>
      <c r="AA450" t="n">
        <v>438</v>
      </c>
      <c r="AB450" t="n">
        <v>2</v>
      </c>
      <c r="AC450" t="n">
        <v>2</v>
      </c>
      <c r="AD450" t="n">
        <v>11</v>
      </c>
      <c r="AE450" t="n">
        <v>11</v>
      </c>
      <c r="AF450" t="n">
        <v>3</v>
      </c>
      <c r="AG450" t="n">
        <v>3</v>
      </c>
      <c r="AH450" t="n">
        <v>2</v>
      </c>
      <c r="AI450" t="n">
        <v>2</v>
      </c>
      <c r="AJ450" t="n">
        <v>7</v>
      </c>
      <c r="AK450" t="n">
        <v>7</v>
      </c>
      <c r="AL450" t="n">
        <v>1</v>
      </c>
      <c r="AM450" t="n">
        <v>1</v>
      </c>
      <c r="AN450" t="n">
        <v>0</v>
      </c>
      <c r="AO450" t="n">
        <v>0</v>
      </c>
      <c r="AP450" t="inlineStr">
        <is>
          <t>Yes</t>
        </is>
      </c>
      <c r="AQ450" t="inlineStr">
        <is>
          <t>No</t>
        </is>
      </c>
      <c r="AR450">
        <f>HYPERLINK("http://catalog.hathitrust.org/Record/000018147","HathiTrust Record")</f>
        <v/>
      </c>
      <c r="AS450">
        <f>HYPERLINK("https://creighton-primo.hosted.exlibrisgroup.com/primo-explore/search?tab=default_tab&amp;search_scope=EVERYTHING&amp;vid=01CRU&amp;lang=en_US&amp;offset=0&amp;query=any,contains,991003619999702656","Catalog Record")</f>
        <v/>
      </c>
      <c r="AT450">
        <f>HYPERLINK("http://www.worldcat.org/oclc/1206160","WorldCat Record")</f>
        <v/>
      </c>
      <c r="AU450" t="inlineStr">
        <is>
          <t>3943332512:eng</t>
        </is>
      </c>
      <c r="AV450" t="inlineStr">
        <is>
          <t>1206160</t>
        </is>
      </c>
      <c r="AW450" t="inlineStr">
        <is>
          <t>991003619999702656</t>
        </is>
      </c>
      <c r="AX450" t="inlineStr">
        <is>
          <t>991003619999702656</t>
        </is>
      </c>
      <c r="AY450" t="inlineStr">
        <is>
          <t>2269999290002656</t>
        </is>
      </c>
      <c r="AZ450" t="inlineStr">
        <is>
          <t>BOOK</t>
        </is>
      </c>
      <c r="BB450" t="inlineStr">
        <is>
          <t>9780534003470</t>
        </is>
      </c>
      <c r="BC450" t="inlineStr">
        <is>
          <t>32285001105344</t>
        </is>
      </c>
      <c r="BD450" t="inlineStr">
        <is>
          <t>893505772</t>
        </is>
      </c>
    </row>
    <row r="451">
      <c r="A451" t="inlineStr">
        <is>
          <t>No</t>
        </is>
      </c>
      <c r="B451" t="inlineStr">
        <is>
          <t>GF47 .N37 1972</t>
        </is>
      </c>
      <c r="C451" t="inlineStr">
        <is>
          <t>0                      GF 0047000N  37          1972</t>
        </is>
      </c>
      <c r="D451" t="inlineStr">
        <is>
          <t>The earth and human affairs / Committee on Geological Sciences, Division of Earth Sciences, National Research Council, National Academy of Sciences.</t>
        </is>
      </c>
      <c r="F451" t="inlineStr">
        <is>
          <t>No</t>
        </is>
      </c>
      <c r="G451" t="inlineStr">
        <is>
          <t>1</t>
        </is>
      </c>
      <c r="H451" t="inlineStr">
        <is>
          <t>No</t>
        </is>
      </c>
      <c r="I451" t="inlineStr">
        <is>
          <t>No</t>
        </is>
      </c>
      <c r="J451" t="inlineStr">
        <is>
          <t>0</t>
        </is>
      </c>
      <c r="K451" t="inlineStr">
        <is>
          <t>National Research Council (U.S.). Committee on Geological Sciences.</t>
        </is>
      </c>
      <c r="L451" t="inlineStr">
        <is>
          <t>San Francisco : Canfield Press, c1972.</t>
        </is>
      </c>
      <c r="M451" t="inlineStr">
        <is>
          <t>1972</t>
        </is>
      </c>
      <c r="O451" t="inlineStr">
        <is>
          <t>eng</t>
        </is>
      </c>
      <c r="P451" t="inlineStr">
        <is>
          <t>cau</t>
        </is>
      </c>
      <c r="R451" t="inlineStr">
        <is>
          <t xml:space="preserve">GF </t>
        </is>
      </c>
      <c r="S451" t="n">
        <v>1</v>
      </c>
      <c r="T451" t="n">
        <v>1</v>
      </c>
      <c r="U451" t="inlineStr">
        <is>
          <t>2005-01-25</t>
        </is>
      </c>
      <c r="V451" t="inlineStr">
        <is>
          <t>2005-01-25</t>
        </is>
      </c>
      <c r="W451" t="inlineStr">
        <is>
          <t>1997-05-27</t>
        </is>
      </c>
      <c r="X451" t="inlineStr">
        <is>
          <t>1997-05-27</t>
        </is>
      </c>
      <c r="Y451" t="n">
        <v>571</v>
      </c>
      <c r="Z451" t="n">
        <v>462</v>
      </c>
      <c r="AA451" t="n">
        <v>479</v>
      </c>
      <c r="AB451" t="n">
        <v>5</v>
      </c>
      <c r="AC451" t="n">
        <v>5</v>
      </c>
      <c r="AD451" t="n">
        <v>15</v>
      </c>
      <c r="AE451" t="n">
        <v>17</v>
      </c>
      <c r="AF451" t="n">
        <v>5</v>
      </c>
      <c r="AG451" t="n">
        <v>6</v>
      </c>
      <c r="AH451" t="n">
        <v>3</v>
      </c>
      <c r="AI451" t="n">
        <v>4</v>
      </c>
      <c r="AJ451" t="n">
        <v>6</v>
      </c>
      <c r="AK451" t="n">
        <v>6</v>
      </c>
      <c r="AL451" t="n">
        <v>4</v>
      </c>
      <c r="AM451" t="n">
        <v>4</v>
      </c>
      <c r="AN451" t="n">
        <v>0</v>
      </c>
      <c r="AO451" t="n">
        <v>0</v>
      </c>
      <c r="AP451" t="inlineStr">
        <is>
          <t>No</t>
        </is>
      </c>
      <c r="AQ451" t="inlineStr">
        <is>
          <t>Yes</t>
        </is>
      </c>
      <c r="AR451">
        <f>HYPERLINK("http://catalog.hathitrust.org/Record/001273802","HathiTrust Record")</f>
        <v/>
      </c>
      <c r="AS451">
        <f>HYPERLINK("https://creighton-primo.hosted.exlibrisgroup.com/primo-explore/search?tab=default_tab&amp;search_scope=EVERYTHING&amp;vid=01CRU&amp;lang=en_US&amp;offset=0&amp;query=any,contains,991003052999702656","Catalog Record")</f>
        <v/>
      </c>
      <c r="AT451">
        <f>HYPERLINK("http://www.worldcat.org/oclc/612236","WorldCat Record")</f>
        <v/>
      </c>
      <c r="AU451" t="inlineStr">
        <is>
          <t>1649374:eng</t>
        </is>
      </c>
      <c r="AV451" t="inlineStr">
        <is>
          <t>612236</t>
        </is>
      </c>
      <c r="AW451" t="inlineStr">
        <is>
          <t>991003052999702656</t>
        </is>
      </c>
      <c r="AX451" t="inlineStr">
        <is>
          <t>991003052999702656</t>
        </is>
      </c>
      <c r="AY451" t="inlineStr">
        <is>
          <t>2266477630002656</t>
        </is>
      </c>
      <c r="AZ451" t="inlineStr">
        <is>
          <t>BOOK</t>
        </is>
      </c>
      <c r="BB451" t="inlineStr">
        <is>
          <t>9780063854901</t>
        </is>
      </c>
      <c r="BC451" t="inlineStr">
        <is>
          <t>32285002694072</t>
        </is>
      </c>
      <c r="BD451" t="inlineStr">
        <is>
          <t>893342198</t>
        </is>
      </c>
    </row>
    <row r="452">
      <c r="A452" t="inlineStr">
        <is>
          <t>No</t>
        </is>
      </c>
      <c r="B452" t="inlineStr">
        <is>
          <t>GF47 .P35 1974b</t>
        </is>
      </c>
      <c r="C452" t="inlineStr">
        <is>
          <t>0                      GF 0047000P  35          1974b</t>
        </is>
      </c>
      <c r="D452" t="inlineStr">
        <is>
          <t>Man's responsibility for nature : ecological problems and Western traditions / [by] John Passmore.</t>
        </is>
      </c>
      <c r="F452" t="inlineStr">
        <is>
          <t>No</t>
        </is>
      </c>
      <c r="G452" t="inlineStr">
        <is>
          <t>1</t>
        </is>
      </c>
      <c r="H452" t="inlineStr">
        <is>
          <t>No</t>
        </is>
      </c>
      <c r="I452" t="inlineStr">
        <is>
          <t>No</t>
        </is>
      </c>
      <c r="J452" t="inlineStr">
        <is>
          <t>0</t>
        </is>
      </c>
      <c r="K452" t="inlineStr">
        <is>
          <t>Passmore, John Arthur.</t>
        </is>
      </c>
      <c r="L452" t="inlineStr">
        <is>
          <t>New York : Scribner, [1974]</t>
        </is>
      </c>
      <c r="M452" t="inlineStr">
        <is>
          <t>1974</t>
        </is>
      </c>
      <c r="O452" t="inlineStr">
        <is>
          <t>eng</t>
        </is>
      </c>
      <c r="P452" t="inlineStr">
        <is>
          <t>nyu</t>
        </is>
      </c>
      <c r="R452" t="inlineStr">
        <is>
          <t xml:space="preserve">GF </t>
        </is>
      </c>
      <c r="S452" t="n">
        <v>5</v>
      </c>
      <c r="T452" t="n">
        <v>5</v>
      </c>
      <c r="U452" t="inlineStr">
        <is>
          <t>1996-05-03</t>
        </is>
      </c>
      <c r="V452" t="inlineStr">
        <is>
          <t>1996-05-03</t>
        </is>
      </c>
      <c r="W452" t="inlineStr">
        <is>
          <t>1991-05-20</t>
        </is>
      </c>
      <c r="X452" t="inlineStr">
        <is>
          <t>1991-05-20</t>
        </is>
      </c>
      <c r="Y452" t="n">
        <v>625</v>
      </c>
      <c r="Z452" t="n">
        <v>579</v>
      </c>
      <c r="AA452" t="n">
        <v>735</v>
      </c>
      <c r="AB452" t="n">
        <v>4</v>
      </c>
      <c r="AC452" t="n">
        <v>4</v>
      </c>
      <c r="AD452" t="n">
        <v>25</v>
      </c>
      <c r="AE452" t="n">
        <v>34</v>
      </c>
      <c r="AF452" t="n">
        <v>8</v>
      </c>
      <c r="AG452" t="n">
        <v>12</v>
      </c>
      <c r="AH452" t="n">
        <v>5</v>
      </c>
      <c r="AI452" t="n">
        <v>7</v>
      </c>
      <c r="AJ452" t="n">
        <v>16</v>
      </c>
      <c r="AK452" t="n">
        <v>21</v>
      </c>
      <c r="AL452" t="n">
        <v>2</v>
      </c>
      <c r="AM452" t="n">
        <v>2</v>
      </c>
      <c r="AN452" t="n">
        <v>2</v>
      </c>
      <c r="AO452" t="n">
        <v>2</v>
      </c>
      <c r="AP452" t="inlineStr">
        <is>
          <t>No</t>
        </is>
      </c>
      <c r="AQ452" t="inlineStr">
        <is>
          <t>Yes</t>
        </is>
      </c>
      <c r="AR452">
        <f>HYPERLINK("http://catalog.hathitrust.org/Record/007157130","HathiTrust Record")</f>
        <v/>
      </c>
      <c r="AS452">
        <f>HYPERLINK("https://creighton-primo.hosted.exlibrisgroup.com/primo-explore/search?tab=default_tab&amp;search_scope=EVERYTHING&amp;vid=01CRU&amp;lang=en_US&amp;offset=0&amp;query=any,contains,991003442509702656","Catalog Record")</f>
        <v/>
      </c>
      <c r="AT452">
        <f>HYPERLINK("http://www.worldcat.org/oclc/978818","WorldCat Record")</f>
        <v/>
      </c>
      <c r="AU452" t="inlineStr">
        <is>
          <t>398708:eng</t>
        </is>
      </c>
      <c r="AV452" t="inlineStr">
        <is>
          <t>978818</t>
        </is>
      </c>
      <c r="AW452" t="inlineStr">
        <is>
          <t>991003442509702656</t>
        </is>
      </c>
      <c r="AX452" t="inlineStr">
        <is>
          <t>991003442509702656</t>
        </is>
      </c>
      <c r="AY452" t="inlineStr">
        <is>
          <t>2260393640002656</t>
        </is>
      </c>
      <c r="AZ452" t="inlineStr">
        <is>
          <t>BOOK</t>
        </is>
      </c>
      <c r="BB452" t="inlineStr">
        <is>
          <t>9780684138152</t>
        </is>
      </c>
      <c r="BC452" t="inlineStr">
        <is>
          <t>32285000597533</t>
        </is>
      </c>
      <c r="BD452" t="inlineStr">
        <is>
          <t>893342551</t>
        </is>
      </c>
    </row>
    <row r="453">
      <c r="A453" t="inlineStr">
        <is>
          <t>No</t>
        </is>
      </c>
      <c r="B453" t="inlineStr">
        <is>
          <t>GF50 .B46 1996</t>
        </is>
      </c>
      <c r="C453" t="inlineStr">
        <is>
          <t>0                      GF 0050000B  46          1996</t>
        </is>
      </c>
      <c r="D453" t="inlineStr">
        <is>
          <t>Human ecology as human behavior : essays in environmental and development anthropology / John W. Bennett.</t>
        </is>
      </c>
      <c r="F453" t="inlineStr">
        <is>
          <t>No</t>
        </is>
      </c>
      <c r="G453" t="inlineStr">
        <is>
          <t>1</t>
        </is>
      </c>
      <c r="H453" t="inlineStr">
        <is>
          <t>No</t>
        </is>
      </c>
      <c r="I453" t="inlineStr">
        <is>
          <t>No</t>
        </is>
      </c>
      <c r="J453" t="inlineStr">
        <is>
          <t>0</t>
        </is>
      </c>
      <c r="K453" t="inlineStr">
        <is>
          <t>Bennett, John W. (John William), 1915-2005.</t>
        </is>
      </c>
      <c r="L453" t="inlineStr">
        <is>
          <t>New Brunswick, N.J. : Transaction Publishers, 1996.</t>
        </is>
      </c>
      <c r="M453" t="inlineStr">
        <is>
          <t>1996</t>
        </is>
      </c>
      <c r="N453" t="inlineStr">
        <is>
          <t>Expanded ed., 1st pbk. ed.</t>
        </is>
      </c>
      <c r="O453" t="inlineStr">
        <is>
          <t>eng</t>
        </is>
      </c>
      <c r="P453" t="inlineStr">
        <is>
          <t>nju</t>
        </is>
      </c>
      <c r="R453" t="inlineStr">
        <is>
          <t xml:space="preserve">GF </t>
        </is>
      </c>
      <c r="S453" t="n">
        <v>3</v>
      </c>
      <c r="T453" t="n">
        <v>3</v>
      </c>
      <c r="U453" t="inlineStr">
        <is>
          <t>1997-02-24</t>
        </is>
      </c>
      <c r="V453" t="inlineStr">
        <is>
          <t>1997-02-24</t>
        </is>
      </c>
      <c r="W453" t="inlineStr">
        <is>
          <t>1996-03-11</t>
        </is>
      </c>
      <c r="X453" t="inlineStr">
        <is>
          <t>1996-03-11</t>
        </is>
      </c>
      <c r="Y453" t="n">
        <v>212</v>
      </c>
      <c r="Z453" t="n">
        <v>167</v>
      </c>
      <c r="AA453" t="n">
        <v>313</v>
      </c>
      <c r="AB453" t="n">
        <v>2</v>
      </c>
      <c r="AC453" t="n">
        <v>2</v>
      </c>
      <c r="AD453" t="n">
        <v>5</v>
      </c>
      <c r="AE453" t="n">
        <v>10</v>
      </c>
      <c r="AF453" t="n">
        <v>1</v>
      </c>
      <c r="AG453" t="n">
        <v>3</v>
      </c>
      <c r="AH453" t="n">
        <v>1</v>
      </c>
      <c r="AI453" t="n">
        <v>3</v>
      </c>
      <c r="AJ453" t="n">
        <v>3</v>
      </c>
      <c r="AK453" t="n">
        <v>6</v>
      </c>
      <c r="AL453" t="n">
        <v>1</v>
      </c>
      <c r="AM453" t="n">
        <v>1</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HYPERLINK("https://creighton-primo.hosted.exlibrisgroup.com/primo-explore/search?tab=default_tab&amp;search_scope=EVERYTHING&amp;vid=01CRU&amp;lang=en_US&amp;offset=0&amp;query=any,contains,991002506159702656","Catalog Record")</f>
        <v/>
      </c>
      <c r="AT453">
        <f>HYPERLINK("http://www.worldcat.org/oclc/32590057","WorldCat Record")</f>
        <v/>
      </c>
      <c r="AU453" t="inlineStr">
        <is>
          <t>196241051:eng</t>
        </is>
      </c>
      <c r="AV453" t="inlineStr">
        <is>
          <t>32590057</t>
        </is>
      </c>
      <c r="AW453" t="inlineStr">
        <is>
          <t>991002506159702656</t>
        </is>
      </c>
      <c r="AX453" t="inlineStr">
        <is>
          <t>991002506159702656</t>
        </is>
      </c>
      <c r="AY453" t="inlineStr">
        <is>
          <t>2272200840002656</t>
        </is>
      </c>
      <c r="AZ453" t="inlineStr">
        <is>
          <t>BOOK</t>
        </is>
      </c>
      <c r="BB453" t="inlineStr">
        <is>
          <t>9781560000686</t>
        </is>
      </c>
      <c r="BC453" t="inlineStr">
        <is>
          <t>32285002141223</t>
        </is>
      </c>
      <c r="BD453" t="inlineStr">
        <is>
          <t>893498199</t>
        </is>
      </c>
    </row>
    <row r="454">
      <c r="A454" t="inlineStr">
        <is>
          <t>No</t>
        </is>
      </c>
      <c r="B454" t="inlineStr">
        <is>
          <t>GF50 .C53 2000</t>
        </is>
      </c>
      <c r="C454" t="inlineStr">
        <is>
          <t>0                      GF 0050000C  53          2000</t>
        </is>
      </c>
      <c r="D454" t="inlineStr">
        <is>
          <t>Global life systems : population, food, and disease in the process of globalization / Robert P. Clark.</t>
        </is>
      </c>
      <c r="F454" t="inlineStr">
        <is>
          <t>No</t>
        </is>
      </c>
      <c r="G454" t="inlineStr">
        <is>
          <t>1</t>
        </is>
      </c>
      <c r="H454" t="inlineStr">
        <is>
          <t>No</t>
        </is>
      </c>
      <c r="I454" t="inlineStr">
        <is>
          <t>No</t>
        </is>
      </c>
      <c r="J454" t="inlineStr">
        <is>
          <t>0</t>
        </is>
      </c>
      <c r="K454" t="inlineStr">
        <is>
          <t>Clark, Robert P., 1940-</t>
        </is>
      </c>
      <c r="L454" t="inlineStr">
        <is>
          <t>Lanham, MD : Rowman &amp; Littlefield Publishers, c2000.</t>
        </is>
      </c>
      <c r="M454" t="inlineStr">
        <is>
          <t>2000</t>
        </is>
      </c>
      <c r="O454" t="inlineStr">
        <is>
          <t>eng</t>
        </is>
      </c>
      <c r="P454" t="inlineStr">
        <is>
          <t>mdu</t>
        </is>
      </c>
      <c r="R454" t="inlineStr">
        <is>
          <t xml:space="preserve">GF </t>
        </is>
      </c>
      <c r="S454" t="n">
        <v>4</v>
      </c>
      <c r="T454" t="n">
        <v>4</v>
      </c>
      <c r="U454" t="inlineStr">
        <is>
          <t>2005-02-02</t>
        </is>
      </c>
      <c r="V454" t="inlineStr">
        <is>
          <t>2005-02-02</t>
        </is>
      </c>
      <c r="W454" t="inlineStr">
        <is>
          <t>2002-02-25</t>
        </is>
      </c>
      <c r="X454" t="inlineStr">
        <is>
          <t>2002-02-25</t>
        </is>
      </c>
      <c r="Y454" t="n">
        <v>309</v>
      </c>
      <c r="Z454" t="n">
        <v>257</v>
      </c>
      <c r="AA454" t="n">
        <v>263</v>
      </c>
      <c r="AB454" t="n">
        <v>4</v>
      </c>
      <c r="AC454" t="n">
        <v>4</v>
      </c>
      <c r="AD454" t="n">
        <v>12</v>
      </c>
      <c r="AE454" t="n">
        <v>12</v>
      </c>
      <c r="AF454" t="n">
        <v>2</v>
      </c>
      <c r="AG454" t="n">
        <v>2</v>
      </c>
      <c r="AH454" t="n">
        <v>5</v>
      </c>
      <c r="AI454" t="n">
        <v>5</v>
      </c>
      <c r="AJ454" t="n">
        <v>3</v>
      </c>
      <c r="AK454" t="n">
        <v>3</v>
      </c>
      <c r="AL454" t="n">
        <v>3</v>
      </c>
      <c r="AM454" t="n">
        <v>3</v>
      </c>
      <c r="AN454" t="n">
        <v>0</v>
      </c>
      <c r="AO454" t="n">
        <v>0</v>
      </c>
      <c r="AP454" t="inlineStr">
        <is>
          <t>No</t>
        </is>
      </c>
      <c r="AQ454" t="inlineStr">
        <is>
          <t>Yes</t>
        </is>
      </c>
      <c r="AR454">
        <f>HYPERLINK("http://catalog.hathitrust.org/Record/004154742","HathiTrust Record")</f>
        <v/>
      </c>
      <c r="AS454">
        <f>HYPERLINK("https://creighton-primo.hosted.exlibrisgroup.com/primo-explore/search?tab=default_tab&amp;search_scope=EVERYTHING&amp;vid=01CRU&amp;lang=en_US&amp;offset=0&amp;query=any,contains,991003727839702656","Catalog Record")</f>
        <v/>
      </c>
      <c r="AT454">
        <f>HYPERLINK("http://www.worldcat.org/oclc/44117959","WorldCat Record")</f>
        <v/>
      </c>
      <c r="AU454" t="inlineStr">
        <is>
          <t>363783829:eng</t>
        </is>
      </c>
      <c r="AV454" t="inlineStr">
        <is>
          <t>44117959</t>
        </is>
      </c>
      <c r="AW454" t="inlineStr">
        <is>
          <t>991003727839702656</t>
        </is>
      </c>
      <c r="AX454" t="inlineStr">
        <is>
          <t>991003727839702656</t>
        </is>
      </c>
      <c r="AY454" t="inlineStr">
        <is>
          <t>2265841160002656</t>
        </is>
      </c>
      <c r="AZ454" t="inlineStr">
        <is>
          <t>BOOK</t>
        </is>
      </c>
      <c r="BB454" t="inlineStr">
        <is>
          <t>9780742500747</t>
        </is>
      </c>
      <c r="BC454" t="inlineStr">
        <is>
          <t>32285004457106</t>
        </is>
      </c>
      <c r="BD454" t="inlineStr">
        <is>
          <t>893881474</t>
        </is>
      </c>
    </row>
    <row r="455">
      <c r="A455" t="inlineStr">
        <is>
          <t>No</t>
        </is>
      </c>
      <c r="B455" t="inlineStr">
        <is>
          <t>GF50 .P46 2005</t>
        </is>
      </c>
      <c r="C455" t="inlineStr">
        <is>
          <t>0                      GF 0050000P  46          2005</t>
        </is>
      </c>
      <c r="D455" t="inlineStr">
        <is>
          <t>People and wildlife : conflict or coexistence? / edited by Rosie Woodroffe, Simon Thirgood and Alan Rabinowitz.</t>
        </is>
      </c>
      <c r="F455" t="inlineStr">
        <is>
          <t>No</t>
        </is>
      </c>
      <c r="G455" t="inlineStr">
        <is>
          <t>1</t>
        </is>
      </c>
      <c r="H455" t="inlineStr">
        <is>
          <t>No</t>
        </is>
      </c>
      <c r="I455" t="inlineStr">
        <is>
          <t>No</t>
        </is>
      </c>
      <c r="J455" t="inlineStr">
        <is>
          <t>0</t>
        </is>
      </c>
      <c r="L455" t="inlineStr">
        <is>
          <t>Cambridge ; New York : Cambridge University Press, 2005.</t>
        </is>
      </c>
      <c r="M455" t="inlineStr">
        <is>
          <t>2005</t>
        </is>
      </c>
      <c r="O455" t="inlineStr">
        <is>
          <t>eng</t>
        </is>
      </c>
      <c r="P455" t="inlineStr">
        <is>
          <t>enk</t>
        </is>
      </c>
      <c r="Q455" t="inlineStr">
        <is>
          <t>Conservation biology ; 9</t>
        </is>
      </c>
      <c r="R455" t="inlineStr">
        <is>
          <t xml:space="preserve">GF </t>
        </is>
      </c>
      <c r="S455" t="n">
        <v>1</v>
      </c>
      <c r="T455" t="n">
        <v>1</v>
      </c>
      <c r="U455" t="inlineStr">
        <is>
          <t>2007-10-10</t>
        </is>
      </c>
      <c r="V455" t="inlineStr">
        <is>
          <t>2007-10-10</t>
        </is>
      </c>
      <c r="W455" t="inlineStr">
        <is>
          <t>2007-10-10</t>
        </is>
      </c>
      <c r="X455" t="inlineStr">
        <is>
          <t>2007-10-10</t>
        </is>
      </c>
      <c r="Y455" t="n">
        <v>430</v>
      </c>
      <c r="Z455" t="n">
        <v>298</v>
      </c>
      <c r="AA455" t="n">
        <v>316</v>
      </c>
      <c r="AB455" t="n">
        <v>4</v>
      </c>
      <c r="AC455" t="n">
        <v>5</v>
      </c>
      <c r="AD455" t="n">
        <v>17</v>
      </c>
      <c r="AE455" t="n">
        <v>19</v>
      </c>
      <c r="AF455" t="n">
        <v>8</v>
      </c>
      <c r="AG455" t="n">
        <v>9</v>
      </c>
      <c r="AH455" t="n">
        <v>4</v>
      </c>
      <c r="AI455" t="n">
        <v>5</v>
      </c>
      <c r="AJ455" t="n">
        <v>8</v>
      </c>
      <c r="AK455" t="n">
        <v>8</v>
      </c>
      <c r="AL455" t="n">
        <v>3</v>
      </c>
      <c r="AM455" t="n">
        <v>4</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HYPERLINK("https://creighton-primo.hosted.exlibrisgroup.com/primo-explore/search?tab=default_tab&amp;search_scope=EVERYTHING&amp;vid=01CRU&amp;lang=en_US&amp;offset=0&amp;query=any,contains,991005111539702656","Catalog Record")</f>
        <v/>
      </c>
      <c r="AT455">
        <f>HYPERLINK("http://www.worldcat.org/oclc/60418257","WorldCat Record")</f>
        <v/>
      </c>
      <c r="AU455" t="inlineStr">
        <is>
          <t>831220768:eng</t>
        </is>
      </c>
      <c r="AV455" t="inlineStr">
        <is>
          <t>60418257</t>
        </is>
      </c>
      <c r="AW455" t="inlineStr">
        <is>
          <t>991005111539702656</t>
        </is>
      </c>
      <c r="AX455" t="inlineStr">
        <is>
          <t>991005111539702656</t>
        </is>
      </c>
      <c r="AY455" t="inlineStr">
        <is>
          <t>2263713250002656</t>
        </is>
      </c>
      <c r="AZ455" t="inlineStr">
        <is>
          <t>BOOK</t>
        </is>
      </c>
      <c r="BB455" t="inlineStr">
        <is>
          <t>9780521532037</t>
        </is>
      </c>
      <c r="BC455" t="inlineStr">
        <is>
          <t>32285005329551</t>
        </is>
      </c>
      <c r="BD455" t="inlineStr">
        <is>
          <t>893437178</t>
        </is>
      </c>
    </row>
    <row r="456">
      <c r="A456" t="inlineStr">
        <is>
          <t>No</t>
        </is>
      </c>
      <c r="B456" t="inlineStr">
        <is>
          <t>GF50 .S33 1995</t>
        </is>
      </c>
      <c r="C456" t="inlineStr">
        <is>
          <t>0                      GF 0050000S  33          1995</t>
        </is>
      </c>
      <c r="D456" t="inlineStr">
        <is>
          <t>Landscape and memory / Simon Schama.</t>
        </is>
      </c>
      <c r="F456" t="inlineStr">
        <is>
          <t>No</t>
        </is>
      </c>
      <c r="G456" t="inlineStr">
        <is>
          <t>1</t>
        </is>
      </c>
      <c r="H456" t="inlineStr">
        <is>
          <t>No</t>
        </is>
      </c>
      <c r="I456" t="inlineStr">
        <is>
          <t>No</t>
        </is>
      </c>
      <c r="J456" t="inlineStr">
        <is>
          <t>0</t>
        </is>
      </c>
      <c r="K456" t="inlineStr">
        <is>
          <t>Schama, Simon.</t>
        </is>
      </c>
      <c r="L456" t="inlineStr">
        <is>
          <t>New York : A.A. Knopf : Distributed by Random House, c1995.</t>
        </is>
      </c>
      <c r="M456" t="inlineStr">
        <is>
          <t>1995</t>
        </is>
      </c>
      <c r="N456" t="inlineStr">
        <is>
          <t>1st ed.</t>
        </is>
      </c>
      <c r="O456" t="inlineStr">
        <is>
          <t>eng</t>
        </is>
      </c>
      <c r="P456" t="inlineStr">
        <is>
          <t>nyu</t>
        </is>
      </c>
      <c r="R456" t="inlineStr">
        <is>
          <t xml:space="preserve">GF </t>
        </is>
      </c>
      <c r="S456" t="n">
        <v>17</v>
      </c>
      <c r="T456" t="n">
        <v>17</v>
      </c>
      <c r="U456" t="inlineStr">
        <is>
          <t>2010-04-15</t>
        </is>
      </c>
      <c r="V456" t="inlineStr">
        <is>
          <t>2010-04-15</t>
        </is>
      </c>
      <c r="W456" t="inlineStr">
        <is>
          <t>1995-05-22</t>
        </is>
      </c>
      <c r="X456" t="inlineStr">
        <is>
          <t>1995-05-22</t>
        </is>
      </c>
      <c r="Y456" t="n">
        <v>1395</v>
      </c>
      <c r="Z456" t="n">
        <v>1259</v>
      </c>
      <c r="AA456" t="n">
        <v>1489</v>
      </c>
      <c r="AB456" t="n">
        <v>10</v>
      </c>
      <c r="AC456" t="n">
        <v>11</v>
      </c>
      <c r="AD456" t="n">
        <v>43</v>
      </c>
      <c r="AE456" t="n">
        <v>50</v>
      </c>
      <c r="AF456" t="n">
        <v>18</v>
      </c>
      <c r="AG456" t="n">
        <v>22</v>
      </c>
      <c r="AH456" t="n">
        <v>8</v>
      </c>
      <c r="AI456" t="n">
        <v>10</v>
      </c>
      <c r="AJ456" t="n">
        <v>20</v>
      </c>
      <c r="AK456" t="n">
        <v>22</v>
      </c>
      <c r="AL456" t="n">
        <v>7</v>
      </c>
      <c r="AM456" t="n">
        <v>8</v>
      </c>
      <c r="AN456" t="n">
        <v>0</v>
      </c>
      <c r="AO456" t="n">
        <v>0</v>
      </c>
      <c r="AP456" t="inlineStr">
        <is>
          <t>No</t>
        </is>
      </c>
      <c r="AQ456" t="inlineStr">
        <is>
          <t>Yes</t>
        </is>
      </c>
      <c r="AR456">
        <f>HYPERLINK("http://catalog.hathitrust.org/Record/002970964","HathiTrust Record")</f>
        <v/>
      </c>
      <c r="AS456">
        <f>HYPERLINK("https://creighton-primo.hosted.exlibrisgroup.com/primo-explore/search?tab=default_tab&amp;search_scope=EVERYTHING&amp;vid=01CRU&amp;lang=en_US&amp;offset=0&amp;query=any,contains,991002282799702656","Catalog Record")</f>
        <v/>
      </c>
      <c r="AT456">
        <f>HYPERLINK("http://www.worldcat.org/oclc/29596504","WorldCat Record")</f>
        <v/>
      </c>
      <c r="AU456" t="inlineStr">
        <is>
          <t>15315651:eng</t>
        </is>
      </c>
      <c r="AV456" t="inlineStr">
        <is>
          <t>29596504</t>
        </is>
      </c>
      <c r="AW456" t="inlineStr">
        <is>
          <t>991002282799702656</t>
        </is>
      </c>
      <c r="AX456" t="inlineStr">
        <is>
          <t>991002282799702656</t>
        </is>
      </c>
      <c r="AY456" t="inlineStr">
        <is>
          <t>2261705000002656</t>
        </is>
      </c>
      <c r="AZ456" t="inlineStr">
        <is>
          <t>BOOK</t>
        </is>
      </c>
      <c r="BB456" t="inlineStr">
        <is>
          <t>9780679402558</t>
        </is>
      </c>
      <c r="BC456" t="inlineStr">
        <is>
          <t>32285002046075</t>
        </is>
      </c>
      <c r="BD456" t="inlineStr">
        <is>
          <t>893879716</t>
        </is>
      </c>
    </row>
    <row r="457">
      <c r="A457" t="inlineStr">
        <is>
          <t>No</t>
        </is>
      </c>
      <c r="B457" t="inlineStr">
        <is>
          <t>GF503 .B527 2008</t>
        </is>
      </c>
      <c r="C457" t="inlineStr">
        <is>
          <t>0                      GF 0503000B  527         2008</t>
        </is>
      </c>
      <c r="D457" t="inlineStr">
        <is>
          <t>Great debates in American environmental history / Brian Black and Donna L. Lybecker.</t>
        </is>
      </c>
      <c r="E457" t="inlineStr">
        <is>
          <t>V. 1</t>
        </is>
      </c>
      <c r="F457" t="inlineStr">
        <is>
          <t>Yes</t>
        </is>
      </c>
      <c r="G457" t="inlineStr">
        <is>
          <t>1</t>
        </is>
      </c>
      <c r="H457" t="inlineStr">
        <is>
          <t>No</t>
        </is>
      </c>
      <c r="I457" t="inlineStr">
        <is>
          <t>No</t>
        </is>
      </c>
      <c r="J457" t="inlineStr">
        <is>
          <t>0</t>
        </is>
      </c>
      <c r="K457" t="inlineStr">
        <is>
          <t>Black, Brian, 1966-</t>
        </is>
      </c>
      <c r="L457" t="inlineStr">
        <is>
          <t>Westport, Conn. : Greenwood Press, 2008.</t>
        </is>
      </c>
      <c r="M457" t="inlineStr">
        <is>
          <t>2008</t>
        </is>
      </c>
      <c r="O457" t="inlineStr">
        <is>
          <t>eng</t>
        </is>
      </c>
      <c r="P457" t="inlineStr">
        <is>
          <t>ctu</t>
        </is>
      </c>
      <c r="R457" t="inlineStr">
        <is>
          <t xml:space="preserve">GF </t>
        </is>
      </c>
      <c r="S457" t="n">
        <v>2</v>
      </c>
      <c r="T457" t="n">
        <v>3</v>
      </c>
      <c r="U457" t="inlineStr">
        <is>
          <t>2009-06-18</t>
        </is>
      </c>
      <c r="V457" t="inlineStr">
        <is>
          <t>2009-06-18</t>
        </is>
      </c>
      <c r="W457" t="inlineStr">
        <is>
          <t>2009-06-18</t>
        </is>
      </c>
      <c r="X457" t="inlineStr">
        <is>
          <t>2009-06-18</t>
        </is>
      </c>
      <c r="Y457" t="n">
        <v>247</v>
      </c>
      <c r="Z457" t="n">
        <v>202</v>
      </c>
      <c r="AA457" t="n">
        <v>287</v>
      </c>
      <c r="AB457" t="n">
        <v>1</v>
      </c>
      <c r="AC457" t="n">
        <v>2</v>
      </c>
      <c r="AD457" t="n">
        <v>2</v>
      </c>
      <c r="AE457" t="n">
        <v>7</v>
      </c>
      <c r="AF457" t="n">
        <v>0</v>
      </c>
      <c r="AG457" t="n">
        <v>2</v>
      </c>
      <c r="AH457" t="n">
        <v>1</v>
      </c>
      <c r="AI457" t="n">
        <v>3</v>
      </c>
      <c r="AJ457" t="n">
        <v>2</v>
      </c>
      <c r="AK457" t="n">
        <v>4</v>
      </c>
      <c r="AL457" t="n">
        <v>0</v>
      </c>
      <c r="AM457" t="n">
        <v>1</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HYPERLINK("https://creighton-primo.hosted.exlibrisgroup.com/primo-explore/search?tab=default_tab&amp;search_scope=EVERYTHING&amp;vid=01CRU&amp;lang=en_US&amp;offset=0&amp;query=any,contains,991005315929702656","Catalog Record")</f>
        <v/>
      </c>
      <c r="AT457">
        <f>HYPERLINK("http://www.worldcat.org/oclc/183266223","WorldCat Record")</f>
        <v/>
      </c>
      <c r="AU457" t="inlineStr">
        <is>
          <t>117305971:eng</t>
        </is>
      </c>
      <c r="AV457" t="inlineStr">
        <is>
          <t>183266223</t>
        </is>
      </c>
      <c r="AW457" t="inlineStr">
        <is>
          <t>991005315929702656</t>
        </is>
      </c>
      <c r="AX457" t="inlineStr">
        <is>
          <t>991005315929702656</t>
        </is>
      </c>
      <c r="AY457" t="inlineStr">
        <is>
          <t>2270112490002656</t>
        </is>
      </c>
      <c r="AZ457" t="inlineStr">
        <is>
          <t>BOOK</t>
        </is>
      </c>
      <c r="BB457" t="inlineStr">
        <is>
          <t>9780313339301</t>
        </is>
      </c>
      <c r="BC457" t="inlineStr">
        <is>
          <t>32285005535553</t>
        </is>
      </c>
      <c r="BD457" t="inlineStr">
        <is>
          <t>893514433</t>
        </is>
      </c>
    </row>
    <row r="458">
      <c r="A458" t="inlineStr">
        <is>
          <t>No</t>
        </is>
      </c>
      <c r="B458" t="inlineStr">
        <is>
          <t>GF503 .B527 2008</t>
        </is>
      </c>
      <c r="C458" t="inlineStr">
        <is>
          <t>0                      GF 0503000B  527         2008</t>
        </is>
      </c>
      <c r="D458" t="inlineStr">
        <is>
          <t>Great debates in American environmental history / Brian Black and Donna L. Lybecker.</t>
        </is>
      </c>
      <c r="E458" t="inlineStr">
        <is>
          <t>V. 2</t>
        </is>
      </c>
      <c r="F458" t="inlineStr">
        <is>
          <t>Yes</t>
        </is>
      </c>
      <c r="G458" t="inlineStr">
        <is>
          <t>1</t>
        </is>
      </c>
      <c r="H458" t="inlineStr">
        <is>
          <t>No</t>
        </is>
      </c>
      <c r="I458" t="inlineStr">
        <is>
          <t>No</t>
        </is>
      </c>
      <c r="J458" t="inlineStr">
        <is>
          <t>0</t>
        </is>
      </c>
      <c r="K458" t="inlineStr">
        <is>
          <t>Black, Brian, 1966-</t>
        </is>
      </c>
      <c r="L458" t="inlineStr">
        <is>
          <t>Westport, Conn. : Greenwood Press, 2008.</t>
        </is>
      </c>
      <c r="M458" t="inlineStr">
        <is>
          <t>2008</t>
        </is>
      </c>
      <c r="O458" t="inlineStr">
        <is>
          <t>eng</t>
        </is>
      </c>
      <c r="P458" t="inlineStr">
        <is>
          <t>ctu</t>
        </is>
      </c>
      <c r="R458" t="inlineStr">
        <is>
          <t xml:space="preserve">GF </t>
        </is>
      </c>
      <c r="S458" t="n">
        <v>1</v>
      </c>
      <c r="T458" t="n">
        <v>3</v>
      </c>
      <c r="U458" t="inlineStr">
        <is>
          <t>2009-06-18</t>
        </is>
      </c>
      <c r="V458" t="inlineStr">
        <is>
          <t>2009-06-18</t>
        </is>
      </c>
      <c r="W458" t="inlineStr">
        <is>
          <t>2009-06-18</t>
        </is>
      </c>
      <c r="X458" t="inlineStr">
        <is>
          <t>2009-06-18</t>
        </is>
      </c>
      <c r="Y458" t="n">
        <v>247</v>
      </c>
      <c r="Z458" t="n">
        <v>202</v>
      </c>
      <c r="AA458" t="n">
        <v>287</v>
      </c>
      <c r="AB458" t="n">
        <v>1</v>
      </c>
      <c r="AC458" t="n">
        <v>2</v>
      </c>
      <c r="AD458" t="n">
        <v>2</v>
      </c>
      <c r="AE458" t="n">
        <v>7</v>
      </c>
      <c r="AF458" t="n">
        <v>0</v>
      </c>
      <c r="AG458" t="n">
        <v>2</v>
      </c>
      <c r="AH458" t="n">
        <v>1</v>
      </c>
      <c r="AI458" t="n">
        <v>3</v>
      </c>
      <c r="AJ458" t="n">
        <v>2</v>
      </c>
      <c r="AK458" t="n">
        <v>4</v>
      </c>
      <c r="AL458" t="n">
        <v>0</v>
      </c>
      <c r="AM458" t="n">
        <v>1</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HYPERLINK("https://creighton-primo.hosted.exlibrisgroup.com/primo-explore/search?tab=default_tab&amp;search_scope=EVERYTHING&amp;vid=01CRU&amp;lang=en_US&amp;offset=0&amp;query=any,contains,991005315929702656","Catalog Record")</f>
        <v/>
      </c>
      <c r="AT458">
        <f>HYPERLINK("http://www.worldcat.org/oclc/183266223","WorldCat Record")</f>
        <v/>
      </c>
      <c r="AU458" t="inlineStr">
        <is>
          <t>117305971:eng</t>
        </is>
      </c>
      <c r="AV458" t="inlineStr">
        <is>
          <t>183266223</t>
        </is>
      </c>
      <c r="AW458" t="inlineStr">
        <is>
          <t>991005315929702656</t>
        </is>
      </c>
      <c r="AX458" t="inlineStr">
        <is>
          <t>991005315929702656</t>
        </is>
      </c>
      <c r="AY458" t="inlineStr">
        <is>
          <t>2270112490002656</t>
        </is>
      </c>
      <c r="AZ458" t="inlineStr">
        <is>
          <t>BOOK</t>
        </is>
      </c>
      <c r="BB458" t="inlineStr">
        <is>
          <t>9780313339301</t>
        </is>
      </c>
      <c r="BC458" t="inlineStr">
        <is>
          <t>32285005535561</t>
        </is>
      </c>
      <c r="BD458" t="inlineStr">
        <is>
          <t>893533547</t>
        </is>
      </c>
    </row>
    <row r="459">
      <c r="A459" t="inlineStr">
        <is>
          <t>No</t>
        </is>
      </c>
      <c r="B459" t="inlineStr">
        <is>
          <t>GF503 .E46 1973</t>
        </is>
      </c>
      <c r="C459" t="inlineStr">
        <is>
          <t>0                      GF 0503000E  46          1973</t>
        </is>
      </c>
      <c r="D459" t="inlineStr">
        <is>
          <t>Man and nature in America / Arthur A. Ekirch.</t>
        </is>
      </c>
      <c r="F459" t="inlineStr">
        <is>
          <t>No</t>
        </is>
      </c>
      <c r="G459" t="inlineStr">
        <is>
          <t>1</t>
        </is>
      </c>
      <c r="H459" t="inlineStr">
        <is>
          <t>No</t>
        </is>
      </c>
      <c r="I459" t="inlineStr">
        <is>
          <t>No</t>
        </is>
      </c>
      <c r="J459" t="inlineStr">
        <is>
          <t>0</t>
        </is>
      </c>
      <c r="K459" t="inlineStr">
        <is>
          <t>Ekirch, Arthur Alphonse, 1915-2000.</t>
        </is>
      </c>
      <c r="L459" t="inlineStr">
        <is>
          <t>Lincoln : University of Nebraska Press, 1973.</t>
        </is>
      </c>
      <c r="M459" t="inlineStr">
        <is>
          <t>1973</t>
        </is>
      </c>
      <c r="O459" t="inlineStr">
        <is>
          <t>eng</t>
        </is>
      </c>
      <c r="P459" t="inlineStr">
        <is>
          <t>nbu</t>
        </is>
      </c>
      <c r="Q459" t="inlineStr">
        <is>
          <t>A Bison book, BB 574</t>
        </is>
      </c>
      <c r="R459" t="inlineStr">
        <is>
          <t xml:space="preserve">GF </t>
        </is>
      </c>
      <c r="S459" t="n">
        <v>4</v>
      </c>
      <c r="T459" t="n">
        <v>4</v>
      </c>
      <c r="U459" t="inlineStr">
        <is>
          <t>1995-03-15</t>
        </is>
      </c>
      <c r="V459" t="inlineStr">
        <is>
          <t>1995-03-15</t>
        </is>
      </c>
      <c r="W459" t="inlineStr">
        <is>
          <t>1990-09-14</t>
        </is>
      </c>
      <c r="X459" t="inlineStr">
        <is>
          <t>1990-09-14</t>
        </is>
      </c>
      <c r="Y459" t="n">
        <v>157</v>
      </c>
      <c r="Z459" t="n">
        <v>140</v>
      </c>
      <c r="AA459" t="n">
        <v>605</v>
      </c>
      <c r="AB459" t="n">
        <v>3</v>
      </c>
      <c r="AC459" t="n">
        <v>4</v>
      </c>
      <c r="AD459" t="n">
        <v>5</v>
      </c>
      <c r="AE459" t="n">
        <v>23</v>
      </c>
      <c r="AF459" t="n">
        <v>2</v>
      </c>
      <c r="AG459" t="n">
        <v>5</v>
      </c>
      <c r="AH459" t="n">
        <v>2</v>
      </c>
      <c r="AI459" t="n">
        <v>8</v>
      </c>
      <c r="AJ459" t="n">
        <v>1</v>
      </c>
      <c r="AK459" t="n">
        <v>12</v>
      </c>
      <c r="AL459" t="n">
        <v>1</v>
      </c>
      <c r="AM459" t="n">
        <v>2</v>
      </c>
      <c r="AN459" t="n">
        <v>0</v>
      </c>
      <c r="AO459" t="n">
        <v>1</v>
      </c>
      <c r="AP459" t="inlineStr">
        <is>
          <t>No</t>
        </is>
      </c>
      <c r="AQ459" t="inlineStr">
        <is>
          <t>No</t>
        </is>
      </c>
      <c r="AS459">
        <f>HYPERLINK("https://creighton-primo.hosted.exlibrisgroup.com/primo-explore/search?tab=default_tab&amp;search_scope=EVERYTHING&amp;vid=01CRU&amp;lang=en_US&amp;offset=0&amp;query=any,contains,991004204459702656","Catalog Record")</f>
        <v/>
      </c>
      <c r="AT459">
        <f>HYPERLINK("http://www.worldcat.org/oclc/2661433","WorldCat Record")</f>
        <v/>
      </c>
      <c r="AU459" t="inlineStr">
        <is>
          <t>477533946:eng</t>
        </is>
      </c>
      <c r="AV459" t="inlineStr">
        <is>
          <t>2661433</t>
        </is>
      </c>
      <c r="AW459" t="inlineStr">
        <is>
          <t>991004204459702656</t>
        </is>
      </c>
      <c r="AX459" t="inlineStr">
        <is>
          <t>991004204459702656</t>
        </is>
      </c>
      <c r="AY459" t="inlineStr">
        <is>
          <t>2264078120002656</t>
        </is>
      </c>
      <c r="AZ459" t="inlineStr">
        <is>
          <t>BOOK</t>
        </is>
      </c>
      <c r="BC459" t="inlineStr">
        <is>
          <t>32285000287283</t>
        </is>
      </c>
      <c r="BD459" t="inlineStr">
        <is>
          <t>893235186</t>
        </is>
      </c>
    </row>
    <row r="460">
      <c r="A460" t="inlineStr">
        <is>
          <t>No</t>
        </is>
      </c>
      <c r="B460" t="inlineStr">
        <is>
          <t>GF503 .M87 1974</t>
        </is>
      </c>
      <c r="C460" t="inlineStr">
        <is>
          <t>0                      GF 0503000M  87          1974</t>
        </is>
      </c>
      <c r="D460" t="inlineStr">
        <is>
          <t>Environmental concern : personal attitudes and behavior toward environmental problems / edited by Arvin W. Murch.</t>
        </is>
      </c>
      <c r="F460" t="inlineStr">
        <is>
          <t>No</t>
        </is>
      </c>
      <c r="G460" t="inlineStr">
        <is>
          <t>1</t>
        </is>
      </c>
      <c r="H460" t="inlineStr">
        <is>
          <t>No</t>
        </is>
      </c>
      <c r="I460" t="inlineStr">
        <is>
          <t>No</t>
        </is>
      </c>
      <c r="J460" t="inlineStr">
        <is>
          <t>0</t>
        </is>
      </c>
      <c r="K460" t="inlineStr">
        <is>
          <t>Murch, Arvin, compiler.</t>
        </is>
      </c>
      <c r="L460" t="inlineStr">
        <is>
          <t>New York : MSS Information Corp., [1974]</t>
        </is>
      </c>
      <c r="M460" t="inlineStr">
        <is>
          <t>1974</t>
        </is>
      </c>
      <c r="O460" t="inlineStr">
        <is>
          <t>eng</t>
        </is>
      </c>
      <c r="P460" t="inlineStr">
        <is>
          <t>nyu</t>
        </is>
      </c>
      <c r="R460" t="inlineStr">
        <is>
          <t xml:space="preserve">GF </t>
        </is>
      </c>
      <c r="S460" t="n">
        <v>7</v>
      </c>
      <c r="T460" t="n">
        <v>7</v>
      </c>
      <c r="U460" t="inlineStr">
        <is>
          <t>1996-03-21</t>
        </is>
      </c>
      <c r="V460" t="inlineStr">
        <is>
          <t>1996-03-21</t>
        </is>
      </c>
      <c r="W460" t="inlineStr">
        <is>
          <t>1993-05-10</t>
        </is>
      </c>
      <c r="X460" t="inlineStr">
        <is>
          <t>1993-05-10</t>
        </is>
      </c>
      <c r="Y460" t="n">
        <v>135</v>
      </c>
      <c r="Z460" t="n">
        <v>122</v>
      </c>
      <c r="AA460" t="n">
        <v>122</v>
      </c>
      <c r="AB460" t="n">
        <v>2</v>
      </c>
      <c r="AC460" t="n">
        <v>2</v>
      </c>
      <c r="AD460" t="n">
        <v>1</v>
      </c>
      <c r="AE460" t="n">
        <v>1</v>
      </c>
      <c r="AF460" t="n">
        <v>0</v>
      </c>
      <c r="AG460" t="n">
        <v>0</v>
      </c>
      <c r="AH460" t="n">
        <v>0</v>
      </c>
      <c r="AI460" t="n">
        <v>0</v>
      </c>
      <c r="AJ460" t="n">
        <v>0</v>
      </c>
      <c r="AK460" t="n">
        <v>0</v>
      </c>
      <c r="AL460" t="n">
        <v>1</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HYPERLINK("https://creighton-primo.hosted.exlibrisgroup.com/primo-explore/search?tab=default_tab&amp;search_scope=EVERYTHING&amp;vid=01CRU&amp;lang=en_US&amp;offset=0&amp;query=any,contains,991003364819702656","Catalog Record")</f>
        <v/>
      </c>
      <c r="AT460">
        <f>HYPERLINK("http://www.worldcat.org/oclc/901054","WorldCat Record")</f>
        <v/>
      </c>
      <c r="AU460" t="inlineStr">
        <is>
          <t>350512185:eng</t>
        </is>
      </c>
      <c r="AV460" t="inlineStr">
        <is>
          <t>901054</t>
        </is>
      </c>
      <c r="AW460" t="inlineStr">
        <is>
          <t>991003364819702656</t>
        </is>
      </c>
      <c r="AX460" t="inlineStr">
        <is>
          <t>991003364819702656</t>
        </is>
      </c>
      <c r="AY460" t="inlineStr">
        <is>
          <t>2265585150002656</t>
        </is>
      </c>
      <c r="AZ460" t="inlineStr">
        <is>
          <t>BOOK</t>
        </is>
      </c>
      <c r="BB460" t="inlineStr">
        <is>
          <t>9780842251693</t>
        </is>
      </c>
      <c r="BC460" t="inlineStr">
        <is>
          <t>32285001652634</t>
        </is>
      </c>
      <c r="BD460" t="inlineStr">
        <is>
          <t>893336427</t>
        </is>
      </c>
    </row>
    <row r="461">
      <c r="A461" t="inlineStr">
        <is>
          <t>No</t>
        </is>
      </c>
      <c r="B461" t="inlineStr">
        <is>
          <t>GF503 .P47 1976</t>
        </is>
      </c>
      <c r="C461" t="inlineStr">
        <is>
          <t>0                      GF 0503000P  47          1976</t>
        </is>
      </c>
      <c r="D461" t="inlineStr">
        <is>
          <t>The Peter plan : a proposal for survival / by Laurence J. Peter ; illustrated by Walter Griba.</t>
        </is>
      </c>
      <c r="F461" t="inlineStr">
        <is>
          <t>No</t>
        </is>
      </c>
      <c r="G461" t="inlineStr">
        <is>
          <t>1</t>
        </is>
      </c>
      <c r="H461" t="inlineStr">
        <is>
          <t>No</t>
        </is>
      </c>
      <c r="I461" t="inlineStr">
        <is>
          <t>No</t>
        </is>
      </c>
      <c r="J461" t="inlineStr">
        <is>
          <t>0</t>
        </is>
      </c>
      <c r="K461" t="inlineStr">
        <is>
          <t>Peter, Laurence J.</t>
        </is>
      </c>
      <c r="L461" t="inlineStr">
        <is>
          <t>New York : W. Morrow, 1976, c1975.</t>
        </is>
      </c>
      <c r="M461" t="inlineStr">
        <is>
          <t>1976</t>
        </is>
      </c>
      <c r="O461" t="inlineStr">
        <is>
          <t>eng</t>
        </is>
      </c>
      <c r="P461" t="inlineStr">
        <is>
          <t>nyu</t>
        </is>
      </c>
      <c r="R461" t="inlineStr">
        <is>
          <t xml:space="preserve">GF </t>
        </is>
      </c>
      <c r="S461" t="n">
        <v>1</v>
      </c>
      <c r="T461" t="n">
        <v>1</v>
      </c>
      <c r="U461" t="inlineStr">
        <is>
          <t>1992-01-23</t>
        </is>
      </c>
      <c r="V461" t="inlineStr">
        <is>
          <t>1992-01-23</t>
        </is>
      </c>
      <c r="W461" t="inlineStr">
        <is>
          <t>1990-09-14</t>
        </is>
      </c>
      <c r="X461" t="inlineStr">
        <is>
          <t>1990-09-14</t>
        </is>
      </c>
      <c r="Y461" t="n">
        <v>799</v>
      </c>
      <c r="Z461" t="n">
        <v>745</v>
      </c>
      <c r="AA461" t="n">
        <v>828</v>
      </c>
      <c r="AB461" t="n">
        <v>6</v>
      </c>
      <c r="AC461" t="n">
        <v>6</v>
      </c>
      <c r="AD461" t="n">
        <v>25</v>
      </c>
      <c r="AE461" t="n">
        <v>26</v>
      </c>
      <c r="AF461" t="n">
        <v>11</v>
      </c>
      <c r="AG461" t="n">
        <v>11</v>
      </c>
      <c r="AH461" t="n">
        <v>7</v>
      </c>
      <c r="AI461" t="n">
        <v>8</v>
      </c>
      <c r="AJ461" t="n">
        <v>10</v>
      </c>
      <c r="AK461" t="n">
        <v>10</v>
      </c>
      <c r="AL461" t="n">
        <v>2</v>
      </c>
      <c r="AM461" t="n">
        <v>2</v>
      </c>
      <c r="AN461" t="n">
        <v>1</v>
      </c>
      <c r="AO461" t="n">
        <v>1</v>
      </c>
      <c r="AP461" t="inlineStr">
        <is>
          <t>No</t>
        </is>
      </c>
      <c r="AQ461" t="inlineStr">
        <is>
          <t>Yes</t>
        </is>
      </c>
      <c r="AR461">
        <f>HYPERLINK("http://catalog.hathitrust.org/Record/000705281","HathiTrust Record")</f>
        <v/>
      </c>
      <c r="AS461">
        <f>HYPERLINK("https://creighton-primo.hosted.exlibrisgroup.com/primo-explore/search?tab=default_tab&amp;search_scope=EVERYTHING&amp;vid=01CRU&amp;lang=en_US&amp;offset=0&amp;query=any,contains,991003927509702656","Catalog Record")</f>
        <v/>
      </c>
      <c r="AT461">
        <f>HYPERLINK("http://www.worldcat.org/oclc/1887517","WorldCat Record")</f>
        <v/>
      </c>
      <c r="AU461" t="inlineStr">
        <is>
          <t>815112702:eng</t>
        </is>
      </c>
      <c r="AV461" t="inlineStr">
        <is>
          <t>1887517</t>
        </is>
      </c>
      <c r="AW461" t="inlineStr">
        <is>
          <t>991003927509702656</t>
        </is>
      </c>
      <c r="AX461" t="inlineStr">
        <is>
          <t>991003927509702656</t>
        </is>
      </c>
      <c r="AY461" t="inlineStr">
        <is>
          <t>2263102100002656</t>
        </is>
      </c>
      <c r="AZ461" t="inlineStr">
        <is>
          <t>BOOK</t>
        </is>
      </c>
      <c r="BB461" t="inlineStr">
        <is>
          <t>9780688029722</t>
        </is>
      </c>
      <c r="BC461" t="inlineStr">
        <is>
          <t>32285000287291</t>
        </is>
      </c>
      <c r="BD461" t="inlineStr">
        <is>
          <t>893687140</t>
        </is>
      </c>
    </row>
    <row r="462">
      <c r="A462" t="inlineStr">
        <is>
          <t>No</t>
        </is>
      </c>
      <c r="B462" t="inlineStr">
        <is>
          <t>GF503 .S42 1988</t>
        </is>
      </c>
      <c r="C462" t="inlineStr">
        <is>
          <t>0                      GF 0503000S  42          1988</t>
        </is>
      </c>
      <c r="D462" t="inlineStr">
        <is>
          <t>Deserts on the march / Paul B. Sears.</t>
        </is>
      </c>
      <c r="F462" t="inlineStr">
        <is>
          <t>No</t>
        </is>
      </c>
      <c r="G462" t="inlineStr">
        <is>
          <t>1</t>
        </is>
      </c>
      <c r="H462" t="inlineStr">
        <is>
          <t>No</t>
        </is>
      </c>
      <c r="I462" t="inlineStr">
        <is>
          <t>No</t>
        </is>
      </c>
      <c r="J462" t="inlineStr">
        <is>
          <t>0</t>
        </is>
      </c>
      <c r="K462" t="inlineStr">
        <is>
          <t>Sears, Paul B. (Paul Bigelow), 1891-1990.</t>
        </is>
      </c>
      <c r="L462" t="inlineStr">
        <is>
          <t>Washington, D.C. : Island Press, 1988.</t>
        </is>
      </c>
      <c r="M462" t="inlineStr">
        <is>
          <t>1988</t>
        </is>
      </c>
      <c r="N462" t="inlineStr">
        <is>
          <t>Island Press ed.</t>
        </is>
      </c>
      <c r="O462" t="inlineStr">
        <is>
          <t>eng</t>
        </is>
      </c>
      <c r="P462" t="inlineStr">
        <is>
          <t>dcu</t>
        </is>
      </c>
      <c r="Q462" t="inlineStr">
        <is>
          <t>Conservation classics</t>
        </is>
      </c>
      <c r="R462" t="inlineStr">
        <is>
          <t xml:space="preserve">GF </t>
        </is>
      </c>
      <c r="S462" t="n">
        <v>5</v>
      </c>
      <c r="T462" t="n">
        <v>5</v>
      </c>
      <c r="U462" t="inlineStr">
        <is>
          <t>2003-11-30</t>
        </is>
      </c>
      <c r="V462" t="inlineStr">
        <is>
          <t>2003-11-30</t>
        </is>
      </c>
      <c r="W462" t="inlineStr">
        <is>
          <t>1989-11-17</t>
        </is>
      </c>
      <c r="X462" t="inlineStr">
        <is>
          <t>1989-11-17</t>
        </is>
      </c>
      <c r="Y462" t="n">
        <v>154</v>
      </c>
      <c r="Z462" t="n">
        <v>141</v>
      </c>
      <c r="AA462" t="n">
        <v>1165</v>
      </c>
      <c r="AB462" t="n">
        <v>3</v>
      </c>
      <c r="AC462" t="n">
        <v>10</v>
      </c>
      <c r="AD462" t="n">
        <v>5</v>
      </c>
      <c r="AE462" t="n">
        <v>36</v>
      </c>
      <c r="AF462" t="n">
        <v>0</v>
      </c>
      <c r="AG462" t="n">
        <v>12</v>
      </c>
      <c r="AH462" t="n">
        <v>1</v>
      </c>
      <c r="AI462" t="n">
        <v>9</v>
      </c>
      <c r="AJ462" t="n">
        <v>2</v>
      </c>
      <c r="AK462" t="n">
        <v>13</v>
      </c>
      <c r="AL462" t="n">
        <v>2</v>
      </c>
      <c r="AM462" t="n">
        <v>9</v>
      </c>
      <c r="AN462" t="n">
        <v>0</v>
      </c>
      <c r="AO462" t="n">
        <v>1</v>
      </c>
      <c r="AP462" t="inlineStr">
        <is>
          <t>No</t>
        </is>
      </c>
      <c r="AQ462" t="inlineStr">
        <is>
          <t>No</t>
        </is>
      </c>
      <c r="AS462">
        <f>HYPERLINK("https://creighton-primo.hosted.exlibrisgroup.com/primo-explore/search?tab=default_tab&amp;search_scope=EVERYTHING&amp;vid=01CRU&amp;lang=en_US&amp;offset=0&amp;query=any,contains,991001347239702656","Catalog Record")</f>
        <v/>
      </c>
      <c r="AT462">
        <f>HYPERLINK("http://www.worldcat.org/oclc/18415426","WorldCat Record")</f>
        <v/>
      </c>
      <c r="AU462" t="inlineStr">
        <is>
          <t>139087327:eng</t>
        </is>
      </c>
      <c r="AV462" t="inlineStr">
        <is>
          <t>18415426</t>
        </is>
      </c>
      <c r="AW462" t="inlineStr">
        <is>
          <t>991001347239702656</t>
        </is>
      </c>
      <c r="AX462" t="inlineStr">
        <is>
          <t>991001347239702656</t>
        </is>
      </c>
      <c r="AY462" t="inlineStr">
        <is>
          <t>2258799180002656</t>
        </is>
      </c>
      <c r="AZ462" t="inlineStr">
        <is>
          <t>BOOK</t>
        </is>
      </c>
      <c r="BB462" t="inlineStr">
        <is>
          <t>9780933280908</t>
        </is>
      </c>
      <c r="BC462" t="inlineStr">
        <is>
          <t>32285000014240</t>
        </is>
      </c>
      <c r="BD462" t="inlineStr">
        <is>
          <t>893503342</t>
        </is>
      </c>
    </row>
    <row r="463">
      <c r="A463" t="inlineStr">
        <is>
          <t>No</t>
        </is>
      </c>
      <c r="B463" t="inlineStr">
        <is>
          <t>GF504.A6 L635 2006</t>
        </is>
      </c>
      <c r="C463" t="inlineStr">
        <is>
          <t>0                      GF 0504000A  6                  L  635         2006</t>
        </is>
      </c>
      <c r="D463" t="inlineStr">
        <is>
          <t>Desert cities : the environmental history of Phoenix and Tucson / Michael F. Logan.</t>
        </is>
      </c>
      <c r="F463" t="inlineStr">
        <is>
          <t>No</t>
        </is>
      </c>
      <c r="G463" t="inlineStr">
        <is>
          <t>1</t>
        </is>
      </c>
      <c r="H463" t="inlineStr">
        <is>
          <t>No</t>
        </is>
      </c>
      <c r="I463" t="inlineStr">
        <is>
          <t>No</t>
        </is>
      </c>
      <c r="J463" t="inlineStr">
        <is>
          <t>0</t>
        </is>
      </c>
      <c r="K463" t="inlineStr">
        <is>
          <t>Logan, Michael F., 1950-</t>
        </is>
      </c>
      <c r="L463" t="inlineStr">
        <is>
          <t>Pittsburgh, Pa. : University of Pittsburgh Press, 2006.</t>
        </is>
      </c>
      <c r="M463" t="inlineStr">
        <is>
          <t>2006</t>
        </is>
      </c>
      <c r="O463" t="inlineStr">
        <is>
          <t>eng</t>
        </is>
      </c>
      <c r="P463" t="inlineStr">
        <is>
          <t>pau</t>
        </is>
      </c>
      <c r="Q463" t="inlineStr">
        <is>
          <t>History of the urban environment</t>
        </is>
      </c>
      <c r="R463" t="inlineStr">
        <is>
          <t xml:space="preserve">GF </t>
        </is>
      </c>
      <c r="S463" t="n">
        <v>1</v>
      </c>
      <c r="T463" t="n">
        <v>1</v>
      </c>
      <c r="U463" t="inlineStr">
        <is>
          <t>2008-01-30</t>
        </is>
      </c>
      <c r="V463" t="inlineStr">
        <is>
          <t>2008-01-30</t>
        </is>
      </c>
      <c r="W463" t="inlineStr">
        <is>
          <t>2008-01-30</t>
        </is>
      </c>
      <c r="X463" t="inlineStr">
        <is>
          <t>2008-01-30</t>
        </is>
      </c>
      <c r="Y463" t="n">
        <v>317</v>
      </c>
      <c r="Z463" t="n">
        <v>285</v>
      </c>
      <c r="AA463" t="n">
        <v>298</v>
      </c>
      <c r="AB463" t="n">
        <v>2</v>
      </c>
      <c r="AC463" t="n">
        <v>2</v>
      </c>
      <c r="AD463" t="n">
        <v>8</v>
      </c>
      <c r="AE463" t="n">
        <v>8</v>
      </c>
      <c r="AF463" t="n">
        <v>4</v>
      </c>
      <c r="AG463" t="n">
        <v>4</v>
      </c>
      <c r="AH463" t="n">
        <v>3</v>
      </c>
      <c r="AI463" t="n">
        <v>3</v>
      </c>
      <c r="AJ463" t="n">
        <v>2</v>
      </c>
      <c r="AK463" t="n">
        <v>2</v>
      </c>
      <c r="AL463" t="n">
        <v>1</v>
      </c>
      <c r="AM463" t="n">
        <v>1</v>
      </c>
      <c r="AN463" t="n">
        <v>0</v>
      </c>
      <c r="AO463" t="n">
        <v>0</v>
      </c>
      <c r="AP463" t="inlineStr">
        <is>
          <t>No</t>
        </is>
      </c>
      <c r="AQ463" t="inlineStr">
        <is>
          <t>Yes</t>
        </is>
      </c>
      <c r="AR463">
        <f>HYPERLINK("http://catalog.hathitrust.org/Record/005390507","HathiTrust Record")</f>
        <v/>
      </c>
      <c r="AS463">
        <f>HYPERLINK("https://creighton-primo.hosted.exlibrisgroup.com/primo-explore/search?tab=default_tab&amp;search_scope=EVERYTHING&amp;vid=01CRU&amp;lang=en_US&amp;offset=0&amp;query=any,contains,991005170139702656","Catalog Record")</f>
        <v/>
      </c>
      <c r="AT463">
        <f>HYPERLINK("http://www.worldcat.org/oclc/69679927","WorldCat Record")</f>
        <v/>
      </c>
      <c r="AU463" t="inlineStr">
        <is>
          <t>898511014:eng</t>
        </is>
      </c>
      <c r="AV463" t="inlineStr">
        <is>
          <t>69679927</t>
        </is>
      </c>
      <c r="AW463" t="inlineStr">
        <is>
          <t>991005170139702656</t>
        </is>
      </c>
      <c r="AX463" t="inlineStr">
        <is>
          <t>991005170139702656</t>
        </is>
      </c>
      <c r="AY463" t="inlineStr">
        <is>
          <t>2266530190002656</t>
        </is>
      </c>
      <c r="AZ463" t="inlineStr">
        <is>
          <t>BOOK</t>
        </is>
      </c>
      <c r="BB463" t="inlineStr">
        <is>
          <t>9780822942948</t>
        </is>
      </c>
      <c r="BC463" t="inlineStr">
        <is>
          <t>32285005391106</t>
        </is>
      </c>
      <c r="BD463" t="inlineStr">
        <is>
          <t>893783138</t>
        </is>
      </c>
    </row>
    <row r="464">
      <c r="A464" t="inlineStr">
        <is>
          <t>No</t>
        </is>
      </c>
      <c r="B464" t="inlineStr">
        <is>
          <t>GF504.G74 F57 2001</t>
        </is>
      </c>
      <c r="C464" t="inlineStr">
        <is>
          <t>0                      GF 0504000G  74                 F  57          2001</t>
        </is>
      </c>
      <c r="D464" t="inlineStr">
        <is>
          <t>The natural west : environmental history in the Great Plains and Rocky Mountains / by Dan Flores.</t>
        </is>
      </c>
      <c r="F464" t="inlineStr">
        <is>
          <t>No</t>
        </is>
      </c>
      <c r="G464" t="inlineStr">
        <is>
          <t>1</t>
        </is>
      </c>
      <c r="H464" t="inlineStr">
        <is>
          <t>No</t>
        </is>
      </c>
      <c r="I464" t="inlineStr">
        <is>
          <t>No</t>
        </is>
      </c>
      <c r="J464" t="inlineStr">
        <is>
          <t>0</t>
        </is>
      </c>
      <c r="K464" t="inlineStr">
        <is>
          <t>Flores, Dan L. (Dan Louie), 1948-</t>
        </is>
      </c>
      <c r="L464" t="inlineStr">
        <is>
          <t>Norman : University of Oklahoma Press, c2001.</t>
        </is>
      </c>
      <c r="M464" t="inlineStr">
        <is>
          <t>2001</t>
        </is>
      </c>
      <c r="O464" t="inlineStr">
        <is>
          <t>eng</t>
        </is>
      </c>
      <c r="P464" t="inlineStr">
        <is>
          <t>oku</t>
        </is>
      </c>
      <c r="R464" t="inlineStr">
        <is>
          <t xml:space="preserve">GF </t>
        </is>
      </c>
      <c r="S464" t="n">
        <v>1</v>
      </c>
      <c r="T464" t="n">
        <v>1</v>
      </c>
      <c r="U464" t="inlineStr">
        <is>
          <t>2009-08-17</t>
        </is>
      </c>
      <c r="V464" t="inlineStr">
        <is>
          <t>2009-08-17</t>
        </is>
      </c>
      <c r="W464" t="inlineStr">
        <is>
          <t>2001-09-12</t>
        </is>
      </c>
      <c r="X464" t="inlineStr">
        <is>
          <t>2001-09-12</t>
        </is>
      </c>
      <c r="Y464" t="n">
        <v>439</v>
      </c>
      <c r="Z464" t="n">
        <v>405</v>
      </c>
      <c r="AA464" t="n">
        <v>721</v>
      </c>
      <c r="AB464" t="n">
        <v>6</v>
      </c>
      <c r="AC464" t="n">
        <v>21</v>
      </c>
      <c r="AD464" t="n">
        <v>17</v>
      </c>
      <c r="AE464" t="n">
        <v>28</v>
      </c>
      <c r="AF464" t="n">
        <v>5</v>
      </c>
      <c r="AG464" t="n">
        <v>7</v>
      </c>
      <c r="AH464" t="n">
        <v>4</v>
      </c>
      <c r="AI464" t="n">
        <v>4</v>
      </c>
      <c r="AJ464" t="n">
        <v>9</v>
      </c>
      <c r="AK464" t="n">
        <v>10</v>
      </c>
      <c r="AL464" t="n">
        <v>4</v>
      </c>
      <c r="AM464" t="n">
        <v>12</v>
      </c>
      <c r="AN464" t="n">
        <v>1</v>
      </c>
      <c r="AO464" t="n">
        <v>1</v>
      </c>
      <c r="AP464" t="inlineStr">
        <is>
          <t>No</t>
        </is>
      </c>
      <c r="AQ464" t="inlineStr">
        <is>
          <t>No</t>
        </is>
      </c>
      <c r="AS464">
        <f>HYPERLINK("https://creighton-primo.hosted.exlibrisgroup.com/primo-explore/search?tab=default_tab&amp;search_scope=EVERYTHING&amp;vid=01CRU&amp;lang=en_US&amp;offset=0&amp;query=any,contains,991003604049702656","Catalog Record")</f>
        <v/>
      </c>
      <c r="AT464">
        <f>HYPERLINK("http://www.worldcat.org/oclc/45121878","WorldCat Record")</f>
        <v/>
      </c>
      <c r="AU464" t="inlineStr">
        <is>
          <t>785099:eng</t>
        </is>
      </c>
      <c r="AV464" t="inlineStr">
        <is>
          <t>45121878</t>
        </is>
      </c>
      <c r="AW464" t="inlineStr">
        <is>
          <t>991003604049702656</t>
        </is>
      </c>
      <c r="AX464" t="inlineStr">
        <is>
          <t>991003604049702656</t>
        </is>
      </c>
      <c r="AY464" t="inlineStr">
        <is>
          <t>2257038770002656</t>
        </is>
      </c>
      <c r="AZ464" t="inlineStr">
        <is>
          <t>BOOK</t>
        </is>
      </c>
      <c r="BB464" t="inlineStr">
        <is>
          <t>9780806133041</t>
        </is>
      </c>
      <c r="BC464" t="inlineStr">
        <is>
          <t>32285004390877</t>
        </is>
      </c>
      <c r="BD464" t="inlineStr">
        <is>
          <t>893246538</t>
        </is>
      </c>
    </row>
    <row r="465">
      <c r="A465" t="inlineStr">
        <is>
          <t>No</t>
        </is>
      </c>
      <c r="B465" t="inlineStr">
        <is>
          <t>GF51 .D5</t>
        </is>
      </c>
      <c r="C465" t="inlineStr">
        <is>
          <t>0                      GF 0051000D  5</t>
        </is>
      </c>
      <c r="D465" t="inlineStr">
        <is>
          <t>Regional ecology; the study of man's environment [by] Robert E. Dickinson.</t>
        </is>
      </c>
      <c r="F465" t="inlineStr">
        <is>
          <t>No</t>
        </is>
      </c>
      <c r="G465" t="inlineStr">
        <is>
          <t>1</t>
        </is>
      </c>
      <c r="H465" t="inlineStr">
        <is>
          <t>No</t>
        </is>
      </c>
      <c r="I465" t="inlineStr">
        <is>
          <t>No</t>
        </is>
      </c>
      <c r="J465" t="inlineStr">
        <is>
          <t>0</t>
        </is>
      </c>
      <c r="K465" t="inlineStr">
        <is>
          <t>Dickinson, Robert E. (Robert Eric), 1905-1981.</t>
        </is>
      </c>
      <c r="L465" t="inlineStr">
        <is>
          <t>New York, Wiley [1970]</t>
        </is>
      </c>
      <c r="M465" t="inlineStr">
        <is>
          <t>1970</t>
        </is>
      </c>
      <c r="O465" t="inlineStr">
        <is>
          <t>eng</t>
        </is>
      </c>
      <c r="P465" t="inlineStr">
        <is>
          <t>nyu</t>
        </is>
      </c>
      <c r="R465" t="inlineStr">
        <is>
          <t xml:space="preserve">GF </t>
        </is>
      </c>
      <c r="S465" t="n">
        <v>4</v>
      </c>
      <c r="T465" t="n">
        <v>4</v>
      </c>
      <c r="U465" t="inlineStr">
        <is>
          <t>2002-02-26</t>
        </is>
      </c>
      <c r="V465" t="inlineStr">
        <is>
          <t>2002-02-26</t>
        </is>
      </c>
      <c r="W465" t="inlineStr">
        <is>
          <t>1997-05-27</t>
        </is>
      </c>
      <c r="X465" t="inlineStr">
        <is>
          <t>1997-05-27</t>
        </is>
      </c>
      <c r="Y465" t="n">
        <v>722</v>
      </c>
      <c r="Z465" t="n">
        <v>546</v>
      </c>
      <c r="AA465" t="n">
        <v>548</v>
      </c>
      <c r="AB465" t="n">
        <v>5</v>
      </c>
      <c r="AC465" t="n">
        <v>5</v>
      </c>
      <c r="AD465" t="n">
        <v>21</v>
      </c>
      <c r="AE465" t="n">
        <v>21</v>
      </c>
      <c r="AF465" t="n">
        <v>5</v>
      </c>
      <c r="AG465" t="n">
        <v>5</v>
      </c>
      <c r="AH465" t="n">
        <v>5</v>
      </c>
      <c r="AI465" t="n">
        <v>5</v>
      </c>
      <c r="AJ465" t="n">
        <v>11</v>
      </c>
      <c r="AK465" t="n">
        <v>11</v>
      </c>
      <c r="AL465" t="n">
        <v>4</v>
      </c>
      <c r="AM465" t="n">
        <v>4</v>
      </c>
      <c r="AN465" t="n">
        <v>0</v>
      </c>
      <c r="AO465" t="n">
        <v>0</v>
      </c>
      <c r="AP465" t="inlineStr">
        <is>
          <t>No</t>
        </is>
      </c>
      <c r="AQ465" t="inlineStr">
        <is>
          <t>Yes</t>
        </is>
      </c>
      <c r="AR465">
        <f>HYPERLINK("http://catalog.hathitrust.org/Record/007126786","HathiTrust Record")</f>
        <v/>
      </c>
      <c r="AS465">
        <f>HYPERLINK("https://creighton-primo.hosted.exlibrisgroup.com/primo-explore/search?tab=default_tab&amp;search_scope=EVERYTHING&amp;vid=01CRU&amp;lang=en_US&amp;offset=0&amp;query=any,contains,991000547569702656","Catalog Record")</f>
        <v/>
      </c>
      <c r="AT465">
        <f>HYPERLINK("http://www.worldcat.org/oclc/91795","WorldCat Record")</f>
        <v/>
      </c>
      <c r="AU465" t="inlineStr">
        <is>
          <t>325045562:eng</t>
        </is>
      </c>
      <c r="AV465" t="inlineStr">
        <is>
          <t>91795</t>
        </is>
      </c>
      <c r="AW465" t="inlineStr">
        <is>
          <t>991000547569702656</t>
        </is>
      </c>
      <c r="AX465" t="inlineStr">
        <is>
          <t>991000547569702656</t>
        </is>
      </c>
      <c r="AY465" t="inlineStr">
        <is>
          <t>2264699490002656</t>
        </is>
      </c>
      <c r="AZ465" t="inlineStr">
        <is>
          <t>BOOK</t>
        </is>
      </c>
      <c r="BB465" t="inlineStr">
        <is>
          <t>9780471212881</t>
        </is>
      </c>
      <c r="BC465" t="inlineStr">
        <is>
          <t>32285002694098</t>
        </is>
      </c>
      <c r="BD465" t="inlineStr">
        <is>
          <t>893315041</t>
        </is>
      </c>
    </row>
    <row r="466">
      <c r="A466" t="inlineStr">
        <is>
          <t>No</t>
        </is>
      </c>
      <c r="B466" t="inlineStr">
        <is>
          <t>GF51 .D6 1968</t>
        </is>
      </c>
      <c r="C466" t="inlineStr">
        <is>
          <t>0                      GF 0051000D  6           1968</t>
        </is>
      </c>
      <c r="D466" t="inlineStr">
        <is>
          <t>The plans of men, by Leonard W. Doob. With a new pref. by the author.</t>
        </is>
      </c>
      <c r="F466" t="inlineStr">
        <is>
          <t>No</t>
        </is>
      </c>
      <c r="G466" t="inlineStr">
        <is>
          <t>1</t>
        </is>
      </c>
      <c r="H466" t="inlineStr">
        <is>
          <t>No</t>
        </is>
      </c>
      <c r="I466" t="inlineStr">
        <is>
          <t>No</t>
        </is>
      </c>
      <c r="J466" t="inlineStr">
        <is>
          <t>0</t>
        </is>
      </c>
      <c r="K466" t="inlineStr">
        <is>
          <t>Doob, Leonard W. (Leonard William), 1909-2000.</t>
        </is>
      </c>
      <c r="L466" t="inlineStr">
        <is>
          <t>[Hamden, Conn.] Archon Books, 1968 [c1940]</t>
        </is>
      </c>
      <c r="M466" t="inlineStr">
        <is>
          <t>1968</t>
        </is>
      </c>
      <c r="O466" t="inlineStr">
        <is>
          <t>eng</t>
        </is>
      </c>
      <c r="P466" t="inlineStr">
        <is>
          <t>ctu</t>
        </is>
      </c>
      <c r="R466" t="inlineStr">
        <is>
          <t xml:space="preserve">GF </t>
        </is>
      </c>
      <c r="S466" t="n">
        <v>1</v>
      </c>
      <c r="T466" t="n">
        <v>1</v>
      </c>
      <c r="U466" t="inlineStr">
        <is>
          <t>2002-02-26</t>
        </is>
      </c>
      <c r="V466" t="inlineStr">
        <is>
          <t>2002-02-26</t>
        </is>
      </c>
      <c r="W466" t="inlineStr">
        <is>
          <t>1997-05-27</t>
        </is>
      </c>
      <c r="X466" t="inlineStr">
        <is>
          <t>1997-05-27</t>
        </is>
      </c>
      <c r="Y466" t="n">
        <v>132</v>
      </c>
      <c r="Z466" t="n">
        <v>113</v>
      </c>
      <c r="AA466" t="n">
        <v>343</v>
      </c>
      <c r="AB466" t="n">
        <v>1</v>
      </c>
      <c r="AC466" t="n">
        <v>3</v>
      </c>
      <c r="AD466" t="n">
        <v>6</v>
      </c>
      <c r="AE466" t="n">
        <v>13</v>
      </c>
      <c r="AF466" t="n">
        <v>1</v>
      </c>
      <c r="AG466" t="n">
        <v>3</v>
      </c>
      <c r="AH466" t="n">
        <v>1</v>
      </c>
      <c r="AI466" t="n">
        <v>3</v>
      </c>
      <c r="AJ466" t="n">
        <v>6</v>
      </c>
      <c r="AK466" t="n">
        <v>8</v>
      </c>
      <c r="AL466" t="n">
        <v>0</v>
      </c>
      <c r="AM466" t="n">
        <v>2</v>
      </c>
      <c r="AN466" t="n">
        <v>0</v>
      </c>
      <c r="AO466" t="n">
        <v>0</v>
      </c>
      <c r="AP466" t="inlineStr">
        <is>
          <t>No</t>
        </is>
      </c>
      <c r="AQ466" t="inlineStr">
        <is>
          <t>Yes</t>
        </is>
      </c>
      <c r="AR466">
        <f>HYPERLINK("http://catalog.hathitrust.org/Record/009506978","HathiTrust Record")</f>
        <v/>
      </c>
      <c r="AS466">
        <f>HYPERLINK("https://creighton-primo.hosted.exlibrisgroup.com/primo-explore/search?tab=default_tab&amp;search_scope=EVERYTHING&amp;vid=01CRU&amp;lang=en_US&amp;offset=0&amp;query=any,contains,991002411969702656","Catalog Record")</f>
        <v/>
      </c>
      <c r="AT466">
        <f>HYPERLINK("http://www.worldcat.org/oclc/340062","WorldCat Record")</f>
        <v/>
      </c>
      <c r="AU466" t="inlineStr">
        <is>
          <t>1470808:eng</t>
        </is>
      </c>
      <c r="AV466" t="inlineStr">
        <is>
          <t>340062</t>
        </is>
      </c>
      <c r="AW466" t="inlineStr">
        <is>
          <t>991002411969702656</t>
        </is>
      </c>
      <c r="AX466" t="inlineStr">
        <is>
          <t>991002411969702656</t>
        </is>
      </c>
      <c r="AY466" t="inlineStr">
        <is>
          <t>2262546750002656</t>
        </is>
      </c>
      <c r="AZ466" t="inlineStr">
        <is>
          <t>BOOK</t>
        </is>
      </c>
      <c r="BC466" t="inlineStr">
        <is>
          <t>32285002694106</t>
        </is>
      </c>
      <c r="BD466" t="inlineStr">
        <is>
          <t>893603569</t>
        </is>
      </c>
    </row>
    <row r="467">
      <c r="A467" t="inlineStr">
        <is>
          <t>No</t>
        </is>
      </c>
      <c r="B467" t="inlineStr">
        <is>
          <t>GF51 .J62</t>
        </is>
      </c>
      <c r="C467" t="inlineStr">
        <is>
          <t>0                      GF 0051000J  62</t>
        </is>
      </c>
      <c r="D467" t="inlineStr">
        <is>
          <t>Strategies for survival : cultural behavior in an ecological context / Michael A. Jochim.</t>
        </is>
      </c>
      <c r="F467" t="inlineStr">
        <is>
          <t>No</t>
        </is>
      </c>
      <c r="G467" t="inlineStr">
        <is>
          <t>1</t>
        </is>
      </c>
      <c r="H467" t="inlineStr">
        <is>
          <t>No</t>
        </is>
      </c>
      <c r="I467" t="inlineStr">
        <is>
          <t>No</t>
        </is>
      </c>
      <c r="J467" t="inlineStr">
        <is>
          <t>0</t>
        </is>
      </c>
      <c r="K467" t="inlineStr">
        <is>
          <t>Jochim, Michael A.</t>
        </is>
      </c>
      <c r="L467" t="inlineStr">
        <is>
          <t>New York : Academic Press, c1981.</t>
        </is>
      </c>
      <c r="M467" t="inlineStr">
        <is>
          <t>1981</t>
        </is>
      </c>
      <c r="O467" t="inlineStr">
        <is>
          <t>eng</t>
        </is>
      </c>
      <c r="P467" t="inlineStr">
        <is>
          <t>nyu</t>
        </is>
      </c>
      <c r="R467" t="inlineStr">
        <is>
          <t xml:space="preserve">GF </t>
        </is>
      </c>
      <c r="S467" t="n">
        <v>5</v>
      </c>
      <c r="T467" t="n">
        <v>5</v>
      </c>
      <c r="U467" t="inlineStr">
        <is>
          <t>2002-02-26</t>
        </is>
      </c>
      <c r="V467" t="inlineStr">
        <is>
          <t>2002-02-26</t>
        </is>
      </c>
      <c r="W467" t="inlineStr">
        <is>
          <t>1990-09-14</t>
        </is>
      </c>
      <c r="X467" t="inlineStr">
        <is>
          <t>1990-09-14</t>
        </is>
      </c>
      <c r="Y467" t="n">
        <v>455</v>
      </c>
      <c r="Z467" t="n">
        <v>335</v>
      </c>
      <c r="AA467" t="n">
        <v>374</v>
      </c>
      <c r="AB467" t="n">
        <v>2</v>
      </c>
      <c r="AC467" t="n">
        <v>2</v>
      </c>
      <c r="AD467" t="n">
        <v>8</v>
      </c>
      <c r="AE467" t="n">
        <v>11</v>
      </c>
      <c r="AF467" t="n">
        <v>3</v>
      </c>
      <c r="AG467" t="n">
        <v>5</v>
      </c>
      <c r="AH467" t="n">
        <v>3</v>
      </c>
      <c r="AI467" t="n">
        <v>5</v>
      </c>
      <c r="AJ467" t="n">
        <v>4</v>
      </c>
      <c r="AK467" t="n">
        <v>4</v>
      </c>
      <c r="AL467" t="n">
        <v>1</v>
      </c>
      <c r="AM467" t="n">
        <v>1</v>
      </c>
      <c r="AN467" t="n">
        <v>0</v>
      </c>
      <c r="AO467" t="n">
        <v>0</v>
      </c>
      <c r="AP467" t="inlineStr">
        <is>
          <t>No</t>
        </is>
      </c>
      <c r="AQ467" t="inlineStr">
        <is>
          <t>Yes</t>
        </is>
      </c>
      <c r="AR467">
        <f>HYPERLINK("http://catalog.hathitrust.org/Record/000139386","HathiTrust Record")</f>
        <v/>
      </c>
      <c r="AS467">
        <f>HYPERLINK("https://creighton-primo.hosted.exlibrisgroup.com/primo-explore/search?tab=default_tab&amp;search_scope=EVERYTHING&amp;vid=01CRU&amp;lang=en_US&amp;offset=0&amp;query=any,contains,991005128599702656","Catalog Record")</f>
        <v/>
      </c>
      <c r="AT467">
        <f>HYPERLINK("http://www.worldcat.org/oclc/7555333","WorldCat Record")</f>
        <v/>
      </c>
      <c r="AU467" t="inlineStr">
        <is>
          <t>257249217:eng</t>
        </is>
      </c>
      <c r="AV467" t="inlineStr">
        <is>
          <t>7555333</t>
        </is>
      </c>
      <c r="AW467" t="inlineStr">
        <is>
          <t>991005128599702656</t>
        </is>
      </c>
      <c r="AX467" t="inlineStr">
        <is>
          <t>991005128599702656</t>
        </is>
      </c>
      <c r="AY467" t="inlineStr">
        <is>
          <t>2266344590002656</t>
        </is>
      </c>
      <c r="AZ467" t="inlineStr">
        <is>
          <t>BOOK</t>
        </is>
      </c>
      <c r="BB467" t="inlineStr">
        <is>
          <t>9780123854605</t>
        </is>
      </c>
      <c r="BC467" t="inlineStr">
        <is>
          <t>32285000287101</t>
        </is>
      </c>
      <c r="BD467" t="inlineStr">
        <is>
          <t>893424586</t>
        </is>
      </c>
    </row>
    <row r="468">
      <c r="A468" t="inlineStr">
        <is>
          <t>No</t>
        </is>
      </c>
      <c r="B468" t="inlineStr">
        <is>
          <t>GF51 .V35</t>
        </is>
      </c>
      <c r="C468" t="inlineStr">
        <is>
          <t>0                      GF 0051000V  35</t>
        </is>
      </c>
      <c r="D468" t="inlineStr">
        <is>
          <t>Environment and cultural behavior : ecological studies in cultural anthropology / edited by Andrew P. Vayda.</t>
        </is>
      </c>
      <c r="F468" t="inlineStr">
        <is>
          <t>No</t>
        </is>
      </c>
      <c r="G468" t="inlineStr">
        <is>
          <t>1</t>
        </is>
      </c>
      <c r="H468" t="inlineStr">
        <is>
          <t>No</t>
        </is>
      </c>
      <c r="I468" t="inlineStr">
        <is>
          <t>No</t>
        </is>
      </c>
      <c r="J468" t="inlineStr">
        <is>
          <t>0</t>
        </is>
      </c>
      <c r="K468" t="inlineStr">
        <is>
          <t>Vayda, Andrew Peter compiler.</t>
        </is>
      </c>
      <c r="L468" t="inlineStr">
        <is>
          <t>Garden City, N.Y., Published for American Museum of Natural History [by] Natural History Press, 1969.</t>
        </is>
      </c>
      <c r="M468" t="inlineStr">
        <is>
          <t>1969</t>
        </is>
      </c>
      <c r="N468" t="inlineStr">
        <is>
          <t>[1st ed.]</t>
        </is>
      </c>
      <c r="O468" t="inlineStr">
        <is>
          <t>eng</t>
        </is>
      </c>
      <c r="P468" t="inlineStr">
        <is>
          <t>nyu</t>
        </is>
      </c>
      <c r="Q468" t="inlineStr">
        <is>
          <t>American Museum sourcebooks in anthropology</t>
        </is>
      </c>
      <c r="R468" t="inlineStr">
        <is>
          <t xml:space="preserve">GF </t>
        </is>
      </c>
      <c r="S468" t="n">
        <v>5</v>
      </c>
      <c r="T468" t="n">
        <v>5</v>
      </c>
      <c r="U468" t="inlineStr">
        <is>
          <t>1999-04-16</t>
        </is>
      </c>
      <c r="V468" t="inlineStr">
        <is>
          <t>1999-04-16</t>
        </is>
      </c>
      <c r="W468" t="inlineStr">
        <is>
          <t>1996-09-09</t>
        </is>
      </c>
      <c r="X468" t="inlineStr">
        <is>
          <t>1996-09-09</t>
        </is>
      </c>
      <c r="Y468" t="n">
        <v>1037</v>
      </c>
      <c r="Z468" t="n">
        <v>864</v>
      </c>
      <c r="AA468" t="n">
        <v>979</v>
      </c>
      <c r="AB468" t="n">
        <v>4</v>
      </c>
      <c r="AC468" t="n">
        <v>5</v>
      </c>
      <c r="AD468" t="n">
        <v>29</v>
      </c>
      <c r="AE468" t="n">
        <v>34</v>
      </c>
      <c r="AF468" t="n">
        <v>11</v>
      </c>
      <c r="AG468" t="n">
        <v>13</v>
      </c>
      <c r="AH468" t="n">
        <v>5</v>
      </c>
      <c r="AI468" t="n">
        <v>6</v>
      </c>
      <c r="AJ468" t="n">
        <v>17</v>
      </c>
      <c r="AK468" t="n">
        <v>19</v>
      </c>
      <c r="AL468" t="n">
        <v>3</v>
      </c>
      <c r="AM468" t="n">
        <v>4</v>
      </c>
      <c r="AN468" t="n">
        <v>1</v>
      </c>
      <c r="AO468" t="n">
        <v>1</v>
      </c>
      <c r="AP468" t="inlineStr">
        <is>
          <t>No</t>
        </is>
      </c>
      <c r="AQ468" t="inlineStr">
        <is>
          <t>Yes</t>
        </is>
      </c>
      <c r="AR468">
        <f>HYPERLINK("http://catalog.hathitrust.org/Record/001273756","HathiTrust Record")</f>
        <v/>
      </c>
      <c r="AS468">
        <f>HYPERLINK("https://creighton-primo.hosted.exlibrisgroup.com/primo-explore/search?tab=default_tab&amp;search_scope=EVERYTHING&amp;vid=01CRU&amp;lang=en_US&amp;offset=0&amp;query=any,contains,991000002759702656","Catalog Record")</f>
        <v/>
      </c>
      <c r="AT468">
        <f>HYPERLINK("http://www.worldcat.org/oclc/11676","WorldCat Record")</f>
        <v/>
      </c>
      <c r="AU468" t="inlineStr">
        <is>
          <t>794950513:eng</t>
        </is>
      </c>
      <c r="AV468" t="inlineStr">
        <is>
          <t>11676</t>
        </is>
      </c>
      <c r="AW468" t="inlineStr">
        <is>
          <t>991000002759702656</t>
        </is>
      </c>
      <c r="AX468" t="inlineStr">
        <is>
          <t>991000002759702656</t>
        </is>
      </c>
      <c r="AY468" t="inlineStr">
        <is>
          <t>2267762140002656</t>
        </is>
      </c>
      <c r="AZ468" t="inlineStr">
        <is>
          <t>BOOK</t>
        </is>
      </c>
      <c r="BC468" t="inlineStr">
        <is>
          <t>32285002306693</t>
        </is>
      </c>
      <c r="BD468" t="inlineStr">
        <is>
          <t>893412987</t>
        </is>
      </c>
    </row>
    <row r="469">
      <c r="A469" t="inlineStr">
        <is>
          <t>No</t>
        </is>
      </c>
      <c r="B469" t="inlineStr">
        <is>
          <t>GF51 .W43 1969</t>
        </is>
      </c>
      <c r="C469" t="inlineStr">
        <is>
          <t>0                      GF 0051000W  43          1969</t>
        </is>
      </c>
      <c r="D469" t="inlineStr">
        <is>
          <t>A guide to the human adaptability proposals [by] J. S. Weiner; with a contribution by Paul T. Baker.</t>
        </is>
      </c>
      <c r="F469" t="inlineStr">
        <is>
          <t>No</t>
        </is>
      </c>
      <c r="G469" t="inlineStr">
        <is>
          <t>1</t>
        </is>
      </c>
      <c r="H469" t="inlineStr">
        <is>
          <t>No</t>
        </is>
      </c>
      <c r="I469" t="inlineStr">
        <is>
          <t>No</t>
        </is>
      </c>
      <c r="J469" t="inlineStr">
        <is>
          <t>0</t>
        </is>
      </c>
      <c r="K469" t="inlineStr">
        <is>
          <t>Weiner, J. S. (Joseph Sidney), 1915-1982.</t>
        </is>
      </c>
      <c r="L469" t="inlineStr">
        <is>
          <t>Oxford, Published for the International Biological Programme by Blackwell Scientific, 1969.</t>
        </is>
      </c>
      <c r="M469" t="inlineStr">
        <is>
          <t>1969</t>
        </is>
      </c>
      <c r="N469" t="inlineStr">
        <is>
          <t>2nd ed.</t>
        </is>
      </c>
      <c r="O469" t="inlineStr">
        <is>
          <t>eng</t>
        </is>
      </c>
      <c r="P469" t="inlineStr">
        <is>
          <t>enk</t>
        </is>
      </c>
      <c r="Q469" t="inlineStr">
        <is>
          <t>IBP handbook no. 1</t>
        </is>
      </c>
      <c r="R469" t="inlineStr">
        <is>
          <t xml:space="preserve">GF </t>
        </is>
      </c>
      <c r="S469" t="n">
        <v>3</v>
      </c>
      <c r="T469" t="n">
        <v>3</v>
      </c>
      <c r="U469" t="inlineStr">
        <is>
          <t>2002-02-26</t>
        </is>
      </c>
      <c r="V469" t="inlineStr">
        <is>
          <t>2002-02-26</t>
        </is>
      </c>
      <c r="W469" t="inlineStr">
        <is>
          <t>1997-05-27</t>
        </is>
      </c>
      <c r="X469" t="inlineStr">
        <is>
          <t>1997-05-27</t>
        </is>
      </c>
      <c r="Y469" t="n">
        <v>235</v>
      </c>
      <c r="Z469" t="n">
        <v>171</v>
      </c>
      <c r="AA469" t="n">
        <v>173</v>
      </c>
      <c r="AB469" t="n">
        <v>2</v>
      </c>
      <c r="AC469" t="n">
        <v>2</v>
      </c>
      <c r="AD469" t="n">
        <v>5</v>
      </c>
      <c r="AE469" t="n">
        <v>5</v>
      </c>
      <c r="AF469" t="n">
        <v>1</v>
      </c>
      <c r="AG469" t="n">
        <v>1</v>
      </c>
      <c r="AH469" t="n">
        <v>3</v>
      </c>
      <c r="AI469" t="n">
        <v>3</v>
      </c>
      <c r="AJ469" t="n">
        <v>3</v>
      </c>
      <c r="AK469" t="n">
        <v>3</v>
      </c>
      <c r="AL469" t="n">
        <v>1</v>
      </c>
      <c r="AM469" t="n">
        <v>1</v>
      </c>
      <c r="AN469" t="n">
        <v>0</v>
      </c>
      <c r="AO469" t="n">
        <v>0</v>
      </c>
      <c r="AP469" t="inlineStr">
        <is>
          <t>No</t>
        </is>
      </c>
      <c r="AQ469" t="inlineStr">
        <is>
          <t>Yes</t>
        </is>
      </c>
      <c r="AR469">
        <f>HYPERLINK("http://catalog.hathitrust.org/Record/001273825","HathiTrust Record")</f>
        <v/>
      </c>
      <c r="AS469">
        <f>HYPERLINK("https://creighton-primo.hosted.exlibrisgroup.com/primo-explore/search?tab=default_tab&amp;search_scope=EVERYTHING&amp;vid=01CRU&amp;lang=en_US&amp;offset=0&amp;query=any,contains,991000260639702656","Catalog Record")</f>
        <v/>
      </c>
      <c r="AT469">
        <f>HYPERLINK("http://www.worldcat.org/oclc/68296","WorldCat Record")</f>
        <v/>
      </c>
      <c r="AU469" t="inlineStr">
        <is>
          <t>1235523:eng</t>
        </is>
      </c>
      <c r="AV469" t="inlineStr">
        <is>
          <t>68296</t>
        </is>
      </c>
      <c r="AW469" t="inlineStr">
        <is>
          <t>991000260639702656</t>
        </is>
      </c>
      <c r="AX469" t="inlineStr">
        <is>
          <t>991000260639702656</t>
        </is>
      </c>
      <c r="AY469" t="inlineStr">
        <is>
          <t>2257732910002656</t>
        </is>
      </c>
      <c r="AZ469" t="inlineStr">
        <is>
          <t>BOOK</t>
        </is>
      </c>
      <c r="BB469" t="inlineStr">
        <is>
          <t>9780632060801</t>
        </is>
      </c>
      <c r="BC469" t="inlineStr">
        <is>
          <t>32285002694122</t>
        </is>
      </c>
      <c r="BD469" t="inlineStr">
        <is>
          <t>893527930</t>
        </is>
      </c>
    </row>
    <row r="470">
      <c r="A470" t="inlineStr">
        <is>
          <t>No</t>
        </is>
      </c>
      <c r="B470" t="inlineStr">
        <is>
          <t>GF532.A4 L43 1993</t>
        </is>
      </c>
      <c r="C470" t="inlineStr">
        <is>
          <t>0                      GF 0532000A  4                  L  43          1993</t>
        </is>
      </c>
      <c r="D470" t="inlineStr">
        <is>
          <t>Voices from the Amazon / Binka Le Breton.</t>
        </is>
      </c>
      <c r="F470" t="inlineStr">
        <is>
          <t>No</t>
        </is>
      </c>
      <c r="G470" t="inlineStr">
        <is>
          <t>1</t>
        </is>
      </c>
      <c r="H470" t="inlineStr">
        <is>
          <t>No</t>
        </is>
      </c>
      <c r="I470" t="inlineStr">
        <is>
          <t>No</t>
        </is>
      </c>
      <c r="J470" t="inlineStr">
        <is>
          <t>0</t>
        </is>
      </c>
      <c r="K470" t="inlineStr">
        <is>
          <t>Le Breton, Binka.</t>
        </is>
      </c>
      <c r="L470" t="inlineStr">
        <is>
          <t>West Hartford, Conn., USA : Kumarian Press, 1993.</t>
        </is>
      </c>
      <c r="M470" t="inlineStr">
        <is>
          <t>1993</t>
        </is>
      </c>
      <c r="O470" t="inlineStr">
        <is>
          <t>eng</t>
        </is>
      </c>
      <c r="P470" t="inlineStr">
        <is>
          <t>ctu</t>
        </is>
      </c>
      <c r="Q470" t="inlineStr">
        <is>
          <t>Kumarian Press books for a world that works</t>
        </is>
      </c>
      <c r="R470" t="inlineStr">
        <is>
          <t xml:space="preserve">GF </t>
        </is>
      </c>
      <c r="S470" t="n">
        <v>2</v>
      </c>
      <c r="T470" t="n">
        <v>2</v>
      </c>
      <c r="U470" t="inlineStr">
        <is>
          <t>2009-03-28</t>
        </is>
      </c>
      <c r="V470" t="inlineStr">
        <is>
          <t>2009-03-28</t>
        </is>
      </c>
      <c r="W470" t="inlineStr">
        <is>
          <t>2006-02-27</t>
        </is>
      </c>
      <c r="X470" t="inlineStr">
        <is>
          <t>2006-02-27</t>
        </is>
      </c>
      <c r="Y470" t="n">
        <v>455</v>
      </c>
      <c r="Z470" t="n">
        <v>406</v>
      </c>
      <c r="AA470" t="n">
        <v>411</v>
      </c>
      <c r="AB470" t="n">
        <v>3</v>
      </c>
      <c r="AC470" t="n">
        <v>3</v>
      </c>
      <c r="AD470" t="n">
        <v>19</v>
      </c>
      <c r="AE470" t="n">
        <v>19</v>
      </c>
      <c r="AF470" t="n">
        <v>8</v>
      </c>
      <c r="AG470" t="n">
        <v>8</v>
      </c>
      <c r="AH470" t="n">
        <v>7</v>
      </c>
      <c r="AI470" t="n">
        <v>7</v>
      </c>
      <c r="AJ470" t="n">
        <v>7</v>
      </c>
      <c r="AK470" t="n">
        <v>7</v>
      </c>
      <c r="AL470" t="n">
        <v>2</v>
      </c>
      <c r="AM470" t="n">
        <v>2</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HYPERLINK("https://creighton-primo.hosted.exlibrisgroup.com/primo-explore/search?tab=default_tab&amp;search_scope=EVERYTHING&amp;vid=01CRU&amp;lang=en_US&amp;offset=0&amp;query=any,contains,991004752069702656","Catalog Record")</f>
        <v/>
      </c>
      <c r="AT470">
        <f>HYPERLINK("http://www.worldcat.org/oclc/27642925","WorldCat Record")</f>
        <v/>
      </c>
      <c r="AU470" t="inlineStr">
        <is>
          <t>390037:eng</t>
        </is>
      </c>
      <c r="AV470" t="inlineStr">
        <is>
          <t>27642925</t>
        </is>
      </c>
      <c r="AW470" t="inlineStr">
        <is>
          <t>991004752069702656</t>
        </is>
      </c>
      <c r="AX470" t="inlineStr">
        <is>
          <t>991004752069702656</t>
        </is>
      </c>
      <c r="AY470" t="inlineStr">
        <is>
          <t>2256086010002656</t>
        </is>
      </c>
      <c r="AZ470" t="inlineStr">
        <is>
          <t>BOOK</t>
        </is>
      </c>
      <c r="BB470" t="inlineStr">
        <is>
          <t>9781565490215</t>
        </is>
      </c>
      <c r="BC470" t="inlineStr">
        <is>
          <t>32285005165096</t>
        </is>
      </c>
      <c r="BD470" t="inlineStr">
        <is>
          <t>893795236</t>
        </is>
      </c>
    </row>
    <row r="471">
      <c r="A471" t="inlineStr">
        <is>
          <t>No</t>
        </is>
      </c>
      <c r="B471" t="inlineStr">
        <is>
          <t>GF532.A4 M37 1992</t>
        </is>
      </c>
      <c r="C471" t="inlineStr">
        <is>
          <t>0                      GF 0532000A  4                  M  37          1992</t>
        </is>
      </c>
      <c r="D471" t="inlineStr">
        <is>
          <t>The last new world : the conquest of the Amazon frontier / by Mac Margolis.</t>
        </is>
      </c>
      <c r="F471" t="inlineStr">
        <is>
          <t>No</t>
        </is>
      </c>
      <c r="G471" t="inlineStr">
        <is>
          <t>1</t>
        </is>
      </c>
      <c r="H471" t="inlineStr">
        <is>
          <t>No</t>
        </is>
      </c>
      <c r="I471" t="inlineStr">
        <is>
          <t>No</t>
        </is>
      </c>
      <c r="J471" t="inlineStr">
        <is>
          <t>0</t>
        </is>
      </c>
      <c r="K471" t="inlineStr">
        <is>
          <t>Margolis, Mac.</t>
        </is>
      </c>
      <c r="L471" t="inlineStr">
        <is>
          <t>New York : Norton, 1992.</t>
        </is>
      </c>
      <c r="M471" t="inlineStr">
        <is>
          <t>1992</t>
        </is>
      </c>
      <c r="O471" t="inlineStr">
        <is>
          <t>eng</t>
        </is>
      </c>
      <c r="P471" t="inlineStr">
        <is>
          <t>nyu</t>
        </is>
      </c>
      <c r="R471" t="inlineStr">
        <is>
          <t xml:space="preserve">GF </t>
        </is>
      </c>
      <c r="S471" t="n">
        <v>12</v>
      </c>
      <c r="T471" t="n">
        <v>12</v>
      </c>
      <c r="U471" t="inlineStr">
        <is>
          <t>1998-03-10</t>
        </is>
      </c>
      <c r="V471" t="inlineStr">
        <is>
          <t>1998-03-10</t>
        </is>
      </c>
      <c r="W471" t="inlineStr">
        <is>
          <t>1992-09-05</t>
        </is>
      </c>
      <c r="X471" t="inlineStr">
        <is>
          <t>1992-09-05</t>
        </is>
      </c>
      <c r="Y471" t="n">
        <v>456</v>
      </c>
      <c r="Z471" t="n">
        <v>383</v>
      </c>
      <c r="AA471" t="n">
        <v>389</v>
      </c>
      <c r="AB471" t="n">
        <v>1</v>
      </c>
      <c r="AC471" t="n">
        <v>1</v>
      </c>
      <c r="AD471" t="n">
        <v>12</v>
      </c>
      <c r="AE471" t="n">
        <v>12</v>
      </c>
      <c r="AF471" t="n">
        <v>4</v>
      </c>
      <c r="AG471" t="n">
        <v>4</v>
      </c>
      <c r="AH471" t="n">
        <v>4</v>
      </c>
      <c r="AI471" t="n">
        <v>4</v>
      </c>
      <c r="AJ471" t="n">
        <v>9</v>
      </c>
      <c r="AK471" t="n">
        <v>9</v>
      </c>
      <c r="AL471" t="n">
        <v>0</v>
      </c>
      <c r="AM471" t="n">
        <v>0</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HYPERLINK("https://creighton-primo.hosted.exlibrisgroup.com/primo-explore/search?tab=default_tab&amp;search_scope=EVERYTHING&amp;vid=01CRU&amp;lang=en_US&amp;offset=0&amp;query=any,contains,991001951649702656","Catalog Record")</f>
        <v/>
      </c>
      <c r="AT471">
        <f>HYPERLINK("http://www.worldcat.org/oclc/24669484","WorldCat Record")</f>
        <v/>
      </c>
      <c r="AU471" t="inlineStr">
        <is>
          <t>836924889:eng</t>
        </is>
      </c>
      <c r="AV471" t="inlineStr">
        <is>
          <t>24669484</t>
        </is>
      </c>
      <c r="AW471" t="inlineStr">
        <is>
          <t>991001951649702656</t>
        </is>
      </c>
      <c r="AX471" t="inlineStr">
        <is>
          <t>991001951649702656</t>
        </is>
      </c>
      <c r="AY471" t="inlineStr">
        <is>
          <t>2263898670002656</t>
        </is>
      </c>
      <c r="AZ471" t="inlineStr">
        <is>
          <t>BOOK</t>
        </is>
      </c>
      <c r="BB471" t="inlineStr">
        <is>
          <t>9780393033793</t>
        </is>
      </c>
      <c r="BC471" t="inlineStr">
        <is>
          <t>32285001285617</t>
        </is>
      </c>
      <c r="BD471" t="inlineStr">
        <is>
          <t>893898220</t>
        </is>
      </c>
    </row>
    <row r="472">
      <c r="A472" t="inlineStr">
        <is>
          <t>No</t>
        </is>
      </c>
      <c r="B472" t="inlineStr">
        <is>
          <t>GF532.V4 T36 1993</t>
        </is>
      </c>
      <c r="C472" t="inlineStr">
        <is>
          <t>0                      GF 0532000V  4                  T  36          1993</t>
        </is>
      </c>
      <c r="D472" t="inlineStr">
        <is>
          <t>El hombre frente a la naturaleza / Francisco Tamayo ; prólogo, Leandro Aristeguieta ; selección, Néstor Tablante y Garrido.</t>
        </is>
      </c>
      <c r="F472" t="inlineStr">
        <is>
          <t>No</t>
        </is>
      </c>
      <c r="G472" t="inlineStr">
        <is>
          <t>1</t>
        </is>
      </c>
      <c r="H472" t="inlineStr">
        <is>
          <t>No</t>
        </is>
      </c>
      <c r="I472" t="inlineStr">
        <is>
          <t>No</t>
        </is>
      </c>
      <c r="J472" t="inlineStr">
        <is>
          <t>0</t>
        </is>
      </c>
      <c r="K472" t="inlineStr">
        <is>
          <t>Tamayo, Francisco, 1902-1985.</t>
        </is>
      </c>
      <c r="L472" t="inlineStr">
        <is>
          <t>Caracas, Venezuela : Monte Avila Editores Latinoamericana, 1993.</t>
        </is>
      </c>
      <c r="M472" t="inlineStr">
        <is>
          <t>1993</t>
        </is>
      </c>
      <c r="N472" t="inlineStr">
        <is>
          <t>1. ed.</t>
        </is>
      </c>
      <c r="O472" t="inlineStr">
        <is>
          <t>spa</t>
        </is>
      </c>
      <c r="P472" t="inlineStr">
        <is>
          <t xml:space="preserve">ve </t>
        </is>
      </c>
      <c r="Q472" t="inlineStr">
        <is>
          <t>Documentos</t>
        </is>
      </c>
      <c r="R472" t="inlineStr">
        <is>
          <t xml:space="preserve">GF </t>
        </is>
      </c>
      <c r="S472" t="n">
        <v>1</v>
      </c>
      <c r="T472" t="n">
        <v>1</v>
      </c>
      <c r="U472" t="inlineStr">
        <is>
          <t>2002-05-16</t>
        </is>
      </c>
      <c r="V472" t="inlineStr">
        <is>
          <t>2002-05-16</t>
        </is>
      </c>
      <c r="W472" t="inlineStr">
        <is>
          <t>2002-05-08</t>
        </is>
      </c>
      <c r="X472" t="inlineStr">
        <is>
          <t>2002-05-08</t>
        </is>
      </c>
      <c r="Y472" t="n">
        <v>26</v>
      </c>
      <c r="Z472" t="n">
        <v>22</v>
      </c>
      <c r="AA472" t="n">
        <v>24</v>
      </c>
      <c r="AB472" t="n">
        <v>1</v>
      </c>
      <c r="AC472" t="n">
        <v>1</v>
      </c>
      <c r="AD472" t="n">
        <v>1</v>
      </c>
      <c r="AE472" t="n">
        <v>1</v>
      </c>
      <c r="AF472" t="n">
        <v>0</v>
      </c>
      <c r="AG472" t="n">
        <v>0</v>
      </c>
      <c r="AH472" t="n">
        <v>1</v>
      </c>
      <c r="AI472" t="n">
        <v>1</v>
      </c>
      <c r="AJ472" t="n">
        <v>1</v>
      </c>
      <c r="AK472" t="n">
        <v>1</v>
      </c>
      <c r="AL472" t="n">
        <v>0</v>
      </c>
      <c r="AM472" t="n">
        <v>0</v>
      </c>
      <c r="AN472" t="n">
        <v>0</v>
      </c>
      <c r="AO472" t="n">
        <v>0</v>
      </c>
      <c r="AP472" t="inlineStr">
        <is>
          <t>No</t>
        </is>
      </c>
      <c r="AQ472" t="inlineStr">
        <is>
          <t>Yes</t>
        </is>
      </c>
      <c r="AR472">
        <f>HYPERLINK("http://catalog.hathitrust.org/Record/101181353","HathiTrust Record")</f>
        <v/>
      </c>
      <c r="AS472">
        <f>HYPERLINK("https://creighton-primo.hosted.exlibrisgroup.com/primo-explore/search?tab=default_tab&amp;search_scope=EVERYTHING&amp;vid=01CRU&amp;lang=en_US&amp;offset=0&amp;query=any,contains,991003806559702656","Catalog Record")</f>
        <v/>
      </c>
      <c r="AT472">
        <f>HYPERLINK("http://www.worldcat.org/oclc/30763609","WorldCat Record")</f>
        <v/>
      </c>
      <c r="AU472" t="inlineStr">
        <is>
          <t>476649580:spa</t>
        </is>
      </c>
      <c r="AV472" t="inlineStr">
        <is>
          <t>30763609</t>
        </is>
      </c>
      <c r="AW472" t="inlineStr">
        <is>
          <t>991003806559702656</t>
        </is>
      </c>
      <c r="AX472" t="inlineStr">
        <is>
          <t>991003806559702656</t>
        </is>
      </c>
      <c r="AY472" t="inlineStr">
        <is>
          <t>2267312120002656</t>
        </is>
      </c>
      <c r="AZ472" t="inlineStr">
        <is>
          <t>BOOK</t>
        </is>
      </c>
      <c r="BB472" t="inlineStr">
        <is>
          <t>9789800107386</t>
        </is>
      </c>
      <c r="BC472" t="inlineStr">
        <is>
          <t>32285004486915</t>
        </is>
      </c>
      <c r="BD472" t="inlineStr">
        <is>
          <t>893711824</t>
        </is>
      </c>
    </row>
    <row r="473">
      <c r="A473" t="inlineStr">
        <is>
          <t>No</t>
        </is>
      </c>
      <c r="B473" t="inlineStr">
        <is>
          <t>GF55 .D78 2006</t>
        </is>
      </c>
      <c r="C473" t="inlineStr">
        <is>
          <t>0                      GF 0055000D  78          2006</t>
        </is>
      </c>
      <c r="D473" t="inlineStr">
        <is>
          <t>Dry : life without water / Ehsan Masood, Daniel Schaffer, editors.</t>
        </is>
      </c>
      <c r="F473" t="inlineStr">
        <is>
          <t>No</t>
        </is>
      </c>
      <c r="G473" t="inlineStr">
        <is>
          <t>1</t>
        </is>
      </c>
      <c r="H473" t="inlineStr">
        <is>
          <t>No</t>
        </is>
      </c>
      <c r="I473" t="inlineStr">
        <is>
          <t>No</t>
        </is>
      </c>
      <c r="J473" t="inlineStr">
        <is>
          <t>0</t>
        </is>
      </c>
      <c r="L473" t="inlineStr">
        <is>
          <t>Cambridge, Mass. : Harvard University Press, 2006.</t>
        </is>
      </c>
      <c r="M473" t="inlineStr">
        <is>
          <t>2006</t>
        </is>
      </c>
      <c r="O473" t="inlineStr">
        <is>
          <t>eng</t>
        </is>
      </c>
      <c r="P473" t="inlineStr">
        <is>
          <t>mau</t>
        </is>
      </c>
      <c r="R473" t="inlineStr">
        <is>
          <t xml:space="preserve">GF </t>
        </is>
      </c>
      <c r="S473" t="n">
        <v>1</v>
      </c>
      <c r="T473" t="n">
        <v>1</v>
      </c>
      <c r="U473" t="inlineStr">
        <is>
          <t>2006-04-27</t>
        </is>
      </c>
      <c r="V473" t="inlineStr">
        <is>
          <t>2006-04-27</t>
        </is>
      </c>
      <c r="W473" t="inlineStr">
        <is>
          <t>2006-04-27</t>
        </is>
      </c>
      <c r="X473" t="inlineStr">
        <is>
          <t>2006-04-27</t>
        </is>
      </c>
      <c r="Y473" t="n">
        <v>483</v>
      </c>
      <c r="Z473" t="n">
        <v>391</v>
      </c>
      <c r="AA473" t="n">
        <v>393</v>
      </c>
      <c r="AB473" t="n">
        <v>2</v>
      </c>
      <c r="AC473" t="n">
        <v>2</v>
      </c>
      <c r="AD473" t="n">
        <v>14</v>
      </c>
      <c r="AE473" t="n">
        <v>14</v>
      </c>
      <c r="AF473" t="n">
        <v>7</v>
      </c>
      <c r="AG473" t="n">
        <v>7</v>
      </c>
      <c r="AH473" t="n">
        <v>4</v>
      </c>
      <c r="AI473" t="n">
        <v>4</v>
      </c>
      <c r="AJ473" t="n">
        <v>5</v>
      </c>
      <c r="AK473" t="n">
        <v>5</v>
      </c>
      <c r="AL473" t="n">
        <v>1</v>
      </c>
      <c r="AM473" t="n">
        <v>1</v>
      </c>
      <c r="AN473" t="n">
        <v>0</v>
      </c>
      <c r="AO473" t="n">
        <v>0</v>
      </c>
      <c r="AP473" t="inlineStr">
        <is>
          <t>No</t>
        </is>
      </c>
      <c r="AQ473" t="inlineStr">
        <is>
          <t>Yes</t>
        </is>
      </c>
      <c r="AR473">
        <f>HYPERLINK("http://catalog.hathitrust.org/Record/005146592","HathiTrust Record")</f>
        <v/>
      </c>
      <c r="AS473">
        <f>HYPERLINK("https://creighton-primo.hosted.exlibrisgroup.com/primo-explore/search?tab=default_tab&amp;search_scope=EVERYTHING&amp;vid=01CRU&amp;lang=en_US&amp;offset=0&amp;query=any,contains,991004798839702656","Catalog Record")</f>
        <v/>
      </c>
      <c r="AT473">
        <f>HYPERLINK("http://www.worldcat.org/oclc/62118242","WorldCat Record")</f>
        <v/>
      </c>
      <c r="AU473" t="inlineStr">
        <is>
          <t>905876460:eng</t>
        </is>
      </c>
      <c r="AV473" t="inlineStr">
        <is>
          <t>62118242</t>
        </is>
      </c>
      <c r="AW473" t="inlineStr">
        <is>
          <t>991004798839702656</t>
        </is>
      </c>
      <c r="AX473" t="inlineStr">
        <is>
          <t>991004798839702656</t>
        </is>
      </c>
      <c r="AY473" t="inlineStr">
        <is>
          <t>2260425320002656</t>
        </is>
      </c>
      <c r="AZ473" t="inlineStr">
        <is>
          <t>BOOK</t>
        </is>
      </c>
      <c r="BB473" t="inlineStr">
        <is>
          <t>9780674022249</t>
        </is>
      </c>
      <c r="BC473" t="inlineStr">
        <is>
          <t>32285005183719</t>
        </is>
      </c>
      <c r="BD473" t="inlineStr">
        <is>
          <t>893411960</t>
        </is>
      </c>
    </row>
    <row r="474">
      <c r="A474" t="inlineStr">
        <is>
          <t>No</t>
        </is>
      </c>
      <c r="B474" t="inlineStr">
        <is>
          <t>GF55 .S65</t>
        </is>
      </c>
      <c r="C474" t="inlineStr">
        <is>
          <t>0                      GF 0055000S  65</t>
        </is>
      </c>
      <c r="D474" t="inlineStr">
        <is>
          <t>Social and technological management in dry lands : past and present, indigenous and imposed / edited by Nancie L. González.</t>
        </is>
      </c>
      <c r="F474" t="inlineStr">
        <is>
          <t>No</t>
        </is>
      </c>
      <c r="G474" t="inlineStr">
        <is>
          <t>1</t>
        </is>
      </c>
      <c r="H474" t="inlineStr">
        <is>
          <t>No</t>
        </is>
      </c>
      <c r="I474" t="inlineStr">
        <is>
          <t>No</t>
        </is>
      </c>
      <c r="J474" t="inlineStr">
        <is>
          <t>0</t>
        </is>
      </c>
      <c r="L474" t="inlineStr">
        <is>
          <t>Boulder, Colo. : Published by Westview Press for the American Association for the Advancement of Science, Washington, D.C., 1978.</t>
        </is>
      </c>
      <c r="M474" t="inlineStr">
        <is>
          <t>1978</t>
        </is>
      </c>
      <c r="O474" t="inlineStr">
        <is>
          <t>eng</t>
        </is>
      </c>
      <c r="P474" t="inlineStr">
        <is>
          <t>cou</t>
        </is>
      </c>
      <c r="Q474" t="inlineStr">
        <is>
          <t>AAAS selected symposium ; 10</t>
        </is>
      </c>
      <c r="R474" t="inlineStr">
        <is>
          <t xml:space="preserve">GF </t>
        </is>
      </c>
      <c r="S474" t="n">
        <v>2</v>
      </c>
      <c r="T474" t="n">
        <v>2</v>
      </c>
      <c r="U474" t="inlineStr">
        <is>
          <t>2001-10-22</t>
        </is>
      </c>
      <c r="V474" t="inlineStr">
        <is>
          <t>2001-10-22</t>
        </is>
      </c>
      <c r="W474" t="inlineStr">
        <is>
          <t>1990-09-14</t>
        </is>
      </c>
      <c r="X474" t="inlineStr">
        <is>
          <t>1990-09-14</t>
        </is>
      </c>
      <c r="Y474" t="n">
        <v>344</v>
      </c>
      <c r="Z474" t="n">
        <v>277</v>
      </c>
      <c r="AA474" t="n">
        <v>283</v>
      </c>
      <c r="AB474" t="n">
        <v>2</v>
      </c>
      <c r="AC474" t="n">
        <v>2</v>
      </c>
      <c r="AD474" t="n">
        <v>6</v>
      </c>
      <c r="AE474" t="n">
        <v>6</v>
      </c>
      <c r="AF474" t="n">
        <v>1</v>
      </c>
      <c r="AG474" t="n">
        <v>1</v>
      </c>
      <c r="AH474" t="n">
        <v>2</v>
      </c>
      <c r="AI474" t="n">
        <v>2</v>
      </c>
      <c r="AJ474" t="n">
        <v>4</v>
      </c>
      <c r="AK474" t="n">
        <v>4</v>
      </c>
      <c r="AL474" t="n">
        <v>1</v>
      </c>
      <c r="AM474" t="n">
        <v>1</v>
      </c>
      <c r="AN474" t="n">
        <v>0</v>
      </c>
      <c r="AO474" t="n">
        <v>0</v>
      </c>
      <c r="AP474" t="inlineStr">
        <is>
          <t>No</t>
        </is>
      </c>
      <c r="AQ474" t="inlineStr">
        <is>
          <t>Yes</t>
        </is>
      </c>
      <c r="AR474">
        <f>HYPERLINK("http://catalog.hathitrust.org/Record/000698621","HathiTrust Record")</f>
        <v/>
      </c>
      <c r="AS474">
        <f>HYPERLINK("https://creighton-primo.hosted.exlibrisgroup.com/primo-explore/search?tab=default_tab&amp;search_scope=EVERYTHING&amp;vid=01CRU&amp;lang=en_US&amp;offset=0&amp;query=any,contains,991004458129702656","Catalog Record")</f>
        <v/>
      </c>
      <c r="AT474">
        <f>HYPERLINK("http://www.worldcat.org/oclc/3540360","WorldCat Record")</f>
        <v/>
      </c>
      <c r="AU474" t="inlineStr">
        <is>
          <t>796689275:eng</t>
        </is>
      </c>
      <c r="AV474" t="inlineStr">
        <is>
          <t>3540360</t>
        </is>
      </c>
      <c r="AW474" t="inlineStr">
        <is>
          <t>991004458129702656</t>
        </is>
      </c>
      <c r="AX474" t="inlineStr">
        <is>
          <t>991004458129702656</t>
        </is>
      </c>
      <c r="AY474" t="inlineStr">
        <is>
          <t>2265770540002656</t>
        </is>
      </c>
      <c r="AZ474" t="inlineStr">
        <is>
          <t>BOOK</t>
        </is>
      </c>
      <c r="BB474" t="inlineStr">
        <is>
          <t>9780891584384</t>
        </is>
      </c>
      <c r="BC474" t="inlineStr">
        <is>
          <t>32285000287119</t>
        </is>
      </c>
      <c r="BD474" t="inlineStr">
        <is>
          <t>893624759</t>
        </is>
      </c>
    </row>
    <row r="475">
      <c r="A475" t="inlineStr">
        <is>
          <t>No</t>
        </is>
      </c>
      <c r="B475" t="inlineStr">
        <is>
          <t>GF561 .E92 1992</t>
        </is>
      </c>
      <c r="C475" t="inlineStr">
        <is>
          <t>0                      GF 0561000E  92          1992</t>
        </is>
      </c>
      <c r="D475" t="inlineStr">
        <is>
          <t>The personality of Ireland : habitat, heritage and history / E. Estyn Evans.</t>
        </is>
      </c>
      <c r="F475" t="inlineStr">
        <is>
          <t>No</t>
        </is>
      </c>
      <c r="G475" t="inlineStr">
        <is>
          <t>1</t>
        </is>
      </c>
      <c r="H475" t="inlineStr">
        <is>
          <t>No</t>
        </is>
      </c>
      <c r="I475" t="inlineStr">
        <is>
          <t>Yes</t>
        </is>
      </c>
      <c r="J475" t="inlineStr">
        <is>
          <t>0</t>
        </is>
      </c>
      <c r="K475" t="inlineStr">
        <is>
          <t>Evans, E. Estyn (Emyr Estyn), 1905-1989.</t>
        </is>
      </c>
      <c r="L475" t="inlineStr">
        <is>
          <t>Dublin : Lilliput, 1992.</t>
        </is>
      </c>
      <c r="M475" t="inlineStr">
        <is>
          <t>1992</t>
        </is>
      </c>
      <c r="O475" t="inlineStr">
        <is>
          <t>eng</t>
        </is>
      </c>
      <c r="P475" t="inlineStr">
        <is>
          <t xml:space="preserve">ie </t>
        </is>
      </c>
      <c r="R475" t="inlineStr">
        <is>
          <t xml:space="preserve">GF </t>
        </is>
      </c>
      <c r="S475" t="n">
        <v>6</v>
      </c>
      <c r="T475" t="n">
        <v>6</v>
      </c>
      <c r="U475" t="inlineStr">
        <is>
          <t>1997-01-08</t>
        </is>
      </c>
      <c r="V475" t="inlineStr">
        <is>
          <t>1997-01-08</t>
        </is>
      </c>
      <c r="W475" t="inlineStr">
        <is>
          <t>1993-12-16</t>
        </is>
      </c>
      <c r="X475" t="inlineStr">
        <is>
          <t>1993-12-16</t>
        </is>
      </c>
      <c r="Y475" t="n">
        <v>70</v>
      </c>
      <c r="Z475" t="n">
        <v>40</v>
      </c>
      <c r="AA475" t="n">
        <v>432</v>
      </c>
      <c r="AB475" t="n">
        <v>1</v>
      </c>
      <c r="AC475" t="n">
        <v>3</v>
      </c>
      <c r="AD475" t="n">
        <v>4</v>
      </c>
      <c r="AE475" t="n">
        <v>21</v>
      </c>
      <c r="AF475" t="n">
        <v>2</v>
      </c>
      <c r="AG475" t="n">
        <v>6</v>
      </c>
      <c r="AH475" t="n">
        <v>3</v>
      </c>
      <c r="AI475" t="n">
        <v>9</v>
      </c>
      <c r="AJ475" t="n">
        <v>2</v>
      </c>
      <c r="AK475" t="n">
        <v>10</v>
      </c>
      <c r="AL475" t="n">
        <v>0</v>
      </c>
      <c r="AM475" t="n">
        <v>2</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HYPERLINK("https://creighton-primo.hosted.exlibrisgroup.com/primo-explore/search?tab=default_tab&amp;search_scope=EVERYTHING&amp;vid=01CRU&amp;lang=en_US&amp;offset=0&amp;query=any,contains,991002133509702656","Catalog Record")</f>
        <v/>
      </c>
      <c r="AT475">
        <f>HYPERLINK("http://www.worldcat.org/oclc/27419476","WorldCat Record")</f>
        <v/>
      </c>
      <c r="AU475" t="inlineStr">
        <is>
          <t>40662558:eng</t>
        </is>
      </c>
      <c r="AV475" t="inlineStr">
        <is>
          <t>27419476</t>
        </is>
      </c>
      <c r="AW475" t="inlineStr">
        <is>
          <t>991002133509702656</t>
        </is>
      </c>
      <c r="AX475" t="inlineStr">
        <is>
          <t>991002133509702656</t>
        </is>
      </c>
      <c r="AY475" t="inlineStr">
        <is>
          <t>2266294690002656</t>
        </is>
      </c>
      <c r="AZ475" t="inlineStr">
        <is>
          <t>BOOK</t>
        </is>
      </c>
      <c r="BB475" t="inlineStr">
        <is>
          <t>9780946640812</t>
        </is>
      </c>
      <c r="BC475" t="inlineStr">
        <is>
          <t>32285001816213</t>
        </is>
      </c>
      <c r="BD475" t="inlineStr">
        <is>
          <t>893420974</t>
        </is>
      </c>
    </row>
    <row r="476">
      <c r="A476" t="inlineStr">
        <is>
          <t>No</t>
        </is>
      </c>
      <c r="B476" t="inlineStr">
        <is>
          <t>GF561 .M47</t>
        </is>
      </c>
      <c r="C476" t="inlineStr">
        <is>
          <t>0                      GF 0561000M  47</t>
        </is>
      </c>
      <c r="D476" t="inlineStr">
        <is>
          <t>Inis Beag, isle of Ireland / by John C. Messenger.</t>
        </is>
      </c>
      <c r="F476" t="inlineStr">
        <is>
          <t>No</t>
        </is>
      </c>
      <c r="G476" t="inlineStr">
        <is>
          <t>1</t>
        </is>
      </c>
      <c r="H476" t="inlineStr">
        <is>
          <t>No</t>
        </is>
      </c>
      <c r="I476" t="inlineStr">
        <is>
          <t>No</t>
        </is>
      </c>
      <c r="J476" t="inlineStr">
        <is>
          <t>0</t>
        </is>
      </c>
      <c r="K476" t="inlineStr">
        <is>
          <t>Messenger, John C. (John Cowan), 1920-</t>
        </is>
      </c>
      <c r="L476" t="inlineStr">
        <is>
          <t>New York : Holt, Rinehart, and Winston, [1969]</t>
        </is>
      </c>
      <c r="M476" t="inlineStr">
        <is>
          <t>1969</t>
        </is>
      </c>
      <c r="O476" t="inlineStr">
        <is>
          <t>eng</t>
        </is>
      </c>
      <c r="P476" t="inlineStr">
        <is>
          <t>nyu</t>
        </is>
      </c>
      <c r="Q476" t="inlineStr">
        <is>
          <t>Case studies in cultural anthropology</t>
        </is>
      </c>
      <c r="R476" t="inlineStr">
        <is>
          <t xml:space="preserve">GF </t>
        </is>
      </c>
      <c r="S476" t="n">
        <v>2</v>
      </c>
      <c r="T476" t="n">
        <v>2</v>
      </c>
      <c r="U476" t="inlineStr">
        <is>
          <t>2000-08-31</t>
        </is>
      </c>
      <c r="V476" t="inlineStr">
        <is>
          <t>2000-08-31</t>
        </is>
      </c>
      <c r="W476" t="inlineStr">
        <is>
          <t>1995-08-09</t>
        </is>
      </c>
      <c r="X476" t="inlineStr">
        <is>
          <t>1995-08-09</t>
        </is>
      </c>
      <c r="Y476" t="n">
        <v>689</v>
      </c>
      <c r="Z476" t="n">
        <v>568</v>
      </c>
      <c r="AA476" t="n">
        <v>677</v>
      </c>
      <c r="AB476" t="n">
        <v>5</v>
      </c>
      <c r="AC476" t="n">
        <v>6</v>
      </c>
      <c r="AD476" t="n">
        <v>26</v>
      </c>
      <c r="AE476" t="n">
        <v>30</v>
      </c>
      <c r="AF476" t="n">
        <v>8</v>
      </c>
      <c r="AG476" t="n">
        <v>11</v>
      </c>
      <c r="AH476" t="n">
        <v>6</v>
      </c>
      <c r="AI476" t="n">
        <v>7</v>
      </c>
      <c r="AJ476" t="n">
        <v>12</v>
      </c>
      <c r="AK476" t="n">
        <v>12</v>
      </c>
      <c r="AL476" t="n">
        <v>4</v>
      </c>
      <c r="AM476" t="n">
        <v>5</v>
      </c>
      <c r="AN476" t="n">
        <v>0</v>
      </c>
      <c r="AO476" t="n">
        <v>0</v>
      </c>
      <c r="AP476" t="inlineStr">
        <is>
          <t>No</t>
        </is>
      </c>
      <c r="AQ476" t="inlineStr">
        <is>
          <t>Yes</t>
        </is>
      </c>
      <c r="AR476">
        <f>HYPERLINK("http://catalog.hathitrust.org/Record/001273858","HathiTrust Record")</f>
        <v/>
      </c>
      <c r="AS476">
        <f>HYPERLINK("https://creighton-primo.hosted.exlibrisgroup.com/primo-explore/search?tab=default_tab&amp;search_scope=EVERYTHING&amp;vid=01CRU&amp;lang=en_US&amp;offset=0&amp;query=any,contains,991000126409702656","Catalog Record")</f>
        <v/>
      </c>
      <c r="AT476">
        <f>HYPERLINK("http://www.worldcat.org/oclc/52160","WorldCat Record")</f>
        <v/>
      </c>
      <c r="AU476" t="inlineStr">
        <is>
          <t>1173677:eng</t>
        </is>
      </c>
      <c r="AV476" t="inlineStr">
        <is>
          <t>52160</t>
        </is>
      </c>
      <c r="AW476" t="inlineStr">
        <is>
          <t>991000126409702656</t>
        </is>
      </c>
      <c r="AX476" t="inlineStr">
        <is>
          <t>991000126409702656</t>
        </is>
      </c>
      <c r="AY476" t="inlineStr">
        <is>
          <t>2259394190002656</t>
        </is>
      </c>
      <c r="AZ476" t="inlineStr">
        <is>
          <t>BOOK</t>
        </is>
      </c>
      <c r="BB476" t="inlineStr">
        <is>
          <t>9780030812507</t>
        </is>
      </c>
      <c r="BC476" t="inlineStr">
        <is>
          <t>32285002063492</t>
        </is>
      </c>
      <c r="BD476" t="inlineStr">
        <is>
          <t>893595310</t>
        </is>
      </c>
    </row>
    <row r="477">
      <c r="A477" t="inlineStr">
        <is>
          <t>No</t>
        </is>
      </c>
      <c r="B477" t="inlineStr">
        <is>
          <t>GF602.4 .S34 2006</t>
        </is>
      </c>
      <c r="C477" t="inlineStr">
        <is>
          <t>0                      GF 0602400S  34          2006</t>
        </is>
      </c>
      <c r="D477" t="inlineStr">
        <is>
          <t>Nature and national identity after communism : globalizing the ethnoscape / Katrina Z.S. Schwartz.</t>
        </is>
      </c>
      <c r="F477" t="inlineStr">
        <is>
          <t>No</t>
        </is>
      </c>
      <c r="G477" t="inlineStr">
        <is>
          <t>1</t>
        </is>
      </c>
      <c r="H477" t="inlineStr">
        <is>
          <t>No</t>
        </is>
      </c>
      <c r="I477" t="inlineStr">
        <is>
          <t>No</t>
        </is>
      </c>
      <c r="J477" t="inlineStr">
        <is>
          <t>0</t>
        </is>
      </c>
      <c r="K477" t="inlineStr">
        <is>
          <t>Schwartz, Katrina Z. S.</t>
        </is>
      </c>
      <c r="L477" t="inlineStr">
        <is>
          <t>Pittsburgh, Pa. : University of Pittsburgh Press, c2006.</t>
        </is>
      </c>
      <c r="M477" t="inlineStr">
        <is>
          <t>2006</t>
        </is>
      </c>
      <c r="O477" t="inlineStr">
        <is>
          <t>eng</t>
        </is>
      </c>
      <c r="P477" t="inlineStr">
        <is>
          <t>pau</t>
        </is>
      </c>
      <c r="Q477" t="inlineStr">
        <is>
          <t>Pitt series in Russian and East European studies</t>
        </is>
      </c>
      <c r="R477" t="inlineStr">
        <is>
          <t xml:space="preserve">GF </t>
        </is>
      </c>
      <c r="S477" t="n">
        <v>2</v>
      </c>
      <c r="T477" t="n">
        <v>2</v>
      </c>
      <c r="U477" t="inlineStr">
        <is>
          <t>2007-11-29</t>
        </is>
      </c>
      <c r="V477" t="inlineStr">
        <is>
          <t>2007-11-29</t>
        </is>
      </c>
      <c r="W477" t="inlineStr">
        <is>
          <t>2007-10-24</t>
        </is>
      </c>
      <c r="X477" t="inlineStr">
        <is>
          <t>2007-10-24</t>
        </is>
      </c>
      <c r="Y477" t="n">
        <v>281</v>
      </c>
      <c r="Z477" t="n">
        <v>220</v>
      </c>
      <c r="AA477" t="n">
        <v>246</v>
      </c>
      <c r="AB477" t="n">
        <v>2</v>
      </c>
      <c r="AC477" t="n">
        <v>2</v>
      </c>
      <c r="AD477" t="n">
        <v>13</v>
      </c>
      <c r="AE477" t="n">
        <v>13</v>
      </c>
      <c r="AF477" t="n">
        <v>4</v>
      </c>
      <c r="AG477" t="n">
        <v>4</v>
      </c>
      <c r="AH477" t="n">
        <v>6</v>
      </c>
      <c r="AI477" t="n">
        <v>6</v>
      </c>
      <c r="AJ477" t="n">
        <v>4</v>
      </c>
      <c r="AK477" t="n">
        <v>4</v>
      </c>
      <c r="AL477" t="n">
        <v>1</v>
      </c>
      <c r="AM477" t="n">
        <v>1</v>
      </c>
      <c r="AN477" t="n">
        <v>0</v>
      </c>
      <c r="AO477" t="n">
        <v>0</v>
      </c>
      <c r="AP477" t="inlineStr">
        <is>
          <t>No</t>
        </is>
      </c>
      <c r="AQ477" t="inlineStr">
        <is>
          <t>Yes</t>
        </is>
      </c>
      <c r="AR477">
        <f>HYPERLINK("http://catalog.hathitrust.org/Record/005398082","HathiTrust Record")</f>
        <v/>
      </c>
      <c r="AS477">
        <f>HYPERLINK("https://creighton-primo.hosted.exlibrisgroup.com/primo-explore/search?tab=default_tab&amp;search_scope=EVERYTHING&amp;vid=01CRU&amp;lang=en_US&amp;offset=0&amp;query=any,contains,991005123569702656","Catalog Record")</f>
        <v/>
      </c>
      <c r="AT477">
        <f>HYPERLINK("http://www.worldcat.org/oclc/69013397","WorldCat Record")</f>
        <v/>
      </c>
      <c r="AU477" t="inlineStr">
        <is>
          <t>795540726:eng</t>
        </is>
      </c>
      <c r="AV477" t="inlineStr">
        <is>
          <t>69013397</t>
        </is>
      </c>
      <c r="AW477" t="inlineStr">
        <is>
          <t>991005123569702656</t>
        </is>
      </c>
      <c r="AX477" t="inlineStr">
        <is>
          <t>991005123569702656</t>
        </is>
      </c>
      <c r="AY477" t="inlineStr">
        <is>
          <t>2266391150002656</t>
        </is>
      </c>
      <c r="AZ477" t="inlineStr">
        <is>
          <t>BOOK</t>
        </is>
      </c>
      <c r="BB477" t="inlineStr">
        <is>
          <t>9780822942962</t>
        </is>
      </c>
      <c r="BC477" t="inlineStr">
        <is>
          <t>32285005360770</t>
        </is>
      </c>
      <c r="BD477" t="inlineStr">
        <is>
          <t>893789477</t>
        </is>
      </c>
    </row>
    <row r="478">
      <c r="A478" t="inlineStr">
        <is>
          <t>No</t>
        </is>
      </c>
      <c r="B478" t="inlineStr">
        <is>
          <t>GF746.2 .F35 1996</t>
        </is>
      </c>
      <c r="C478" t="inlineStr">
        <is>
          <t>0                      GF 0746200F  35          1996</t>
        </is>
      </c>
      <c r="D478" t="inlineStr">
        <is>
          <t>Misreading the African landscape : society and ecology in a forest-savanna mosaic / James Fairhead and Melissa Leach with the research collaboration of Dominique Millimouno and Marie Kamano.</t>
        </is>
      </c>
      <c r="F478" t="inlineStr">
        <is>
          <t>No</t>
        </is>
      </c>
      <c r="G478" t="inlineStr">
        <is>
          <t>1</t>
        </is>
      </c>
      <c r="H478" t="inlineStr">
        <is>
          <t>No</t>
        </is>
      </c>
      <c r="I478" t="inlineStr">
        <is>
          <t>No</t>
        </is>
      </c>
      <c r="J478" t="inlineStr">
        <is>
          <t>0</t>
        </is>
      </c>
      <c r="K478" t="inlineStr">
        <is>
          <t>Fairhead, James, 1962-</t>
        </is>
      </c>
      <c r="L478" t="inlineStr">
        <is>
          <t>Cambridge ; New York : Cambridge University Press, 1996.</t>
        </is>
      </c>
      <c r="M478" t="inlineStr">
        <is>
          <t>1996</t>
        </is>
      </c>
      <c r="O478" t="inlineStr">
        <is>
          <t>eng</t>
        </is>
      </c>
      <c r="P478" t="inlineStr">
        <is>
          <t>enk</t>
        </is>
      </c>
      <c r="Q478" t="inlineStr">
        <is>
          <t>African studies series ; 90</t>
        </is>
      </c>
      <c r="R478" t="inlineStr">
        <is>
          <t xml:space="preserve">GF </t>
        </is>
      </c>
      <c r="S478" t="n">
        <v>1</v>
      </c>
      <c r="T478" t="n">
        <v>1</v>
      </c>
      <c r="U478" t="inlineStr">
        <is>
          <t>1998-02-27</t>
        </is>
      </c>
      <c r="V478" t="inlineStr">
        <is>
          <t>1998-02-27</t>
        </is>
      </c>
      <c r="W478" t="inlineStr">
        <is>
          <t>1997-12-02</t>
        </is>
      </c>
      <c r="X478" t="inlineStr">
        <is>
          <t>1997-12-02</t>
        </is>
      </c>
      <c r="Y478" t="n">
        <v>453</v>
      </c>
      <c r="Z478" t="n">
        <v>316</v>
      </c>
      <c r="AA478" t="n">
        <v>486</v>
      </c>
      <c r="AB478" t="n">
        <v>4</v>
      </c>
      <c r="AC478" t="n">
        <v>5</v>
      </c>
      <c r="AD478" t="n">
        <v>13</v>
      </c>
      <c r="AE478" t="n">
        <v>25</v>
      </c>
      <c r="AF478" t="n">
        <v>2</v>
      </c>
      <c r="AG478" t="n">
        <v>8</v>
      </c>
      <c r="AH478" t="n">
        <v>4</v>
      </c>
      <c r="AI478" t="n">
        <v>8</v>
      </c>
      <c r="AJ478" t="n">
        <v>6</v>
      </c>
      <c r="AK478" t="n">
        <v>11</v>
      </c>
      <c r="AL478" t="n">
        <v>3</v>
      </c>
      <c r="AM478" t="n">
        <v>4</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HYPERLINK("https://creighton-primo.hosted.exlibrisgroup.com/primo-explore/search?tab=default_tab&amp;search_scope=EVERYTHING&amp;vid=01CRU&amp;lang=en_US&amp;offset=0&amp;query=any,contains,991002590739702656","Catalog Record")</f>
        <v/>
      </c>
      <c r="AT478">
        <f>HYPERLINK("http://www.worldcat.org/oclc/33948114","WorldCat Record")</f>
        <v/>
      </c>
      <c r="AU478" t="inlineStr">
        <is>
          <t>19478166:eng</t>
        </is>
      </c>
      <c r="AV478" t="inlineStr">
        <is>
          <t>33948114</t>
        </is>
      </c>
      <c r="AW478" t="inlineStr">
        <is>
          <t>991002590739702656</t>
        </is>
      </c>
      <c r="AX478" t="inlineStr">
        <is>
          <t>991002590739702656</t>
        </is>
      </c>
      <c r="AY478" t="inlineStr">
        <is>
          <t>2260895530002656</t>
        </is>
      </c>
      <c r="AZ478" t="inlineStr">
        <is>
          <t>BOOK</t>
        </is>
      </c>
      <c r="BB478" t="inlineStr">
        <is>
          <t>9780521563536</t>
        </is>
      </c>
      <c r="BC478" t="inlineStr">
        <is>
          <t>32285003280459</t>
        </is>
      </c>
      <c r="BD478" t="inlineStr">
        <is>
          <t>893434055</t>
        </is>
      </c>
    </row>
    <row r="479">
      <c r="A479" t="inlineStr">
        <is>
          <t>No</t>
        </is>
      </c>
      <c r="B479" t="inlineStr">
        <is>
          <t>GF75 .D48</t>
        </is>
      </c>
      <c r="C479" t="inlineStr">
        <is>
          <t>0                      GF 0075000D  48</t>
        </is>
      </c>
      <c r="D479" t="inlineStr">
        <is>
          <t>Man's impact on environment / [compiled by] Thomas R. Detwyler.</t>
        </is>
      </c>
      <c r="F479" t="inlineStr">
        <is>
          <t>No</t>
        </is>
      </c>
      <c r="G479" t="inlineStr">
        <is>
          <t>1</t>
        </is>
      </c>
      <c r="H479" t="inlineStr">
        <is>
          <t>No</t>
        </is>
      </c>
      <c r="I479" t="inlineStr">
        <is>
          <t>No</t>
        </is>
      </c>
      <c r="J479" t="inlineStr">
        <is>
          <t>0</t>
        </is>
      </c>
      <c r="K479" t="inlineStr">
        <is>
          <t>Detwyler, Thomas R. (Thomas Robert), 1938-, compiler.</t>
        </is>
      </c>
      <c r="L479" t="inlineStr">
        <is>
          <t>New York : McGraw-Hill, [1971]</t>
        </is>
      </c>
      <c r="M479" t="inlineStr">
        <is>
          <t>1971</t>
        </is>
      </c>
      <c r="O479" t="inlineStr">
        <is>
          <t>eng</t>
        </is>
      </c>
      <c r="P479" t="inlineStr">
        <is>
          <t>nyu</t>
        </is>
      </c>
      <c r="Q479" t="inlineStr">
        <is>
          <t>McGraw-Hill series in geography</t>
        </is>
      </c>
      <c r="R479" t="inlineStr">
        <is>
          <t xml:space="preserve">GF </t>
        </is>
      </c>
      <c r="S479" t="n">
        <v>9</v>
      </c>
      <c r="T479" t="n">
        <v>9</v>
      </c>
      <c r="U479" t="inlineStr">
        <is>
          <t>1999-03-25</t>
        </is>
      </c>
      <c r="V479" t="inlineStr">
        <is>
          <t>1999-03-25</t>
        </is>
      </c>
      <c r="W479" t="inlineStr">
        <is>
          <t>1994-04-18</t>
        </is>
      </c>
      <c r="X479" t="inlineStr">
        <is>
          <t>1994-04-18</t>
        </is>
      </c>
      <c r="Y479" t="n">
        <v>967</v>
      </c>
      <c r="Z479" t="n">
        <v>720</v>
      </c>
      <c r="AA479" t="n">
        <v>728</v>
      </c>
      <c r="AB479" t="n">
        <v>8</v>
      </c>
      <c r="AC479" t="n">
        <v>8</v>
      </c>
      <c r="AD479" t="n">
        <v>28</v>
      </c>
      <c r="AE479" t="n">
        <v>28</v>
      </c>
      <c r="AF479" t="n">
        <v>8</v>
      </c>
      <c r="AG479" t="n">
        <v>8</v>
      </c>
      <c r="AH479" t="n">
        <v>6</v>
      </c>
      <c r="AI479" t="n">
        <v>6</v>
      </c>
      <c r="AJ479" t="n">
        <v>14</v>
      </c>
      <c r="AK479" t="n">
        <v>14</v>
      </c>
      <c r="AL479" t="n">
        <v>5</v>
      </c>
      <c r="AM479" t="n">
        <v>5</v>
      </c>
      <c r="AN479" t="n">
        <v>0</v>
      </c>
      <c r="AO479" t="n">
        <v>0</v>
      </c>
      <c r="AP479" t="inlineStr">
        <is>
          <t>No</t>
        </is>
      </c>
      <c r="AQ479" t="inlineStr">
        <is>
          <t>Yes</t>
        </is>
      </c>
      <c r="AR479">
        <f>HYPERLINK("http://catalog.hathitrust.org/Record/001273829","HathiTrust Record")</f>
        <v/>
      </c>
      <c r="AS479">
        <f>HYPERLINK("https://creighton-primo.hosted.exlibrisgroup.com/primo-explore/search?tab=default_tab&amp;search_scope=EVERYTHING&amp;vid=01CRU&amp;lang=en_US&amp;offset=0&amp;query=any,contains,991000766859702656","Catalog Record")</f>
        <v/>
      </c>
      <c r="AT479">
        <f>HYPERLINK("http://www.worldcat.org/oclc/131133","WorldCat Record")</f>
        <v/>
      </c>
      <c r="AU479" t="inlineStr">
        <is>
          <t>155775772:eng</t>
        </is>
      </c>
      <c r="AV479" t="inlineStr">
        <is>
          <t>131133</t>
        </is>
      </c>
      <c r="AW479" t="inlineStr">
        <is>
          <t>991000766859702656</t>
        </is>
      </c>
      <c r="AX479" t="inlineStr">
        <is>
          <t>991000766859702656</t>
        </is>
      </c>
      <c r="AY479" t="inlineStr">
        <is>
          <t>2255186120002656</t>
        </is>
      </c>
      <c r="AZ479" t="inlineStr">
        <is>
          <t>BOOK</t>
        </is>
      </c>
      <c r="BB479" t="inlineStr">
        <is>
          <t>9780070165922</t>
        </is>
      </c>
      <c r="BC479" t="inlineStr">
        <is>
          <t>32285001889087</t>
        </is>
      </c>
      <c r="BD479" t="inlineStr">
        <is>
          <t>893803062</t>
        </is>
      </c>
    </row>
    <row r="480">
      <c r="A480" t="inlineStr">
        <is>
          <t>No</t>
        </is>
      </c>
      <c r="B480" t="inlineStr">
        <is>
          <t>GF75 .G46 1986, v.1</t>
        </is>
      </c>
      <c r="C480" t="inlineStr">
        <is>
          <t>0                      GF 0075000G  46          1986                                        v.1</t>
        </is>
      </c>
      <c r="D480" t="inlineStr">
        <is>
          <t>Selected writings of Gilbert F. White / edited by Robert W. Kates and Ian Burton.</t>
        </is>
      </c>
      <c r="E480" t="inlineStr">
        <is>
          <t>V.1</t>
        </is>
      </c>
      <c r="F480" t="inlineStr">
        <is>
          <t>No</t>
        </is>
      </c>
      <c r="G480" t="inlineStr">
        <is>
          <t>1</t>
        </is>
      </c>
      <c r="H480" t="inlineStr">
        <is>
          <t>No</t>
        </is>
      </c>
      <c r="I480" t="inlineStr">
        <is>
          <t>No</t>
        </is>
      </c>
      <c r="J480" t="inlineStr">
        <is>
          <t>0</t>
        </is>
      </c>
      <c r="K480" t="inlineStr">
        <is>
          <t>White, Gilbert F.</t>
        </is>
      </c>
      <c r="L480" t="inlineStr">
        <is>
          <t>Chicago : University of Chicago Press, 1986.</t>
        </is>
      </c>
      <c r="M480" t="inlineStr">
        <is>
          <t>1986</t>
        </is>
      </c>
      <c r="O480" t="inlineStr">
        <is>
          <t>eng</t>
        </is>
      </c>
      <c r="P480" t="inlineStr">
        <is>
          <t>ilu</t>
        </is>
      </c>
      <c r="Q480" t="inlineStr">
        <is>
          <t>Geography, resources, and environment ; v. 1</t>
        </is>
      </c>
      <c r="R480" t="inlineStr">
        <is>
          <t xml:space="preserve">GF </t>
        </is>
      </c>
      <c r="S480" t="n">
        <v>6</v>
      </c>
      <c r="T480" t="n">
        <v>6</v>
      </c>
      <c r="U480" t="inlineStr">
        <is>
          <t>1997-02-13</t>
        </is>
      </c>
      <c r="V480" t="inlineStr">
        <is>
          <t>1997-02-13</t>
        </is>
      </c>
      <c r="W480" t="inlineStr">
        <is>
          <t>1990-12-07</t>
        </is>
      </c>
      <c r="X480" t="inlineStr">
        <is>
          <t>1990-12-07</t>
        </is>
      </c>
      <c r="Y480" t="n">
        <v>174</v>
      </c>
      <c r="Z480" t="n">
        <v>133</v>
      </c>
      <c r="AA480" t="n">
        <v>133</v>
      </c>
      <c r="AB480" t="n">
        <v>1</v>
      </c>
      <c r="AC480" t="n">
        <v>1</v>
      </c>
      <c r="AD480" t="n">
        <v>3</v>
      </c>
      <c r="AE480" t="n">
        <v>3</v>
      </c>
      <c r="AF480" t="n">
        <v>0</v>
      </c>
      <c r="AG480" t="n">
        <v>0</v>
      </c>
      <c r="AH480" t="n">
        <v>3</v>
      </c>
      <c r="AI480" t="n">
        <v>3</v>
      </c>
      <c r="AJ480" t="n">
        <v>1</v>
      </c>
      <c r="AK480" t="n">
        <v>1</v>
      </c>
      <c r="AL480" t="n">
        <v>0</v>
      </c>
      <c r="AM480" t="n">
        <v>0</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HYPERLINK("https://creighton-primo.hosted.exlibrisgroup.com/primo-explore/search?tab=default_tab&amp;search_scope=EVERYTHING&amp;vid=01CRU&amp;lang=en_US&amp;offset=0&amp;query=any,contains,991000657239702656","Catalog Record")</f>
        <v/>
      </c>
      <c r="AT480">
        <f>HYPERLINK("http://www.worldcat.org/oclc/12216688","WorldCat Record")</f>
        <v/>
      </c>
      <c r="AU480" t="inlineStr">
        <is>
          <t>5608890435:eng</t>
        </is>
      </c>
      <c r="AV480" t="inlineStr">
        <is>
          <t>12216688</t>
        </is>
      </c>
      <c r="AW480" t="inlineStr">
        <is>
          <t>991000657239702656</t>
        </is>
      </c>
      <c r="AX480" t="inlineStr">
        <is>
          <t>991000657239702656</t>
        </is>
      </c>
      <c r="AY480" t="inlineStr">
        <is>
          <t>2265413460002656</t>
        </is>
      </c>
      <c r="AZ480" t="inlineStr">
        <is>
          <t>BOOK</t>
        </is>
      </c>
      <c r="BB480" t="inlineStr">
        <is>
          <t>9780226425757</t>
        </is>
      </c>
      <c r="BC480" t="inlineStr">
        <is>
          <t>32285000287135</t>
        </is>
      </c>
      <c r="BD480" t="inlineStr">
        <is>
          <t>893413564</t>
        </is>
      </c>
    </row>
    <row r="481">
      <c r="A481" t="inlineStr">
        <is>
          <t>No</t>
        </is>
      </c>
      <c r="B481" t="inlineStr">
        <is>
          <t>GF75 .G46 1986, v.2</t>
        </is>
      </c>
      <c r="C481" t="inlineStr">
        <is>
          <t>0                      GF 0075000G  46          1986                                        v.2</t>
        </is>
      </c>
      <c r="D481" t="inlineStr">
        <is>
          <t>Themes from the work of Gilbert F. White / edited by Robert W. Kates and Ian Burton.</t>
        </is>
      </c>
      <c r="E481" t="inlineStr">
        <is>
          <t>V.2</t>
        </is>
      </c>
      <c r="F481" t="inlineStr">
        <is>
          <t>No</t>
        </is>
      </c>
      <c r="G481" t="inlineStr">
        <is>
          <t>1</t>
        </is>
      </c>
      <c r="H481" t="inlineStr">
        <is>
          <t>No</t>
        </is>
      </c>
      <c r="I481" t="inlineStr">
        <is>
          <t>No</t>
        </is>
      </c>
      <c r="J481" t="inlineStr">
        <is>
          <t>0</t>
        </is>
      </c>
      <c r="K481" t="inlineStr">
        <is>
          <t>White, Gilbert F.</t>
        </is>
      </c>
      <c r="L481" t="inlineStr">
        <is>
          <t>Chicago : University of Chicago Press, 1986.</t>
        </is>
      </c>
      <c r="M481" t="inlineStr">
        <is>
          <t>1986</t>
        </is>
      </c>
      <c r="O481" t="inlineStr">
        <is>
          <t>eng</t>
        </is>
      </c>
      <c r="P481" t="inlineStr">
        <is>
          <t>ilu</t>
        </is>
      </c>
      <c r="Q481" t="inlineStr">
        <is>
          <t>Geography, resources, and environment ; v. 2</t>
        </is>
      </c>
      <c r="R481" t="inlineStr">
        <is>
          <t xml:space="preserve">GF </t>
        </is>
      </c>
      <c r="S481" t="n">
        <v>2</v>
      </c>
      <c r="T481" t="n">
        <v>2</v>
      </c>
      <c r="U481" t="inlineStr">
        <is>
          <t>1997-02-13</t>
        </is>
      </c>
      <c r="V481" t="inlineStr">
        <is>
          <t>1997-02-13</t>
        </is>
      </c>
      <c r="W481" t="inlineStr">
        <is>
          <t>1990-12-07</t>
        </is>
      </c>
      <c r="X481" t="inlineStr">
        <is>
          <t>1990-12-07</t>
        </is>
      </c>
      <c r="Y481" t="n">
        <v>173</v>
      </c>
      <c r="Z481" t="n">
        <v>138</v>
      </c>
      <c r="AA481" t="n">
        <v>144</v>
      </c>
      <c r="AB481" t="n">
        <v>1</v>
      </c>
      <c r="AC481" t="n">
        <v>1</v>
      </c>
      <c r="AD481" t="n">
        <v>3</v>
      </c>
      <c r="AE481" t="n">
        <v>3</v>
      </c>
      <c r="AF481" t="n">
        <v>0</v>
      </c>
      <c r="AG481" t="n">
        <v>0</v>
      </c>
      <c r="AH481" t="n">
        <v>3</v>
      </c>
      <c r="AI481" t="n">
        <v>3</v>
      </c>
      <c r="AJ481" t="n">
        <v>1</v>
      </c>
      <c r="AK481" t="n">
        <v>1</v>
      </c>
      <c r="AL481" t="n">
        <v>0</v>
      </c>
      <c r="AM481" t="n">
        <v>0</v>
      </c>
      <c r="AN481" t="n">
        <v>0</v>
      </c>
      <c r="AO481" t="n">
        <v>0</v>
      </c>
      <c r="AP481" t="inlineStr">
        <is>
          <t>No</t>
        </is>
      </c>
      <c r="AQ481" t="inlineStr">
        <is>
          <t>Yes</t>
        </is>
      </c>
      <c r="AR481">
        <f>HYPERLINK("http://catalog.hathitrust.org/Record/000403451","HathiTrust Record")</f>
        <v/>
      </c>
      <c r="AS481">
        <f>HYPERLINK("https://creighton-primo.hosted.exlibrisgroup.com/primo-explore/search?tab=default_tab&amp;search_scope=EVERYTHING&amp;vid=01CRU&amp;lang=en_US&amp;offset=0&amp;query=any,contains,991000705769702656","Catalog Record")</f>
        <v/>
      </c>
      <c r="AT481">
        <f>HYPERLINK("http://www.worldcat.org/oclc/12557021","WorldCat Record")</f>
        <v/>
      </c>
      <c r="AU481" t="inlineStr">
        <is>
          <t>290557856:eng</t>
        </is>
      </c>
      <c r="AV481" t="inlineStr">
        <is>
          <t>12557021</t>
        </is>
      </c>
      <c r="AW481" t="inlineStr">
        <is>
          <t>991000705769702656</t>
        </is>
      </c>
      <c r="AX481" t="inlineStr">
        <is>
          <t>991000705769702656</t>
        </is>
      </c>
      <c r="AY481" t="inlineStr">
        <is>
          <t>2256659280002656</t>
        </is>
      </c>
      <c r="AZ481" t="inlineStr">
        <is>
          <t>BOOK</t>
        </is>
      </c>
      <c r="BB481" t="inlineStr">
        <is>
          <t>9780226425764</t>
        </is>
      </c>
      <c r="BC481" t="inlineStr">
        <is>
          <t>32285000287143</t>
        </is>
      </c>
      <c r="BD481" t="inlineStr">
        <is>
          <t>893871937</t>
        </is>
      </c>
    </row>
    <row r="482">
      <c r="A482" t="inlineStr">
        <is>
          <t>No</t>
        </is>
      </c>
      <c r="B482" t="inlineStr">
        <is>
          <t>GF75 .M58 2005</t>
        </is>
      </c>
      <c r="C482" t="inlineStr">
        <is>
          <t>0                      GF 0075000M  58          2005</t>
        </is>
      </c>
      <c r="D482" t="inlineStr">
        <is>
          <t>Dancing at the Dead Sea : tracking the world's environmental hotspots / Alanna Mitchell.</t>
        </is>
      </c>
      <c r="F482" t="inlineStr">
        <is>
          <t>No</t>
        </is>
      </c>
      <c r="G482" t="inlineStr">
        <is>
          <t>1</t>
        </is>
      </c>
      <c r="H482" t="inlineStr">
        <is>
          <t>No</t>
        </is>
      </c>
      <c r="I482" t="inlineStr">
        <is>
          <t>No</t>
        </is>
      </c>
      <c r="J482" t="inlineStr">
        <is>
          <t>0</t>
        </is>
      </c>
      <c r="K482" t="inlineStr">
        <is>
          <t>Mitchell, Alanna.</t>
        </is>
      </c>
      <c r="L482" t="inlineStr">
        <is>
          <t>Chicago : University of Chicago Press, 2005</t>
        </is>
      </c>
      <c r="M482" t="inlineStr">
        <is>
          <t>2005</t>
        </is>
      </c>
      <c r="O482" t="inlineStr">
        <is>
          <t>eng</t>
        </is>
      </c>
      <c r="P482" t="inlineStr">
        <is>
          <t>ilu</t>
        </is>
      </c>
      <c r="R482" t="inlineStr">
        <is>
          <t xml:space="preserve">GF </t>
        </is>
      </c>
      <c r="S482" t="n">
        <v>1</v>
      </c>
      <c r="T482" t="n">
        <v>1</v>
      </c>
      <c r="U482" t="inlineStr">
        <is>
          <t>2005-07-07</t>
        </is>
      </c>
      <c r="V482" t="inlineStr">
        <is>
          <t>2005-07-07</t>
        </is>
      </c>
      <c r="W482" t="inlineStr">
        <is>
          <t>2005-07-07</t>
        </is>
      </c>
      <c r="X482" t="inlineStr">
        <is>
          <t>2005-07-07</t>
        </is>
      </c>
      <c r="Y482" t="n">
        <v>620</v>
      </c>
      <c r="Z482" t="n">
        <v>573</v>
      </c>
      <c r="AA482" t="n">
        <v>582</v>
      </c>
      <c r="AB482" t="n">
        <v>3</v>
      </c>
      <c r="AC482" t="n">
        <v>3</v>
      </c>
      <c r="AD482" t="n">
        <v>15</v>
      </c>
      <c r="AE482" t="n">
        <v>15</v>
      </c>
      <c r="AF482" t="n">
        <v>3</v>
      </c>
      <c r="AG482" t="n">
        <v>3</v>
      </c>
      <c r="AH482" t="n">
        <v>6</v>
      </c>
      <c r="AI482" t="n">
        <v>6</v>
      </c>
      <c r="AJ482" t="n">
        <v>6</v>
      </c>
      <c r="AK482" t="n">
        <v>6</v>
      </c>
      <c r="AL482" t="n">
        <v>2</v>
      </c>
      <c r="AM482" t="n">
        <v>2</v>
      </c>
      <c r="AN482" t="n">
        <v>0</v>
      </c>
      <c r="AO482" t="n">
        <v>0</v>
      </c>
      <c r="AP482" t="inlineStr">
        <is>
          <t>No</t>
        </is>
      </c>
      <c r="AQ482" t="inlineStr">
        <is>
          <t>Yes</t>
        </is>
      </c>
      <c r="AR482">
        <f>HYPERLINK("http://catalog.hathitrust.org/Record/004941283","HathiTrust Record")</f>
        <v/>
      </c>
      <c r="AS482">
        <f>HYPERLINK("https://creighton-primo.hosted.exlibrisgroup.com/primo-explore/search?tab=default_tab&amp;search_scope=EVERYTHING&amp;vid=01CRU&amp;lang=en_US&amp;offset=0&amp;query=any,contains,991004583729702656","Catalog Record")</f>
        <v/>
      </c>
      <c r="AT482">
        <f>HYPERLINK("http://www.worldcat.org/oclc/57039713","WorldCat Record")</f>
        <v/>
      </c>
      <c r="AU482" t="inlineStr">
        <is>
          <t>38198:eng</t>
        </is>
      </c>
      <c r="AV482" t="inlineStr">
        <is>
          <t>57039713</t>
        </is>
      </c>
      <c r="AW482" t="inlineStr">
        <is>
          <t>991004583729702656</t>
        </is>
      </c>
      <c r="AX482" t="inlineStr">
        <is>
          <t>991004583729702656</t>
        </is>
      </c>
      <c r="AY482" t="inlineStr">
        <is>
          <t>2263363330002656</t>
        </is>
      </c>
      <c r="AZ482" t="inlineStr">
        <is>
          <t>BOOK</t>
        </is>
      </c>
      <c r="BB482" t="inlineStr">
        <is>
          <t>9780226532004</t>
        </is>
      </c>
      <c r="BC482" t="inlineStr">
        <is>
          <t>32285005095335</t>
        </is>
      </c>
      <c r="BD482" t="inlineStr">
        <is>
          <t>893606207</t>
        </is>
      </c>
    </row>
    <row r="483">
      <c r="A483" t="inlineStr">
        <is>
          <t>No</t>
        </is>
      </c>
      <c r="B483" t="inlineStr">
        <is>
          <t>GF75 .P67 1986</t>
        </is>
      </c>
      <c r="C483" t="inlineStr">
        <is>
          <t>0                      GF 0075000P  67          1986</t>
        </is>
      </c>
      <c r="D483" t="inlineStr">
        <is>
          <t>Altering the earth's chemistry : assessing the risks / Sandra Postel.</t>
        </is>
      </c>
      <c r="F483" t="inlineStr">
        <is>
          <t>No</t>
        </is>
      </c>
      <c r="G483" t="inlineStr">
        <is>
          <t>1</t>
        </is>
      </c>
      <c r="H483" t="inlineStr">
        <is>
          <t>No</t>
        </is>
      </c>
      <c r="I483" t="inlineStr">
        <is>
          <t>No</t>
        </is>
      </c>
      <c r="J483" t="inlineStr">
        <is>
          <t>0</t>
        </is>
      </c>
      <c r="K483" t="inlineStr">
        <is>
          <t>Postel, Sandra.</t>
        </is>
      </c>
      <c r="L483" t="inlineStr">
        <is>
          <t>Washington, D.C., USA : Worldwatch Institute, c1986.</t>
        </is>
      </c>
      <c r="M483" t="inlineStr">
        <is>
          <t>1986</t>
        </is>
      </c>
      <c r="O483" t="inlineStr">
        <is>
          <t>eng</t>
        </is>
      </c>
      <c r="P483" t="inlineStr">
        <is>
          <t>dcu</t>
        </is>
      </c>
      <c r="Q483" t="inlineStr">
        <is>
          <t>Worldwatch paper ; 71</t>
        </is>
      </c>
      <c r="R483" t="inlineStr">
        <is>
          <t xml:space="preserve">GF </t>
        </is>
      </c>
      <c r="S483" t="n">
        <v>7</v>
      </c>
      <c r="T483" t="n">
        <v>7</v>
      </c>
      <c r="U483" t="inlineStr">
        <is>
          <t>1999-03-01</t>
        </is>
      </c>
      <c r="V483" t="inlineStr">
        <is>
          <t>1999-03-01</t>
        </is>
      </c>
      <c r="W483" t="inlineStr">
        <is>
          <t>1990-09-14</t>
        </is>
      </c>
      <c r="X483" t="inlineStr">
        <is>
          <t>1990-09-14</t>
        </is>
      </c>
      <c r="Y483" t="n">
        <v>426</v>
      </c>
      <c r="Z483" t="n">
        <v>370</v>
      </c>
      <c r="AA483" t="n">
        <v>379</v>
      </c>
      <c r="AB483" t="n">
        <v>4</v>
      </c>
      <c r="AC483" t="n">
        <v>4</v>
      </c>
      <c r="AD483" t="n">
        <v>14</v>
      </c>
      <c r="AE483" t="n">
        <v>14</v>
      </c>
      <c r="AF483" t="n">
        <v>5</v>
      </c>
      <c r="AG483" t="n">
        <v>5</v>
      </c>
      <c r="AH483" t="n">
        <v>1</v>
      </c>
      <c r="AI483" t="n">
        <v>1</v>
      </c>
      <c r="AJ483" t="n">
        <v>7</v>
      </c>
      <c r="AK483" t="n">
        <v>7</v>
      </c>
      <c r="AL483" t="n">
        <v>3</v>
      </c>
      <c r="AM483" t="n">
        <v>3</v>
      </c>
      <c r="AN483" t="n">
        <v>1</v>
      </c>
      <c r="AO483" t="n">
        <v>1</v>
      </c>
      <c r="AP483" t="inlineStr">
        <is>
          <t>No</t>
        </is>
      </c>
      <c r="AQ483" t="inlineStr">
        <is>
          <t>Yes</t>
        </is>
      </c>
      <c r="AR483">
        <f>HYPERLINK("http://catalog.hathitrust.org/Record/000480902","HathiTrust Record")</f>
        <v/>
      </c>
      <c r="AS483">
        <f>HYPERLINK("https://creighton-primo.hosted.exlibrisgroup.com/primo-explore/search?tab=default_tab&amp;search_scope=EVERYTHING&amp;vid=01CRU&amp;lang=en_US&amp;offset=0&amp;query=any,contains,991000895719702656","Catalog Record")</f>
        <v/>
      </c>
      <c r="AT483">
        <f>HYPERLINK("http://www.worldcat.org/oclc/13978534","WorldCat Record")</f>
        <v/>
      </c>
      <c r="AU483" t="inlineStr">
        <is>
          <t>196210611:eng</t>
        </is>
      </c>
      <c r="AV483" t="inlineStr">
        <is>
          <t>13978534</t>
        </is>
      </c>
      <c r="AW483" t="inlineStr">
        <is>
          <t>991000895719702656</t>
        </is>
      </c>
      <c r="AX483" t="inlineStr">
        <is>
          <t>991000895719702656</t>
        </is>
      </c>
      <c r="AY483" t="inlineStr">
        <is>
          <t>2267164850002656</t>
        </is>
      </c>
      <c r="AZ483" t="inlineStr">
        <is>
          <t>BOOK</t>
        </is>
      </c>
      <c r="BB483" t="inlineStr">
        <is>
          <t>9780916468729</t>
        </is>
      </c>
      <c r="BC483" t="inlineStr">
        <is>
          <t>32285000287176</t>
        </is>
      </c>
      <c r="BD483" t="inlineStr">
        <is>
          <t>893315333</t>
        </is>
      </c>
    </row>
    <row r="484">
      <c r="A484" t="inlineStr">
        <is>
          <t>No</t>
        </is>
      </c>
      <c r="B484" t="inlineStr">
        <is>
          <t>GF8 .E35</t>
        </is>
      </c>
      <c r="C484" t="inlineStr">
        <is>
          <t>0                      GF 0008000E  35</t>
        </is>
      </c>
      <c r="D484" t="inlineStr">
        <is>
          <t>Man and the ecosphere; readings from Scientific American. With commentaries by Paul R. Ehrlich, John P. Holdren [and] Richard W. Holm.</t>
        </is>
      </c>
      <c r="F484" t="inlineStr">
        <is>
          <t>No</t>
        </is>
      </c>
      <c r="G484" t="inlineStr">
        <is>
          <t>1</t>
        </is>
      </c>
      <c r="H484" t="inlineStr">
        <is>
          <t>No</t>
        </is>
      </c>
      <c r="I484" t="inlineStr">
        <is>
          <t>No</t>
        </is>
      </c>
      <c r="J484" t="inlineStr">
        <is>
          <t>0</t>
        </is>
      </c>
      <c r="K484" t="inlineStr">
        <is>
          <t>Ehrlich, Paul R. compiler.</t>
        </is>
      </c>
      <c r="L484" t="inlineStr">
        <is>
          <t>San Francisco, W. H. Freeman [1971]</t>
        </is>
      </c>
      <c r="M484" t="inlineStr">
        <is>
          <t>1971</t>
        </is>
      </c>
      <c r="O484" t="inlineStr">
        <is>
          <t>eng</t>
        </is>
      </c>
      <c r="P484" t="inlineStr">
        <is>
          <t>cau</t>
        </is>
      </c>
      <c r="R484" t="inlineStr">
        <is>
          <t xml:space="preserve">GF </t>
        </is>
      </c>
      <c r="S484" t="n">
        <v>1</v>
      </c>
      <c r="T484" t="n">
        <v>1</v>
      </c>
      <c r="U484" t="inlineStr">
        <is>
          <t>2010-01-19</t>
        </is>
      </c>
      <c r="V484" t="inlineStr">
        <is>
          <t>2010-01-19</t>
        </is>
      </c>
      <c r="W484" t="inlineStr">
        <is>
          <t>1997-05-27</t>
        </is>
      </c>
      <c r="X484" t="inlineStr">
        <is>
          <t>1997-05-27</t>
        </is>
      </c>
      <c r="Y484" t="n">
        <v>893</v>
      </c>
      <c r="Z484" t="n">
        <v>711</v>
      </c>
      <c r="AA484" t="n">
        <v>716</v>
      </c>
      <c r="AB484" t="n">
        <v>5</v>
      </c>
      <c r="AC484" t="n">
        <v>5</v>
      </c>
      <c r="AD484" t="n">
        <v>26</v>
      </c>
      <c r="AE484" t="n">
        <v>26</v>
      </c>
      <c r="AF484" t="n">
        <v>8</v>
      </c>
      <c r="AG484" t="n">
        <v>8</v>
      </c>
      <c r="AH484" t="n">
        <v>7</v>
      </c>
      <c r="AI484" t="n">
        <v>7</v>
      </c>
      <c r="AJ484" t="n">
        <v>16</v>
      </c>
      <c r="AK484" t="n">
        <v>16</v>
      </c>
      <c r="AL484" t="n">
        <v>4</v>
      </c>
      <c r="AM484" t="n">
        <v>4</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HYPERLINK("https://creighton-primo.hosted.exlibrisgroup.com/primo-explore/search?tab=default_tab&amp;search_scope=EVERYTHING&amp;vid=01CRU&amp;lang=en_US&amp;offset=0&amp;query=any,contains,991000897359702656","Catalog Record")</f>
        <v/>
      </c>
      <c r="AT484">
        <f>HYPERLINK("http://www.worldcat.org/oclc/156317","WorldCat Record")</f>
        <v/>
      </c>
      <c r="AU484" t="inlineStr">
        <is>
          <t>364318457:eng</t>
        </is>
      </c>
      <c r="AV484" t="inlineStr">
        <is>
          <t>156317</t>
        </is>
      </c>
      <c r="AW484" t="inlineStr">
        <is>
          <t>991000897359702656</t>
        </is>
      </c>
      <c r="AX484" t="inlineStr">
        <is>
          <t>991000897359702656</t>
        </is>
      </c>
      <c r="AY484" t="inlineStr">
        <is>
          <t>2255457970002656</t>
        </is>
      </c>
      <c r="AZ484" t="inlineStr">
        <is>
          <t>BOOK</t>
        </is>
      </c>
      <c r="BB484" t="inlineStr">
        <is>
          <t>9780716709435</t>
        </is>
      </c>
      <c r="BC484" t="inlineStr">
        <is>
          <t>32285002693934</t>
        </is>
      </c>
      <c r="BD484" t="inlineStr">
        <is>
          <t>893596004</t>
        </is>
      </c>
    </row>
    <row r="485">
      <c r="A485" t="inlineStr">
        <is>
          <t>No</t>
        </is>
      </c>
      <c r="B485" t="inlineStr">
        <is>
          <t>GF80 .B37</t>
        </is>
      </c>
      <c r="C485" t="inlineStr">
        <is>
          <t>0                      GF 0080000B  37</t>
        </is>
      </c>
      <c r="D485" t="inlineStr">
        <is>
          <t>Western man and environmental ethics : attitudes toward nature and technology / edited by Ian G. Barbour.</t>
        </is>
      </c>
      <c r="F485" t="inlineStr">
        <is>
          <t>No</t>
        </is>
      </c>
      <c r="G485" t="inlineStr">
        <is>
          <t>1</t>
        </is>
      </c>
      <c r="H485" t="inlineStr">
        <is>
          <t>No</t>
        </is>
      </c>
      <c r="I485" t="inlineStr">
        <is>
          <t>No</t>
        </is>
      </c>
      <c r="J485" t="inlineStr">
        <is>
          <t>0</t>
        </is>
      </c>
      <c r="K485" t="inlineStr">
        <is>
          <t>Barbour, Ian G. compiler.</t>
        </is>
      </c>
      <c r="L485" t="inlineStr">
        <is>
          <t>Reading, Mass. : Addison-Wesley Pub. Co., [1973]</t>
        </is>
      </c>
      <c r="M485" t="inlineStr">
        <is>
          <t>1973</t>
        </is>
      </c>
      <c r="O485" t="inlineStr">
        <is>
          <t>eng</t>
        </is>
      </c>
      <c r="P485" t="inlineStr">
        <is>
          <t>mau</t>
        </is>
      </c>
      <c r="Q485" t="inlineStr">
        <is>
          <t>Addison-Wesley series in history</t>
        </is>
      </c>
      <c r="R485" t="inlineStr">
        <is>
          <t xml:space="preserve">GF </t>
        </is>
      </c>
      <c r="S485" t="n">
        <v>9</v>
      </c>
      <c r="T485" t="n">
        <v>9</v>
      </c>
      <c r="U485" t="inlineStr">
        <is>
          <t>1999-02-24</t>
        </is>
      </c>
      <c r="V485" t="inlineStr">
        <is>
          <t>1999-02-24</t>
        </is>
      </c>
      <c r="W485" t="inlineStr">
        <is>
          <t>1994-04-12</t>
        </is>
      </c>
      <c r="X485" t="inlineStr">
        <is>
          <t>1994-04-12</t>
        </is>
      </c>
      <c r="Y485" t="n">
        <v>576</v>
      </c>
      <c r="Z485" t="n">
        <v>462</v>
      </c>
      <c r="AA485" t="n">
        <v>476</v>
      </c>
      <c r="AB485" t="n">
        <v>5</v>
      </c>
      <c r="AC485" t="n">
        <v>5</v>
      </c>
      <c r="AD485" t="n">
        <v>24</v>
      </c>
      <c r="AE485" t="n">
        <v>25</v>
      </c>
      <c r="AF485" t="n">
        <v>7</v>
      </c>
      <c r="AG485" t="n">
        <v>8</v>
      </c>
      <c r="AH485" t="n">
        <v>4</v>
      </c>
      <c r="AI485" t="n">
        <v>4</v>
      </c>
      <c r="AJ485" t="n">
        <v>13</v>
      </c>
      <c r="AK485" t="n">
        <v>13</v>
      </c>
      <c r="AL485" t="n">
        <v>4</v>
      </c>
      <c r="AM485" t="n">
        <v>4</v>
      </c>
      <c r="AN485" t="n">
        <v>1</v>
      </c>
      <c r="AO485" t="n">
        <v>1</v>
      </c>
      <c r="AP485" t="inlineStr">
        <is>
          <t>No</t>
        </is>
      </c>
      <c r="AQ485" t="inlineStr">
        <is>
          <t>Yes</t>
        </is>
      </c>
      <c r="AR485">
        <f>HYPERLINK("http://catalog.hathitrust.org/Record/000007889","HathiTrust Record")</f>
        <v/>
      </c>
      <c r="AS485">
        <f>HYPERLINK("https://creighton-primo.hosted.exlibrisgroup.com/primo-explore/search?tab=default_tab&amp;search_scope=EVERYTHING&amp;vid=01CRU&amp;lang=en_US&amp;offset=0&amp;query=any,contains,991003019079702656","Catalog Record")</f>
        <v/>
      </c>
      <c r="AT485">
        <f>HYPERLINK("http://www.worldcat.org/oclc/583891","WorldCat Record")</f>
        <v/>
      </c>
      <c r="AU485" t="inlineStr">
        <is>
          <t>461228:eng</t>
        </is>
      </c>
      <c r="AV485" t="inlineStr">
        <is>
          <t>583891</t>
        </is>
      </c>
      <c r="AW485" t="inlineStr">
        <is>
          <t>991003019079702656</t>
        </is>
      </c>
      <c r="AX485" t="inlineStr">
        <is>
          <t>991003019079702656</t>
        </is>
      </c>
      <c r="AY485" t="inlineStr">
        <is>
          <t>2272300020002656</t>
        </is>
      </c>
      <c r="AZ485" t="inlineStr">
        <is>
          <t>BOOK</t>
        </is>
      </c>
      <c r="BC485" t="inlineStr">
        <is>
          <t>32285001885937</t>
        </is>
      </c>
      <c r="BD485" t="inlineStr">
        <is>
          <t>893710966</t>
        </is>
      </c>
    </row>
    <row r="486">
      <c r="A486" t="inlineStr">
        <is>
          <t>No</t>
        </is>
      </c>
      <c r="B486" t="inlineStr">
        <is>
          <t>GF80 .C66 1971</t>
        </is>
      </c>
      <c r="C486" t="inlineStr">
        <is>
          <t>0                      GF 0080000C  66          1971</t>
        </is>
      </c>
      <c r="D486" t="inlineStr">
        <is>
          <t>Philosophy &amp; environmental crisis : [papers] / edited by William T. Blackstone.</t>
        </is>
      </c>
      <c r="F486" t="inlineStr">
        <is>
          <t>No</t>
        </is>
      </c>
      <c r="G486" t="inlineStr">
        <is>
          <t>1</t>
        </is>
      </c>
      <c r="H486" t="inlineStr">
        <is>
          <t>No</t>
        </is>
      </c>
      <c r="I486" t="inlineStr">
        <is>
          <t>No</t>
        </is>
      </c>
      <c r="J486" t="inlineStr">
        <is>
          <t>0</t>
        </is>
      </c>
      <c r="K486" t="inlineStr">
        <is>
          <t>Conference in Philosophy (4th : 1971 : University of Georgia)</t>
        </is>
      </c>
      <c r="L486" t="inlineStr">
        <is>
          <t>Athens : University of Georgia Press, [1974]</t>
        </is>
      </c>
      <c r="M486" t="inlineStr">
        <is>
          <t>1974</t>
        </is>
      </c>
      <c r="O486" t="inlineStr">
        <is>
          <t>eng</t>
        </is>
      </c>
      <c r="P486" t="inlineStr">
        <is>
          <t>gau</t>
        </is>
      </c>
      <c r="R486" t="inlineStr">
        <is>
          <t xml:space="preserve">GF </t>
        </is>
      </c>
      <c r="S486" t="n">
        <v>5</v>
      </c>
      <c r="T486" t="n">
        <v>5</v>
      </c>
      <c r="U486" t="inlineStr">
        <is>
          <t>2005-12-08</t>
        </is>
      </c>
      <c r="V486" t="inlineStr">
        <is>
          <t>2005-12-08</t>
        </is>
      </c>
      <c r="W486" t="inlineStr">
        <is>
          <t>1992-12-28</t>
        </is>
      </c>
      <c r="X486" t="inlineStr">
        <is>
          <t>1992-12-28</t>
        </is>
      </c>
      <c r="Y486" t="n">
        <v>789</v>
      </c>
      <c r="Z486" t="n">
        <v>683</v>
      </c>
      <c r="AA486" t="n">
        <v>686</v>
      </c>
      <c r="AB486" t="n">
        <v>7</v>
      </c>
      <c r="AC486" t="n">
        <v>7</v>
      </c>
      <c r="AD486" t="n">
        <v>33</v>
      </c>
      <c r="AE486" t="n">
        <v>33</v>
      </c>
      <c r="AF486" t="n">
        <v>12</v>
      </c>
      <c r="AG486" t="n">
        <v>12</v>
      </c>
      <c r="AH486" t="n">
        <v>7</v>
      </c>
      <c r="AI486" t="n">
        <v>7</v>
      </c>
      <c r="AJ486" t="n">
        <v>15</v>
      </c>
      <c r="AK486" t="n">
        <v>15</v>
      </c>
      <c r="AL486" t="n">
        <v>6</v>
      </c>
      <c r="AM486" t="n">
        <v>6</v>
      </c>
      <c r="AN486" t="n">
        <v>1</v>
      </c>
      <c r="AO486" t="n">
        <v>1</v>
      </c>
      <c r="AP486" t="inlineStr">
        <is>
          <t>No</t>
        </is>
      </c>
      <c r="AQ486" t="inlineStr">
        <is>
          <t>No</t>
        </is>
      </c>
      <c r="AS486">
        <f>HYPERLINK("https://creighton-primo.hosted.exlibrisgroup.com/primo-explore/search?tab=default_tab&amp;search_scope=EVERYTHING&amp;vid=01CRU&amp;lang=en_US&amp;offset=0&amp;query=any,contains,991003619079702656","Catalog Record")</f>
        <v/>
      </c>
      <c r="AT486">
        <f>HYPERLINK("http://www.worldcat.org/oclc/1205843","WorldCat Record")</f>
        <v/>
      </c>
      <c r="AU486" t="inlineStr">
        <is>
          <t>364466316:eng</t>
        </is>
      </c>
      <c r="AV486" t="inlineStr">
        <is>
          <t>1205843</t>
        </is>
      </c>
      <c r="AW486" t="inlineStr">
        <is>
          <t>991003619079702656</t>
        </is>
      </c>
      <c r="AX486" t="inlineStr">
        <is>
          <t>991003619079702656</t>
        </is>
      </c>
      <c r="AY486" t="inlineStr">
        <is>
          <t>2269709040002656</t>
        </is>
      </c>
      <c r="AZ486" t="inlineStr">
        <is>
          <t>BOOK</t>
        </is>
      </c>
      <c r="BB486" t="inlineStr">
        <is>
          <t>9780820303437</t>
        </is>
      </c>
      <c r="BC486" t="inlineStr">
        <is>
          <t>32285001469385</t>
        </is>
      </c>
      <c r="BD486" t="inlineStr">
        <is>
          <t>893416580</t>
        </is>
      </c>
    </row>
    <row r="487">
      <c r="A487" t="inlineStr">
        <is>
          <t>No</t>
        </is>
      </c>
      <c r="B487" t="inlineStr">
        <is>
          <t>GF80 .E15</t>
        </is>
      </c>
      <c r="C487" t="inlineStr">
        <is>
          <t>0                      GF 0080000E  15</t>
        </is>
      </c>
      <c r="D487" t="inlineStr">
        <is>
          <t>Earth might be fair : reflections on ethics, religion, and ecology / edited by Ian G. Barbour.</t>
        </is>
      </c>
      <c r="F487" t="inlineStr">
        <is>
          <t>No</t>
        </is>
      </c>
      <c r="G487" t="inlineStr">
        <is>
          <t>1</t>
        </is>
      </c>
      <c r="H487" t="inlineStr">
        <is>
          <t>No</t>
        </is>
      </c>
      <c r="I487" t="inlineStr">
        <is>
          <t>No</t>
        </is>
      </c>
      <c r="J487" t="inlineStr">
        <is>
          <t>0</t>
        </is>
      </c>
      <c r="L487" t="inlineStr">
        <is>
          <t>Englewood Cliffs, N.J. : Prentice-Hall, [1972]</t>
        </is>
      </c>
      <c r="M487" t="inlineStr">
        <is>
          <t>1972</t>
        </is>
      </c>
      <c r="O487" t="inlineStr">
        <is>
          <t>eng</t>
        </is>
      </c>
      <c r="P487" t="inlineStr">
        <is>
          <t>nju</t>
        </is>
      </c>
      <c r="R487" t="inlineStr">
        <is>
          <t xml:space="preserve">GF </t>
        </is>
      </c>
      <c r="S487" t="n">
        <v>2</v>
      </c>
      <c r="T487" t="n">
        <v>2</v>
      </c>
      <c r="U487" t="inlineStr">
        <is>
          <t>2001-02-20</t>
        </is>
      </c>
      <c r="V487" t="inlineStr">
        <is>
          <t>2001-02-20</t>
        </is>
      </c>
      <c r="W487" t="inlineStr">
        <is>
          <t>1994-04-18</t>
        </is>
      </c>
      <c r="X487" t="inlineStr">
        <is>
          <t>1994-04-18</t>
        </is>
      </c>
      <c r="Y487" t="n">
        <v>825</v>
      </c>
      <c r="Z487" t="n">
        <v>725</v>
      </c>
      <c r="AA487" t="n">
        <v>731</v>
      </c>
      <c r="AB487" t="n">
        <v>9</v>
      </c>
      <c r="AC487" t="n">
        <v>9</v>
      </c>
      <c r="AD487" t="n">
        <v>34</v>
      </c>
      <c r="AE487" t="n">
        <v>34</v>
      </c>
      <c r="AF487" t="n">
        <v>11</v>
      </c>
      <c r="AG487" t="n">
        <v>11</v>
      </c>
      <c r="AH487" t="n">
        <v>6</v>
      </c>
      <c r="AI487" t="n">
        <v>6</v>
      </c>
      <c r="AJ487" t="n">
        <v>16</v>
      </c>
      <c r="AK487" t="n">
        <v>16</v>
      </c>
      <c r="AL487" t="n">
        <v>7</v>
      </c>
      <c r="AM487" t="n">
        <v>7</v>
      </c>
      <c r="AN487" t="n">
        <v>0</v>
      </c>
      <c r="AO487" t="n">
        <v>0</v>
      </c>
      <c r="AP487" t="inlineStr">
        <is>
          <t>No</t>
        </is>
      </c>
      <c r="AQ487" t="inlineStr">
        <is>
          <t>Yes</t>
        </is>
      </c>
      <c r="AR487">
        <f>HYPERLINK("http://catalog.hathitrust.org/Record/001273835","HathiTrust Record")</f>
        <v/>
      </c>
      <c r="AS487">
        <f>HYPERLINK("https://creighton-primo.hosted.exlibrisgroup.com/primo-explore/search?tab=default_tab&amp;search_scope=EVERYTHING&amp;vid=01CRU&amp;lang=en_US&amp;offset=0&amp;query=any,contains,991002173519702656","Catalog Record")</f>
        <v/>
      </c>
      <c r="AT487">
        <f>HYPERLINK("http://www.worldcat.org/oclc/277625","WorldCat Record")</f>
        <v/>
      </c>
      <c r="AU487" t="inlineStr">
        <is>
          <t>902285821:eng</t>
        </is>
      </c>
      <c r="AV487" t="inlineStr">
        <is>
          <t>277625</t>
        </is>
      </c>
      <c r="AW487" t="inlineStr">
        <is>
          <t>991002173519702656</t>
        </is>
      </c>
      <c r="AX487" t="inlineStr">
        <is>
          <t>991002173519702656</t>
        </is>
      </c>
      <c r="AY487" t="inlineStr">
        <is>
          <t>2260195150002656</t>
        </is>
      </c>
      <c r="AZ487" t="inlineStr">
        <is>
          <t>BOOK</t>
        </is>
      </c>
      <c r="BB487" t="inlineStr">
        <is>
          <t>9780132226875</t>
        </is>
      </c>
      <c r="BC487" t="inlineStr">
        <is>
          <t>32285001889079</t>
        </is>
      </c>
      <c r="BD487" t="inlineStr">
        <is>
          <t>893898450</t>
        </is>
      </c>
    </row>
    <row r="488">
      <c r="A488" t="inlineStr">
        <is>
          <t>No</t>
        </is>
      </c>
      <c r="B488" t="inlineStr">
        <is>
          <t>GF85 .J33 1988</t>
        </is>
      </c>
      <c r="C488" t="inlineStr">
        <is>
          <t>0                      GF 0085000J  33          1988</t>
        </is>
      </c>
      <c r="D488" t="inlineStr">
        <is>
          <t>Environmental refugees : a yardstick of habitability / Jodi L. Jacobson.</t>
        </is>
      </c>
      <c r="F488" t="inlineStr">
        <is>
          <t>No</t>
        </is>
      </c>
      <c r="G488" t="inlineStr">
        <is>
          <t>1</t>
        </is>
      </c>
      <c r="H488" t="inlineStr">
        <is>
          <t>No</t>
        </is>
      </c>
      <c r="I488" t="inlineStr">
        <is>
          <t>No</t>
        </is>
      </c>
      <c r="J488" t="inlineStr">
        <is>
          <t>0</t>
        </is>
      </c>
      <c r="K488" t="inlineStr">
        <is>
          <t>Jacobson, Jodi L.</t>
        </is>
      </c>
      <c r="L488" t="inlineStr">
        <is>
          <t>Washington, D.C. : Worldwatch Institute, c1988.</t>
        </is>
      </c>
      <c r="M488" t="inlineStr">
        <is>
          <t>1988</t>
        </is>
      </c>
      <c r="O488" t="inlineStr">
        <is>
          <t>eng</t>
        </is>
      </c>
      <c r="P488" t="inlineStr">
        <is>
          <t>dcu</t>
        </is>
      </c>
      <c r="Q488" t="inlineStr">
        <is>
          <t>Worldwatch paper ; 86</t>
        </is>
      </c>
      <c r="R488" t="inlineStr">
        <is>
          <t xml:space="preserve">GF </t>
        </is>
      </c>
      <c r="S488" t="n">
        <v>2</v>
      </c>
      <c r="T488" t="n">
        <v>2</v>
      </c>
      <c r="U488" t="inlineStr">
        <is>
          <t>2008-09-18</t>
        </is>
      </c>
      <c r="V488" t="inlineStr">
        <is>
          <t>2008-09-18</t>
        </is>
      </c>
      <c r="W488" t="inlineStr">
        <is>
          <t>1990-09-14</t>
        </is>
      </c>
      <c r="X488" t="inlineStr">
        <is>
          <t>1990-09-14</t>
        </is>
      </c>
      <c r="Y488" t="n">
        <v>482</v>
      </c>
      <c r="Z488" t="n">
        <v>403</v>
      </c>
      <c r="AA488" t="n">
        <v>411</v>
      </c>
      <c r="AB488" t="n">
        <v>4</v>
      </c>
      <c r="AC488" t="n">
        <v>4</v>
      </c>
      <c r="AD488" t="n">
        <v>20</v>
      </c>
      <c r="AE488" t="n">
        <v>20</v>
      </c>
      <c r="AF488" t="n">
        <v>6</v>
      </c>
      <c r="AG488" t="n">
        <v>6</v>
      </c>
      <c r="AH488" t="n">
        <v>4</v>
      </c>
      <c r="AI488" t="n">
        <v>4</v>
      </c>
      <c r="AJ488" t="n">
        <v>10</v>
      </c>
      <c r="AK488" t="n">
        <v>10</v>
      </c>
      <c r="AL488" t="n">
        <v>3</v>
      </c>
      <c r="AM488" t="n">
        <v>3</v>
      </c>
      <c r="AN488" t="n">
        <v>2</v>
      </c>
      <c r="AO488" t="n">
        <v>2</v>
      </c>
      <c r="AP488" t="inlineStr">
        <is>
          <t>No</t>
        </is>
      </c>
      <c r="AQ488" t="inlineStr">
        <is>
          <t>Yes</t>
        </is>
      </c>
      <c r="AR488">
        <f>HYPERLINK("http://catalog.hathitrust.org/Record/001082764","HathiTrust Record")</f>
        <v/>
      </c>
      <c r="AS488">
        <f>HYPERLINK("https://creighton-primo.hosted.exlibrisgroup.com/primo-explore/search?tab=default_tab&amp;search_scope=EVERYTHING&amp;vid=01CRU&amp;lang=en_US&amp;offset=0&amp;query=any,contains,991001396539702656","Catalog Record")</f>
        <v/>
      </c>
      <c r="AT488">
        <f>HYPERLINK("http://www.worldcat.org/oclc/18798920","WorldCat Record")</f>
        <v/>
      </c>
      <c r="AU488" t="inlineStr">
        <is>
          <t>196500696:eng</t>
        </is>
      </c>
      <c r="AV488" t="inlineStr">
        <is>
          <t>18798920</t>
        </is>
      </c>
      <c r="AW488" t="inlineStr">
        <is>
          <t>991001396539702656</t>
        </is>
      </c>
      <c r="AX488" t="inlineStr">
        <is>
          <t>991001396539702656</t>
        </is>
      </c>
      <c r="AY488" t="inlineStr">
        <is>
          <t>2263893660002656</t>
        </is>
      </c>
      <c r="AZ488" t="inlineStr">
        <is>
          <t>BOOK</t>
        </is>
      </c>
      <c r="BB488" t="inlineStr">
        <is>
          <t>9780916468873</t>
        </is>
      </c>
      <c r="BC488" t="inlineStr">
        <is>
          <t>32285000287242</t>
        </is>
      </c>
      <c r="BD488" t="inlineStr">
        <is>
          <t>893797550</t>
        </is>
      </c>
    </row>
    <row r="489">
      <c r="A489" t="inlineStr">
        <is>
          <t>No</t>
        </is>
      </c>
      <c r="B489" t="inlineStr">
        <is>
          <t>GF852.G35 D67 2002</t>
        </is>
      </c>
      <c r="C489" t="inlineStr">
        <is>
          <t>0                      GF 0852000G  35                 D  67          2002</t>
        </is>
      </c>
      <c r="D489" t="inlineStr">
        <is>
          <t>Plundering paradise : the hand of man on the Galápagos islands / Michael D'Orso.</t>
        </is>
      </c>
      <c r="F489" t="inlineStr">
        <is>
          <t>No</t>
        </is>
      </c>
      <c r="G489" t="inlineStr">
        <is>
          <t>1</t>
        </is>
      </c>
      <c r="H489" t="inlineStr">
        <is>
          <t>No</t>
        </is>
      </c>
      <c r="I489" t="inlineStr">
        <is>
          <t>No</t>
        </is>
      </c>
      <c r="J489" t="inlineStr">
        <is>
          <t>0</t>
        </is>
      </c>
      <c r="K489" t="inlineStr">
        <is>
          <t>D'Orso, Michael.</t>
        </is>
      </c>
      <c r="L489" t="inlineStr">
        <is>
          <t>New York : HarperCollins Publishers, c2002.</t>
        </is>
      </c>
      <c r="M489" t="inlineStr">
        <is>
          <t>2002</t>
        </is>
      </c>
      <c r="N489" t="inlineStr">
        <is>
          <t>1st ed.</t>
        </is>
      </c>
      <c r="O489" t="inlineStr">
        <is>
          <t>eng</t>
        </is>
      </c>
      <c r="P489" t="inlineStr">
        <is>
          <t>nyu</t>
        </is>
      </c>
      <c r="R489" t="inlineStr">
        <is>
          <t xml:space="preserve">GF </t>
        </is>
      </c>
      <c r="S489" t="n">
        <v>4</v>
      </c>
      <c r="T489" t="n">
        <v>4</v>
      </c>
      <c r="U489" t="inlineStr">
        <is>
          <t>2003-09-22</t>
        </is>
      </c>
      <c r="V489" t="inlineStr">
        <is>
          <t>2003-09-22</t>
        </is>
      </c>
      <c r="W489" t="inlineStr">
        <is>
          <t>2002-12-09</t>
        </is>
      </c>
      <c r="X489" t="inlineStr">
        <is>
          <t>2002-12-09</t>
        </is>
      </c>
      <c r="Y489" t="n">
        <v>684</v>
      </c>
      <c r="Z489" t="n">
        <v>632</v>
      </c>
      <c r="AA489" t="n">
        <v>700</v>
      </c>
      <c r="AB489" t="n">
        <v>6</v>
      </c>
      <c r="AC489" t="n">
        <v>6</v>
      </c>
      <c r="AD489" t="n">
        <v>15</v>
      </c>
      <c r="AE489" t="n">
        <v>16</v>
      </c>
      <c r="AF489" t="n">
        <v>6</v>
      </c>
      <c r="AG489" t="n">
        <v>7</v>
      </c>
      <c r="AH489" t="n">
        <v>3</v>
      </c>
      <c r="AI489" t="n">
        <v>3</v>
      </c>
      <c r="AJ489" t="n">
        <v>7</v>
      </c>
      <c r="AK489" t="n">
        <v>8</v>
      </c>
      <c r="AL489" t="n">
        <v>3</v>
      </c>
      <c r="AM489" t="n">
        <v>3</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HYPERLINK("https://creighton-primo.hosted.exlibrisgroup.com/primo-explore/search?tab=default_tab&amp;search_scope=EVERYTHING&amp;vid=01CRU&amp;lang=en_US&amp;offset=0&amp;query=any,contains,991003951099702656","Catalog Record")</f>
        <v/>
      </c>
      <c r="AT489">
        <f>HYPERLINK("http://www.worldcat.org/oclc/49249881","WorldCat Record")</f>
        <v/>
      </c>
      <c r="AU489" t="inlineStr">
        <is>
          <t>650926:eng</t>
        </is>
      </c>
      <c r="AV489" t="inlineStr">
        <is>
          <t>49249881</t>
        </is>
      </c>
      <c r="AW489" t="inlineStr">
        <is>
          <t>991003951099702656</t>
        </is>
      </c>
      <c r="AX489" t="inlineStr">
        <is>
          <t>991003951099702656</t>
        </is>
      </c>
      <c r="AY489" t="inlineStr">
        <is>
          <t>2261220210002656</t>
        </is>
      </c>
      <c r="AZ489" t="inlineStr">
        <is>
          <t>BOOK</t>
        </is>
      </c>
      <c r="BB489" t="inlineStr">
        <is>
          <t>9780060193904</t>
        </is>
      </c>
      <c r="BC489" t="inlineStr">
        <is>
          <t>32285004669155</t>
        </is>
      </c>
      <c r="BD489" t="inlineStr">
        <is>
          <t>893429473</t>
        </is>
      </c>
    </row>
    <row r="490">
      <c r="A490" t="inlineStr">
        <is>
          <t>No</t>
        </is>
      </c>
      <c r="B490" t="inlineStr">
        <is>
          <t>GF895 .H85 1970</t>
        </is>
      </c>
      <c r="C490" t="inlineStr">
        <is>
          <t>0                      GF 0895000H  85          1970</t>
        </is>
      </c>
      <c r="D490" t="inlineStr">
        <is>
          <t>Human ecology in the tropics / edited by J. P. Garlick and R. W. J. Keay.</t>
        </is>
      </c>
      <c r="F490" t="inlineStr">
        <is>
          <t>No</t>
        </is>
      </c>
      <c r="G490" t="inlineStr">
        <is>
          <t>1</t>
        </is>
      </c>
      <c r="H490" t="inlineStr">
        <is>
          <t>No</t>
        </is>
      </c>
      <c r="I490" t="inlineStr">
        <is>
          <t>No</t>
        </is>
      </c>
      <c r="J490" t="inlineStr">
        <is>
          <t>0</t>
        </is>
      </c>
      <c r="L490" t="inlineStr">
        <is>
          <t>Oxford ; New York : Pergamon Press, [1970]</t>
        </is>
      </c>
      <c r="M490" t="inlineStr">
        <is>
          <t>1970</t>
        </is>
      </c>
      <c r="N490" t="inlineStr">
        <is>
          <t>[1st ed.]</t>
        </is>
      </c>
      <c r="O490" t="inlineStr">
        <is>
          <t>eng</t>
        </is>
      </c>
      <c r="P490" t="inlineStr">
        <is>
          <t>enk</t>
        </is>
      </c>
      <c r="Q490" t="inlineStr">
        <is>
          <t>Society for the Study of Human Biology symposium series ; 9</t>
        </is>
      </c>
      <c r="R490" t="inlineStr">
        <is>
          <t xml:space="preserve">GF </t>
        </is>
      </c>
      <c r="S490" t="n">
        <v>4</v>
      </c>
      <c r="T490" t="n">
        <v>4</v>
      </c>
      <c r="U490" t="inlineStr">
        <is>
          <t>1994-03-03</t>
        </is>
      </c>
      <c r="V490" t="inlineStr">
        <is>
          <t>1994-03-03</t>
        </is>
      </c>
      <c r="W490" t="inlineStr">
        <is>
          <t>1992-04-24</t>
        </is>
      </c>
      <c r="X490" t="inlineStr">
        <is>
          <t>1992-04-24</t>
        </is>
      </c>
      <c r="Y490" t="n">
        <v>451</v>
      </c>
      <c r="Z490" t="n">
        <v>341</v>
      </c>
      <c r="AA490" t="n">
        <v>488</v>
      </c>
      <c r="AB490" t="n">
        <v>2</v>
      </c>
      <c r="AC490" t="n">
        <v>2</v>
      </c>
      <c r="AD490" t="n">
        <v>11</v>
      </c>
      <c r="AE490" t="n">
        <v>13</v>
      </c>
      <c r="AF490" t="n">
        <v>3</v>
      </c>
      <c r="AG490" t="n">
        <v>4</v>
      </c>
      <c r="AH490" t="n">
        <v>3</v>
      </c>
      <c r="AI490" t="n">
        <v>5</v>
      </c>
      <c r="AJ490" t="n">
        <v>6</v>
      </c>
      <c r="AK490" t="n">
        <v>6</v>
      </c>
      <c r="AL490" t="n">
        <v>1</v>
      </c>
      <c r="AM490" t="n">
        <v>1</v>
      </c>
      <c r="AN490" t="n">
        <v>0</v>
      </c>
      <c r="AO490" t="n">
        <v>0</v>
      </c>
      <c r="AP490" t="inlineStr">
        <is>
          <t>No</t>
        </is>
      </c>
      <c r="AQ490" t="inlineStr">
        <is>
          <t>Yes</t>
        </is>
      </c>
      <c r="AR490">
        <f>HYPERLINK("http://catalog.hathitrust.org/Record/001273894","HathiTrust Record")</f>
        <v/>
      </c>
      <c r="AS490">
        <f>HYPERLINK("https://creighton-primo.hosted.exlibrisgroup.com/primo-explore/search?tab=default_tab&amp;search_scope=EVERYTHING&amp;vid=01CRU&amp;lang=en_US&amp;offset=0&amp;query=any,contains,991000501809702656","Catalog Record")</f>
        <v/>
      </c>
      <c r="AT490">
        <f>HYPERLINK("http://www.worldcat.org/oclc/81617","WorldCat Record")</f>
        <v/>
      </c>
      <c r="AU490" t="inlineStr">
        <is>
          <t>4714381281:eng</t>
        </is>
      </c>
      <c r="AV490" t="inlineStr">
        <is>
          <t>81617</t>
        </is>
      </c>
      <c r="AW490" t="inlineStr">
        <is>
          <t>991000501809702656</t>
        </is>
      </c>
      <c r="AX490" t="inlineStr">
        <is>
          <t>991000501809702656</t>
        </is>
      </c>
      <c r="AY490" t="inlineStr">
        <is>
          <t>2272159670002656</t>
        </is>
      </c>
      <c r="AZ490" t="inlineStr">
        <is>
          <t>BOOK</t>
        </is>
      </c>
      <c r="BB490" t="inlineStr">
        <is>
          <t>9780080067865</t>
        </is>
      </c>
      <c r="BC490" t="inlineStr">
        <is>
          <t>32285001086692</t>
        </is>
      </c>
      <c r="BD490" t="inlineStr">
        <is>
          <t>893714645</t>
        </is>
      </c>
    </row>
    <row r="491">
      <c r="A491" t="inlineStr">
        <is>
          <t>No</t>
        </is>
      </c>
      <c r="B491" t="inlineStr">
        <is>
          <t>GF90 .B47 1992</t>
        </is>
      </c>
      <c r="C491" t="inlineStr">
        <is>
          <t>0                      GF 0090000B  47          1992</t>
        </is>
      </c>
      <c r="D491" t="inlineStr">
        <is>
          <t>The aesthetics of environment / Arnold Berleant.</t>
        </is>
      </c>
      <c r="F491" t="inlineStr">
        <is>
          <t>No</t>
        </is>
      </c>
      <c r="G491" t="inlineStr">
        <is>
          <t>1</t>
        </is>
      </c>
      <c r="H491" t="inlineStr">
        <is>
          <t>No</t>
        </is>
      </c>
      <c r="I491" t="inlineStr">
        <is>
          <t>No</t>
        </is>
      </c>
      <c r="J491" t="inlineStr">
        <is>
          <t>0</t>
        </is>
      </c>
      <c r="K491" t="inlineStr">
        <is>
          <t>Berleant, Arnold, 1932-</t>
        </is>
      </c>
      <c r="L491" t="inlineStr">
        <is>
          <t>Philadelphia : Temple University Press, 1992.</t>
        </is>
      </c>
      <c r="M491" t="inlineStr">
        <is>
          <t>1992</t>
        </is>
      </c>
      <c r="O491" t="inlineStr">
        <is>
          <t>eng</t>
        </is>
      </c>
      <c r="P491" t="inlineStr">
        <is>
          <t>pau</t>
        </is>
      </c>
      <c r="R491" t="inlineStr">
        <is>
          <t xml:space="preserve">GF </t>
        </is>
      </c>
      <c r="S491" t="n">
        <v>2</v>
      </c>
      <c r="T491" t="n">
        <v>2</v>
      </c>
      <c r="U491" t="inlineStr">
        <is>
          <t>1996-10-15</t>
        </is>
      </c>
      <c r="V491" t="inlineStr">
        <is>
          <t>1996-10-15</t>
        </is>
      </c>
      <c r="W491" t="inlineStr">
        <is>
          <t>1996-05-04</t>
        </is>
      </c>
      <c r="X491" t="inlineStr">
        <is>
          <t>1996-05-04</t>
        </is>
      </c>
      <c r="Y491" t="n">
        <v>392</v>
      </c>
      <c r="Z491" t="n">
        <v>289</v>
      </c>
      <c r="AA491" t="n">
        <v>494</v>
      </c>
      <c r="AB491" t="n">
        <v>3</v>
      </c>
      <c r="AC491" t="n">
        <v>3</v>
      </c>
      <c r="AD491" t="n">
        <v>18</v>
      </c>
      <c r="AE491" t="n">
        <v>26</v>
      </c>
      <c r="AF491" t="n">
        <v>6</v>
      </c>
      <c r="AG491" t="n">
        <v>11</v>
      </c>
      <c r="AH491" t="n">
        <v>5</v>
      </c>
      <c r="AI491" t="n">
        <v>7</v>
      </c>
      <c r="AJ491" t="n">
        <v>11</v>
      </c>
      <c r="AK491" t="n">
        <v>15</v>
      </c>
      <c r="AL491" t="n">
        <v>2</v>
      </c>
      <c r="AM491" t="n">
        <v>2</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HYPERLINK("https://creighton-primo.hosted.exlibrisgroup.com/primo-explore/search?tab=default_tab&amp;search_scope=EVERYTHING&amp;vid=01CRU&amp;lang=en_US&amp;offset=0&amp;query=any,contains,991002004669702656","Catalog Record")</f>
        <v/>
      </c>
      <c r="AT491">
        <f>HYPERLINK("http://www.worldcat.org/oclc/25507831","WorldCat Record")</f>
        <v/>
      </c>
      <c r="AU491" t="inlineStr">
        <is>
          <t>20886618:eng</t>
        </is>
      </c>
      <c r="AV491" t="inlineStr">
        <is>
          <t>25507831</t>
        </is>
      </c>
      <c r="AW491" t="inlineStr">
        <is>
          <t>991002004669702656</t>
        </is>
      </c>
      <c r="AX491" t="inlineStr">
        <is>
          <t>991002004669702656</t>
        </is>
      </c>
      <c r="AY491" t="inlineStr">
        <is>
          <t>2271586680002656</t>
        </is>
      </c>
      <c r="AZ491" t="inlineStr">
        <is>
          <t>BOOK</t>
        </is>
      </c>
      <c r="BB491" t="inlineStr">
        <is>
          <t>9780877229933</t>
        </is>
      </c>
      <c r="BC491" t="inlineStr">
        <is>
          <t>32285002158581</t>
        </is>
      </c>
      <c r="BD491" t="inlineStr">
        <is>
          <t>893408582</t>
        </is>
      </c>
    </row>
    <row r="492">
      <c r="A492" t="inlineStr">
        <is>
          <t>No</t>
        </is>
      </c>
      <c r="B492" t="inlineStr">
        <is>
          <t>GF91.U6 J315 1984</t>
        </is>
      </c>
      <c r="C492" t="inlineStr">
        <is>
          <t>0                      GF 0091000U  6                  J  315         1984</t>
        </is>
      </c>
      <c r="D492" t="inlineStr">
        <is>
          <t>Discovering the vernacular landscape / John Brinckerhoff Jackson.</t>
        </is>
      </c>
      <c r="F492" t="inlineStr">
        <is>
          <t>No</t>
        </is>
      </c>
      <c r="G492" t="inlineStr">
        <is>
          <t>1</t>
        </is>
      </c>
      <c r="H492" t="inlineStr">
        <is>
          <t>No</t>
        </is>
      </c>
      <c r="I492" t="inlineStr">
        <is>
          <t>No</t>
        </is>
      </c>
      <c r="J492" t="inlineStr">
        <is>
          <t>0</t>
        </is>
      </c>
      <c r="K492" t="inlineStr">
        <is>
          <t>Jackson, John Brinckerhoff, 1909-1996.</t>
        </is>
      </c>
      <c r="L492" t="inlineStr">
        <is>
          <t>New Haven : Yale University Press, c1984.</t>
        </is>
      </c>
      <c r="M492" t="inlineStr">
        <is>
          <t>1984</t>
        </is>
      </c>
      <c r="O492" t="inlineStr">
        <is>
          <t>eng</t>
        </is>
      </c>
      <c r="P492" t="inlineStr">
        <is>
          <t>ctu</t>
        </is>
      </c>
      <c r="R492" t="inlineStr">
        <is>
          <t xml:space="preserve">GF </t>
        </is>
      </c>
      <c r="S492" t="n">
        <v>2</v>
      </c>
      <c r="T492" t="n">
        <v>2</v>
      </c>
      <c r="U492" t="inlineStr">
        <is>
          <t>2004-11-08</t>
        </is>
      </c>
      <c r="V492" t="inlineStr">
        <is>
          <t>2004-11-08</t>
        </is>
      </c>
      <c r="W492" t="inlineStr">
        <is>
          <t>1990-09-14</t>
        </is>
      </c>
      <c r="X492" t="inlineStr">
        <is>
          <t>1990-09-14</t>
        </is>
      </c>
      <c r="Y492" t="n">
        <v>922</v>
      </c>
      <c r="Z492" t="n">
        <v>729</v>
      </c>
      <c r="AA492" t="n">
        <v>730</v>
      </c>
      <c r="AB492" t="n">
        <v>4</v>
      </c>
      <c r="AC492" t="n">
        <v>4</v>
      </c>
      <c r="AD492" t="n">
        <v>26</v>
      </c>
      <c r="AE492" t="n">
        <v>26</v>
      </c>
      <c r="AF492" t="n">
        <v>13</v>
      </c>
      <c r="AG492" t="n">
        <v>13</v>
      </c>
      <c r="AH492" t="n">
        <v>5</v>
      </c>
      <c r="AI492" t="n">
        <v>5</v>
      </c>
      <c r="AJ492" t="n">
        <v>11</v>
      </c>
      <c r="AK492" t="n">
        <v>11</v>
      </c>
      <c r="AL492" t="n">
        <v>3</v>
      </c>
      <c r="AM492" t="n">
        <v>3</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HYPERLINK("https://creighton-primo.hosted.exlibrisgroup.com/primo-explore/search?tab=default_tab&amp;search_scope=EVERYTHING&amp;vid=01CRU&amp;lang=en_US&amp;offset=0&amp;query=any,contains,991000316699702656","Catalog Record")</f>
        <v/>
      </c>
      <c r="AT492">
        <f>HYPERLINK("http://www.worldcat.org/oclc/10122618","WorldCat Record")</f>
        <v/>
      </c>
      <c r="AU492" t="inlineStr">
        <is>
          <t>675095622:eng</t>
        </is>
      </c>
      <c r="AV492" t="inlineStr">
        <is>
          <t>10122618</t>
        </is>
      </c>
      <c r="AW492" t="inlineStr">
        <is>
          <t>991000316699702656</t>
        </is>
      </c>
      <c r="AX492" t="inlineStr">
        <is>
          <t>991000316699702656</t>
        </is>
      </c>
      <c r="AY492" t="inlineStr">
        <is>
          <t>2267627370002656</t>
        </is>
      </c>
      <c r="AZ492" t="inlineStr">
        <is>
          <t>BOOK</t>
        </is>
      </c>
      <c r="BB492" t="inlineStr">
        <is>
          <t>9780300031386</t>
        </is>
      </c>
      <c r="BC492" t="inlineStr">
        <is>
          <t>32285000287267</t>
        </is>
      </c>
      <c r="BD492" t="inlineStr">
        <is>
          <t>893620376</t>
        </is>
      </c>
    </row>
    <row r="493">
      <c r="A493" t="inlineStr">
        <is>
          <t>No</t>
        </is>
      </c>
      <c r="B493" t="inlineStr">
        <is>
          <t>GN11 .H413</t>
        </is>
      </c>
      <c r="C493" t="inlineStr">
        <is>
          <t>0                      GN 0011000H  413</t>
        </is>
      </c>
      <c r="D493" t="inlineStr">
        <is>
          <t>Anthropology A to Z / Based on the work of Gerhard Heberer, Gottfried Kurth, and Ilse Schwidetzky-Roesing. Edited by Carleton S. Coon and Edward E. Hunt. [Translation, by Hans Gunthardt and others]</t>
        </is>
      </c>
      <c r="F493" t="inlineStr">
        <is>
          <t>No</t>
        </is>
      </c>
      <c r="G493" t="inlineStr">
        <is>
          <t>1</t>
        </is>
      </c>
      <c r="H493" t="inlineStr">
        <is>
          <t>No</t>
        </is>
      </c>
      <c r="I493" t="inlineStr">
        <is>
          <t>No</t>
        </is>
      </c>
      <c r="J493" t="inlineStr">
        <is>
          <t>0</t>
        </is>
      </c>
      <c r="K493" t="inlineStr">
        <is>
          <t>Heberer, Gerhard, 1901-1973.</t>
        </is>
      </c>
      <c r="L493" t="inlineStr">
        <is>
          <t>New York, Grosset &amp; Dunlap [1963]</t>
        </is>
      </c>
      <c r="M493" t="inlineStr">
        <is>
          <t>1963</t>
        </is>
      </c>
      <c r="O493" t="inlineStr">
        <is>
          <t>eng</t>
        </is>
      </c>
      <c r="P493" t="inlineStr">
        <is>
          <t>nyu</t>
        </is>
      </c>
      <c r="Q493" t="inlineStr">
        <is>
          <t>Universal reference library</t>
        </is>
      </c>
      <c r="R493" t="inlineStr">
        <is>
          <t xml:space="preserve">GN </t>
        </is>
      </c>
      <c r="S493" t="n">
        <v>6</v>
      </c>
      <c r="T493" t="n">
        <v>6</v>
      </c>
      <c r="U493" t="inlineStr">
        <is>
          <t>1998-04-21</t>
        </is>
      </c>
      <c r="V493" t="inlineStr">
        <is>
          <t>1998-04-21</t>
        </is>
      </c>
      <c r="W493" t="inlineStr">
        <is>
          <t>1995-11-28</t>
        </is>
      </c>
      <c r="X493" t="inlineStr">
        <is>
          <t>1995-11-28</t>
        </is>
      </c>
      <c r="Y493" t="n">
        <v>349</v>
      </c>
      <c r="Z493" t="n">
        <v>317</v>
      </c>
      <c r="AA493" t="n">
        <v>321</v>
      </c>
      <c r="AB493" t="n">
        <v>2</v>
      </c>
      <c r="AC493" t="n">
        <v>2</v>
      </c>
      <c r="AD493" t="n">
        <v>13</v>
      </c>
      <c r="AE493" t="n">
        <v>13</v>
      </c>
      <c r="AF493" t="n">
        <v>4</v>
      </c>
      <c r="AG493" t="n">
        <v>4</v>
      </c>
      <c r="AH493" t="n">
        <v>2</v>
      </c>
      <c r="AI493" t="n">
        <v>2</v>
      </c>
      <c r="AJ493" t="n">
        <v>9</v>
      </c>
      <c r="AK493" t="n">
        <v>9</v>
      </c>
      <c r="AL493" t="n">
        <v>1</v>
      </c>
      <c r="AM493" t="n">
        <v>1</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HYPERLINK("https://creighton-primo.hosted.exlibrisgroup.com/primo-explore/search?tab=default_tab&amp;search_scope=EVERYTHING&amp;vid=01CRU&amp;lang=en_US&amp;offset=0&amp;query=any,contains,991002883969702656","Catalog Record")</f>
        <v/>
      </c>
      <c r="AT493">
        <f>HYPERLINK("http://www.worldcat.org/oclc/507294","WorldCat Record")</f>
        <v/>
      </c>
      <c r="AU493" t="inlineStr">
        <is>
          <t>3768769946:eng</t>
        </is>
      </c>
      <c r="AV493" t="inlineStr">
        <is>
          <t>507294</t>
        </is>
      </c>
      <c r="AW493" t="inlineStr">
        <is>
          <t>991002883969702656</t>
        </is>
      </c>
      <c r="AX493" t="inlineStr">
        <is>
          <t>991002883969702656</t>
        </is>
      </c>
      <c r="AY493" t="inlineStr">
        <is>
          <t>2260807470002656</t>
        </is>
      </c>
      <c r="AZ493" t="inlineStr">
        <is>
          <t>BOOK</t>
        </is>
      </c>
      <c r="BC493" t="inlineStr">
        <is>
          <t>32285002120086</t>
        </is>
      </c>
      <c r="BD493" t="inlineStr">
        <is>
          <t>893415760</t>
        </is>
      </c>
    </row>
    <row r="494">
      <c r="A494" t="inlineStr">
        <is>
          <t>No</t>
        </is>
      </c>
      <c r="B494" t="inlineStr">
        <is>
          <t>GN11.H65 H3</t>
        </is>
      </c>
      <c r="C494" t="inlineStr">
        <is>
          <t>0                      GN 0011000H  65                 H  3</t>
        </is>
      </c>
      <c r="D494" t="inlineStr">
        <is>
          <t>Handbook of social and cultural anthropology. Edited by John J. Honigmann. Contributors: Alexander Alland, Jr. [and others]</t>
        </is>
      </c>
      <c r="F494" t="inlineStr">
        <is>
          <t>No</t>
        </is>
      </c>
      <c r="G494" t="inlineStr">
        <is>
          <t>1</t>
        </is>
      </c>
      <c r="H494" t="inlineStr">
        <is>
          <t>No</t>
        </is>
      </c>
      <c r="I494" t="inlineStr">
        <is>
          <t>No</t>
        </is>
      </c>
      <c r="J494" t="inlineStr">
        <is>
          <t>0</t>
        </is>
      </c>
      <c r="K494" t="inlineStr">
        <is>
          <t>Honigmann, John J. (John Joseph)</t>
        </is>
      </c>
      <c r="L494" t="inlineStr">
        <is>
          <t>Chicago, Rand McNally Co. [c1973]</t>
        </is>
      </c>
      <c r="M494" t="inlineStr">
        <is>
          <t>1973</t>
        </is>
      </c>
      <c r="O494" t="inlineStr">
        <is>
          <t>eng</t>
        </is>
      </c>
      <c r="P494" t="inlineStr">
        <is>
          <t>ilu</t>
        </is>
      </c>
      <c r="Q494" t="inlineStr">
        <is>
          <t>Rand McNally anthropology series</t>
        </is>
      </c>
      <c r="R494" t="inlineStr">
        <is>
          <t xml:space="preserve">GN </t>
        </is>
      </c>
      <c r="S494" t="n">
        <v>2</v>
      </c>
      <c r="T494" t="n">
        <v>2</v>
      </c>
      <c r="U494" t="inlineStr">
        <is>
          <t>2007-04-10</t>
        </is>
      </c>
      <c r="V494" t="inlineStr">
        <is>
          <t>2007-04-10</t>
        </is>
      </c>
      <c r="W494" t="inlineStr">
        <is>
          <t>1998-03-05</t>
        </is>
      </c>
      <c r="X494" t="inlineStr">
        <is>
          <t>1998-03-05</t>
        </is>
      </c>
      <c r="Y494" t="n">
        <v>708</v>
      </c>
      <c r="Z494" t="n">
        <v>528</v>
      </c>
      <c r="AA494" t="n">
        <v>539</v>
      </c>
      <c r="AB494" t="n">
        <v>4</v>
      </c>
      <c r="AC494" t="n">
        <v>4</v>
      </c>
      <c r="AD494" t="n">
        <v>23</v>
      </c>
      <c r="AE494" t="n">
        <v>24</v>
      </c>
      <c r="AF494" t="n">
        <v>9</v>
      </c>
      <c r="AG494" t="n">
        <v>10</v>
      </c>
      <c r="AH494" t="n">
        <v>6</v>
      </c>
      <c r="AI494" t="n">
        <v>6</v>
      </c>
      <c r="AJ494" t="n">
        <v>12</v>
      </c>
      <c r="AK494" t="n">
        <v>13</v>
      </c>
      <c r="AL494" t="n">
        <v>2</v>
      </c>
      <c r="AM494" t="n">
        <v>2</v>
      </c>
      <c r="AN494" t="n">
        <v>0</v>
      </c>
      <c r="AO494" t="n">
        <v>0</v>
      </c>
      <c r="AP494" t="inlineStr">
        <is>
          <t>No</t>
        </is>
      </c>
      <c r="AQ494" t="inlineStr">
        <is>
          <t>Yes</t>
        </is>
      </c>
      <c r="AR494">
        <f>HYPERLINK("http://catalog.hathitrust.org/Record/001286608","HathiTrust Record")</f>
        <v/>
      </c>
      <c r="AS494">
        <f>HYPERLINK("https://creighton-primo.hosted.exlibrisgroup.com/primo-explore/search?tab=default_tab&amp;search_scope=EVERYTHING&amp;vid=01CRU&amp;lang=en_US&amp;offset=0&amp;query=any,contains,991003354149702656","Catalog Record")</f>
        <v/>
      </c>
      <c r="AT494">
        <f>HYPERLINK("http://www.worldcat.org/oclc/887254","WorldCat Record")</f>
        <v/>
      </c>
      <c r="AU494" t="inlineStr">
        <is>
          <t>353885811:eng</t>
        </is>
      </c>
      <c r="AV494" t="inlineStr">
        <is>
          <t>887254</t>
        </is>
      </c>
      <c r="AW494" t="inlineStr">
        <is>
          <t>991003354149702656</t>
        </is>
      </c>
      <c r="AX494" t="inlineStr">
        <is>
          <t>991003354149702656</t>
        </is>
      </c>
      <c r="AY494" t="inlineStr">
        <is>
          <t>2257873030002656</t>
        </is>
      </c>
      <c r="AZ494" t="inlineStr">
        <is>
          <t>BOOK</t>
        </is>
      </c>
      <c r="BB494" t="inlineStr">
        <is>
          <t>9780528699962</t>
        </is>
      </c>
      <c r="BC494" t="inlineStr">
        <is>
          <t>32285003346219</t>
        </is>
      </c>
      <c r="BD494" t="inlineStr">
        <is>
          <t>893780933</t>
        </is>
      </c>
    </row>
    <row r="495">
      <c r="A495" t="inlineStr">
        <is>
          <t>No</t>
        </is>
      </c>
      <c r="B495" t="inlineStr">
        <is>
          <t>GN13.5 .C37 2003</t>
        </is>
      </c>
      <c r="C495" t="inlineStr">
        <is>
          <t>0                      GN 0013500C  37          2003</t>
        </is>
      </c>
      <c r="D495" t="inlineStr">
        <is>
          <t>Researching anthropology on the internet / David L. Carlson.</t>
        </is>
      </c>
      <c r="F495" t="inlineStr">
        <is>
          <t>No</t>
        </is>
      </c>
      <c r="G495" t="inlineStr">
        <is>
          <t>1</t>
        </is>
      </c>
      <c r="H495" t="inlineStr">
        <is>
          <t>No</t>
        </is>
      </c>
      <c r="I495" t="inlineStr">
        <is>
          <t>No</t>
        </is>
      </c>
      <c r="J495" t="inlineStr">
        <is>
          <t>0</t>
        </is>
      </c>
      <c r="K495" t="inlineStr">
        <is>
          <t>Carlson, David Lee, 1952-</t>
        </is>
      </c>
      <c r="L495" t="inlineStr">
        <is>
          <t>[Canada] : Thomson-Wadsworth, c2003.</t>
        </is>
      </c>
      <c r="M495" t="inlineStr">
        <is>
          <t>2003</t>
        </is>
      </c>
      <c r="N495" t="inlineStr">
        <is>
          <t>2nd ed.</t>
        </is>
      </c>
      <c r="O495" t="inlineStr">
        <is>
          <t>eng</t>
        </is>
      </c>
      <c r="P495" t="inlineStr">
        <is>
          <t>xxc</t>
        </is>
      </c>
      <c r="R495" t="inlineStr">
        <is>
          <t xml:space="preserve">GN </t>
        </is>
      </c>
      <c r="S495" t="n">
        <v>2</v>
      </c>
      <c r="T495" t="n">
        <v>2</v>
      </c>
      <c r="U495" t="inlineStr">
        <is>
          <t>2005-04-18</t>
        </is>
      </c>
      <c r="V495" t="inlineStr">
        <is>
          <t>2005-04-18</t>
        </is>
      </c>
      <c r="W495" t="inlineStr">
        <is>
          <t>2005-04-18</t>
        </is>
      </c>
      <c r="X495" t="inlineStr">
        <is>
          <t>2005-04-18</t>
        </is>
      </c>
      <c r="Y495" t="n">
        <v>61</v>
      </c>
      <c r="Z495" t="n">
        <v>51</v>
      </c>
      <c r="AA495" t="n">
        <v>53</v>
      </c>
      <c r="AB495" t="n">
        <v>1</v>
      </c>
      <c r="AC495" t="n">
        <v>1</v>
      </c>
      <c r="AD495" t="n">
        <v>0</v>
      </c>
      <c r="AE495" t="n">
        <v>1</v>
      </c>
      <c r="AF495" t="n">
        <v>0</v>
      </c>
      <c r="AG495" t="n">
        <v>1</v>
      </c>
      <c r="AH495" t="n">
        <v>0</v>
      </c>
      <c r="AI495" t="n">
        <v>0</v>
      </c>
      <c r="AJ495" t="n">
        <v>0</v>
      </c>
      <c r="AK495" t="n">
        <v>0</v>
      </c>
      <c r="AL495" t="n">
        <v>0</v>
      </c>
      <c r="AM495" t="n">
        <v>0</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HYPERLINK("https://creighton-primo.hosted.exlibrisgroup.com/primo-explore/search?tab=default_tab&amp;search_scope=EVERYTHING&amp;vid=01CRU&amp;lang=en_US&amp;offset=0&amp;query=any,contains,991004482059702656","Catalog Record")</f>
        <v/>
      </c>
      <c r="AT495">
        <f>HYPERLINK("http://www.worldcat.org/oclc/50507143","WorldCat Record")</f>
        <v/>
      </c>
      <c r="AU495" t="inlineStr">
        <is>
          <t>2665767:eng</t>
        </is>
      </c>
      <c r="AV495" t="inlineStr">
        <is>
          <t>50507143</t>
        </is>
      </c>
      <c r="AW495" t="inlineStr">
        <is>
          <t>991004482059702656</t>
        </is>
      </c>
      <c r="AX495" t="inlineStr">
        <is>
          <t>991004482059702656</t>
        </is>
      </c>
      <c r="AY495" t="inlineStr">
        <is>
          <t>2265808450002656</t>
        </is>
      </c>
      <c r="AZ495" t="inlineStr">
        <is>
          <t>BOOK</t>
        </is>
      </c>
      <c r="BB495" t="inlineStr">
        <is>
          <t>9780534567934</t>
        </is>
      </c>
      <c r="BC495" t="inlineStr">
        <is>
          <t>32285005031629</t>
        </is>
      </c>
      <c r="BD495" t="inlineStr">
        <is>
          <t>893700301</t>
        </is>
      </c>
    </row>
    <row r="496">
      <c r="A496" t="inlineStr">
        <is>
          <t>No</t>
        </is>
      </c>
      <c r="B496" t="inlineStr">
        <is>
          <t>GN17 .S75</t>
        </is>
      </c>
      <c r="C496" t="inlineStr">
        <is>
          <t>0                      GN 0017000S  75</t>
        </is>
      </c>
      <c r="D496" t="inlineStr">
        <is>
          <t>The leopard's spots: scientific attitudes toward race in America, 1815-59.</t>
        </is>
      </c>
      <c r="F496" t="inlineStr">
        <is>
          <t>No</t>
        </is>
      </c>
      <c r="G496" t="inlineStr">
        <is>
          <t>1</t>
        </is>
      </c>
      <c r="H496" t="inlineStr">
        <is>
          <t>No</t>
        </is>
      </c>
      <c r="I496" t="inlineStr">
        <is>
          <t>No</t>
        </is>
      </c>
      <c r="J496" t="inlineStr">
        <is>
          <t>0</t>
        </is>
      </c>
      <c r="K496" t="inlineStr">
        <is>
          <t>Stanton, William Ragan, 1925-2007.</t>
        </is>
      </c>
      <c r="L496" t="inlineStr">
        <is>
          <t>[Chicago] University of Chicago Press [1960]</t>
        </is>
      </c>
      <c r="M496" t="inlineStr">
        <is>
          <t>1960</t>
        </is>
      </c>
      <c r="O496" t="inlineStr">
        <is>
          <t>eng</t>
        </is>
      </c>
      <c r="P496" t="inlineStr">
        <is>
          <t>ilu</t>
        </is>
      </c>
      <c r="R496" t="inlineStr">
        <is>
          <t xml:space="preserve">GN </t>
        </is>
      </c>
      <c r="S496" t="n">
        <v>1</v>
      </c>
      <c r="T496" t="n">
        <v>1</v>
      </c>
      <c r="U496" t="inlineStr">
        <is>
          <t>2006-12-04</t>
        </is>
      </c>
      <c r="V496" t="inlineStr">
        <is>
          <t>2006-12-04</t>
        </is>
      </c>
      <c r="W496" t="inlineStr">
        <is>
          <t>1997-05-27</t>
        </is>
      </c>
      <c r="X496" t="inlineStr">
        <is>
          <t>1997-05-27</t>
        </is>
      </c>
      <c r="Y496" t="n">
        <v>1084</v>
      </c>
      <c r="Z496" t="n">
        <v>972</v>
      </c>
      <c r="AA496" t="n">
        <v>1044</v>
      </c>
      <c r="AB496" t="n">
        <v>4</v>
      </c>
      <c r="AC496" t="n">
        <v>5</v>
      </c>
      <c r="AD496" t="n">
        <v>36</v>
      </c>
      <c r="AE496" t="n">
        <v>40</v>
      </c>
      <c r="AF496" t="n">
        <v>16</v>
      </c>
      <c r="AG496" t="n">
        <v>18</v>
      </c>
      <c r="AH496" t="n">
        <v>8</v>
      </c>
      <c r="AI496" t="n">
        <v>8</v>
      </c>
      <c r="AJ496" t="n">
        <v>18</v>
      </c>
      <c r="AK496" t="n">
        <v>21</v>
      </c>
      <c r="AL496" t="n">
        <v>3</v>
      </c>
      <c r="AM496" t="n">
        <v>4</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HYPERLINK("https://creighton-primo.hosted.exlibrisgroup.com/primo-explore/search?tab=default_tab&amp;search_scope=EVERYTHING&amp;vid=01CRU&amp;lang=en_US&amp;offset=0&amp;query=any,contains,991002101439702656","Catalog Record")</f>
        <v/>
      </c>
      <c r="AT496">
        <f>HYPERLINK("http://www.worldcat.org/oclc/266251","WorldCat Record")</f>
        <v/>
      </c>
      <c r="AU496" t="inlineStr">
        <is>
          <t>479941975:eng</t>
        </is>
      </c>
      <c r="AV496" t="inlineStr">
        <is>
          <t>266251</t>
        </is>
      </c>
      <c r="AW496" t="inlineStr">
        <is>
          <t>991002101439702656</t>
        </is>
      </c>
      <c r="AX496" t="inlineStr">
        <is>
          <t>991002101439702656</t>
        </is>
      </c>
      <c r="AY496" t="inlineStr">
        <is>
          <t>2269543080002656</t>
        </is>
      </c>
      <c r="AZ496" t="inlineStr">
        <is>
          <t>BOOK</t>
        </is>
      </c>
      <c r="BC496" t="inlineStr">
        <is>
          <t>32285002694379</t>
        </is>
      </c>
      <c r="BD496" t="inlineStr">
        <is>
          <t>893615699</t>
        </is>
      </c>
    </row>
    <row r="497">
      <c r="A497" t="inlineStr">
        <is>
          <t>No</t>
        </is>
      </c>
      <c r="B497" t="inlineStr">
        <is>
          <t>GN17 .T69 2004</t>
        </is>
      </c>
      <c r="C497" t="inlineStr">
        <is>
          <t>0                      GN 0017000T  69          2004</t>
        </is>
      </c>
      <c r="D497" t="inlineStr">
        <is>
          <t>Totems and teachers : key figures in the history of anthropology / edited by Sydel Silverman.</t>
        </is>
      </c>
      <c r="F497" t="inlineStr">
        <is>
          <t>No</t>
        </is>
      </c>
      <c r="G497" t="inlineStr">
        <is>
          <t>1</t>
        </is>
      </c>
      <c r="H497" t="inlineStr">
        <is>
          <t>No</t>
        </is>
      </c>
      <c r="I497" t="inlineStr">
        <is>
          <t>No</t>
        </is>
      </c>
      <c r="J497" t="inlineStr">
        <is>
          <t>0</t>
        </is>
      </c>
      <c r="L497" t="inlineStr">
        <is>
          <t>Walnut Creek, CA : AltaMira Press, c2004.</t>
        </is>
      </c>
      <c r="M497" t="inlineStr">
        <is>
          <t>2004</t>
        </is>
      </c>
      <c r="N497" t="inlineStr">
        <is>
          <t>2nd ed.</t>
        </is>
      </c>
      <c r="O497" t="inlineStr">
        <is>
          <t>eng</t>
        </is>
      </c>
      <c r="P497" t="inlineStr">
        <is>
          <t>cau</t>
        </is>
      </c>
      <c r="R497" t="inlineStr">
        <is>
          <t xml:space="preserve">GN </t>
        </is>
      </c>
      <c r="S497" t="n">
        <v>1</v>
      </c>
      <c r="T497" t="n">
        <v>1</v>
      </c>
      <c r="U497" t="inlineStr">
        <is>
          <t>2009-06-22</t>
        </is>
      </c>
      <c r="V497" t="inlineStr">
        <is>
          <t>2009-06-22</t>
        </is>
      </c>
      <c r="W497" t="inlineStr">
        <is>
          <t>2009-06-22</t>
        </is>
      </c>
      <c r="X497" t="inlineStr">
        <is>
          <t>2009-06-22</t>
        </is>
      </c>
      <c r="Y497" t="n">
        <v>277</v>
      </c>
      <c r="Z497" t="n">
        <v>221</v>
      </c>
      <c r="AA497" t="n">
        <v>238</v>
      </c>
      <c r="AB497" t="n">
        <v>2</v>
      </c>
      <c r="AC497" t="n">
        <v>2</v>
      </c>
      <c r="AD497" t="n">
        <v>11</v>
      </c>
      <c r="AE497" t="n">
        <v>13</v>
      </c>
      <c r="AF497" t="n">
        <v>3</v>
      </c>
      <c r="AG497" t="n">
        <v>3</v>
      </c>
      <c r="AH497" t="n">
        <v>2</v>
      </c>
      <c r="AI497" t="n">
        <v>3</v>
      </c>
      <c r="AJ497" t="n">
        <v>8</v>
      </c>
      <c r="AK497" t="n">
        <v>8</v>
      </c>
      <c r="AL497" t="n">
        <v>1</v>
      </c>
      <c r="AM497" t="n">
        <v>1</v>
      </c>
      <c r="AN497" t="n">
        <v>0</v>
      </c>
      <c r="AO497" t="n">
        <v>1</v>
      </c>
      <c r="AP497" t="inlineStr">
        <is>
          <t>No</t>
        </is>
      </c>
      <c r="AQ497" t="inlineStr">
        <is>
          <t>No</t>
        </is>
      </c>
      <c r="AS497">
        <f>HYPERLINK("https://creighton-primo.hosted.exlibrisgroup.com/primo-explore/search?tab=default_tab&amp;search_scope=EVERYTHING&amp;vid=01CRU&amp;lang=en_US&amp;offset=0&amp;query=any,contains,991005323249702656","Catalog Record")</f>
        <v/>
      </c>
      <c r="AT497">
        <f>HYPERLINK("http://www.worldcat.org/oclc/52373442","WorldCat Record")</f>
        <v/>
      </c>
      <c r="AU497" t="inlineStr">
        <is>
          <t>891329312:eng</t>
        </is>
      </c>
      <c r="AV497" t="inlineStr">
        <is>
          <t>52373442</t>
        </is>
      </c>
      <c r="AW497" t="inlineStr">
        <is>
          <t>991005323249702656</t>
        </is>
      </c>
      <c r="AX497" t="inlineStr">
        <is>
          <t>991005323249702656</t>
        </is>
      </c>
      <c r="AY497" t="inlineStr">
        <is>
          <t>2269243160002656</t>
        </is>
      </c>
      <c r="AZ497" t="inlineStr">
        <is>
          <t>BOOK</t>
        </is>
      </c>
      <c r="BB497" t="inlineStr">
        <is>
          <t>9780759104594</t>
        </is>
      </c>
      <c r="BC497" t="inlineStr">
        <is>
          <t>32285005536163</t>
        </is>
      </c>
      <c r="BD497" t="inlineStr">
        <is>
          <t>893795977</t>
        </is>
      </c>
    </row>
    <row r="498">
      <c r="A498" t="inlineStr">
        <is>
          <t>No</t>
        </is>
      </c>
      <c r="B498" t="inlineStr">
        <is>
          <t>GN17.3.A8 G73 2007</t>
        </is>
      </c>
      <c r="C498" t="inlineStr">
        <is>
          <t>0                      GN 0017300A  8                  G  73          2007</t>
        </is>
      </c>
      <c r="D498" t="inlineStr">
        <is>
          <t>A cautious silence : the politics of Australian anthropology / Geoffrey Gray.</t>
        </is>
      </c>
      <c r="F498" t="inlineStr">
        <is>
          <t>No</t>
        </is>
      </c>
      <c r="G498" t="inlineStr">
        <is>
          <t>1</t>
        </is>
      </c>
      <c r="H498" t="inlineStr">
        <is>
          <t>No</t>
        </is>
      </c>
      <c r="I498" t="inlineStr">
        <is>
          <t>No</t>
        </is>
      </c>
      <c r="J498" t="inlineStr">
        <is>
          <t>0</t>
        </is>
      </c>
      <c r="K498" t="inlineStr">
        <is>
          <t>Gray, Geoffrey (Geoffrey G.)</t>
        </is>
      </c>
      <c r="L498" t="inlineStr">
        <is>
          <t>Canberra, ACT : Aboriginal Studies Press, 2007.</t>
        </is>
      </c>
      <c r="M498" t="inlineStr">
        <is>
          <t>2007</t>
        </is>
      </c>
      <c r="O498" t="inlineStr">
        <is>
          <t>eng</t>
        </is>
      </c>
      <c r="P498" t="inlineStr">
        <is>
          <t>aca</t>
        </is>
      </c>
      <c r="R498" t="inlineStr">
        <is>
          <t xml:space="preserve">GN </t>
        </is>
      </c>
      <c r="S498" t="n">
        <v>1</v>
      </c>
      <c r="T498" t="n">
        <v>1</v>
      </c>
      <c r="U498" t="inlineStr">
        <is>
          <t>2008-10-28</t>
        </is>
      </c>
      <c r="V498" t="inlineStr">
        <is>
          <t>2008-10-28</t>
        </is>
      </c>
      <c r="W498" t="inlineStr">
        <is>
          <t>2008-10-28</t>
        </is>
      </c>
      <c r="X498" t="inlineStr">
        <is>
          <t>2008-10-28</t>
        </is>
      </c>
      <c r="Y498" t="n">
        <v>176</v>
      </c>
      <c r="Z498" t="n">
        <v>70</v>
      </c>
      <c r="AA498" t="n">
        <v>72</v>
      </c>
      <c r="AB498" t="n">
        <v>1</v>
      </c>
      <c r="AC498" t="n">
        <v>1</v>
      </c>
      <c r="AD498" t="n">
        <v>2</v>
      </c>
      <c r="AE498" t="n">
        <v>2</v>
      </c>
      <c r="AF498" t="n">
        <v>0</v>
      </c>
      <c r="AG498" t="n">
        <v>0</v>
      </c>
      <c r="AH498" t="n">
        <v>1</v>
      </c>
      <c r="AI498" t="n">
        <v>1</v>
      </c>
      <c r="AJ498" t="n">
        <v>2</v>
      </c>
      <c r="AK498" t="n">
        <v>2</v>
      </c>
      <c r="AL498" t="n">
        <v>0</v>
      </c>
      <c r="AM498" t="n">
        <v>0</v>
      </c>
      <c r="AN498" t="n">
        <v>0</v>
      </c>
      <c r="AO498" t="n">
        <v>0</v>
      </c>
      <c r="AP498" t="inlineStr">
        <is>
          <t>No</t>
        </is>
      </c>
      <c r="AQ498" t="inlineStr">
        <is>
          <t>Yes</t>
        </is>
      </c>
      <c r="AR498">
        <f>HYPERLINK("http://catalog.hathitrust.org/Record/005593440","HathiTrust Record")</f>
        <v/>
      </c>
      <c r="AS498">
        <f>HYPERLINK("https://creighton-primo.hosted.exlibrisgroup.com/primo-explore/search?tab=default_tab&amp;search_scope=EVERYTHING&amp;vid=01CRU&amp;lang=en_US&amp;offset=0&amp;query=any,contains,991005269249702656","Catalog Record")</f>
        <v/>
      </c>
      <c r="AT498">
        <f>HYPERLINK("http://www.worldcat.org/oclc/166359229","WorldCat Record")</f>
        <v/>
      </c>
      <c r="AU498" t="inlineStr">
        <is>
          <t>141123306:eng</t>
        </is>
      </c>
      <c r="AV498" t="inlineStr">
        <is>
          <t>166359229</t>
        </is>
      </c>
      <c r="AW498" t="inlineStr">
        <is>
          <t>991005269249702656</t>
        </is>
      </c>
      <c r="AX498" t="inlineStr">
        <is>
          <t>991005269249702656</t>
        </is>
      </c>
      <c r="AY498" t="inlineStr">
        <is>
          <t>2258324230002656</t>
        </is>
      </c>
      <c r="AZ498" t="inlineStr">
        <is>
          <t>BOOK</t>
        </is>
      </c>
      <c r="BB498" t="inlineStr">
        <is>
          <t>9780855755515</t>
        </is>
      </c>
      <c r="BC498" t="inlineStr">
        <is>
          <t>32285005464697</t>
        </is>
      </c>
      <c r="BD498" t="inlineStr">
        <is>
          <t>893789719</t>
        </is>
      </c>
    </row>
    <row r="499">
      <c r="A499" t="inlineStr">
        <is>
          <t>No</t>
        </is>
      </c>
      <c r="B499" t="inlineStr">
        <is>
          <t>GN17.3.C6 G85 1994</t>
        </is>
      </c>
      <c r="C499" t="inlineStr">
        <is>
          <t>0                      GN 0017300C  6                  G  85          1994</t>
        </is>
      </c>
      <c r="D499" t="inlineStr">
        <is>
          <t>The saga of anthropology in China : from Malinowski to Moscow to Mao / Gregory Eliyu Guldin.</t>
        </is>
      </c>
      <c r="F499" t="inlineStr">
        <is>
          <t>No</t>
        </is>
      </c>
      <c r="G499" t="inlineStr">
        <is>
          <t>1</t>
        </is>
      </c>
      <c r="H499" t="inlineStr">
        <is>
          <t>No</t>
        </is>
      </c>
      <c r="I499" t="inlineStr">
        <is>
          <t>No</t>
        </is>
      </c>
      <c r="J499" t="inlineStr">
        <is>
          <t>0</t>
        </is>
      </c>
      <c r="K499" t="inlineStr">
        <is>
          <t>Guldin, Gregory Eliyu.</t>
        </is>
      </c>
      <c r="L499" t="inlineStr">
        <is>
          <t>Armonk, N.Y. : M.E. Sharpe, c1994.</t>
        </is>
      </c>
      <c r="M499" t="inlineStr">
        <is>
          <t>1994</t>
        </is>
      </c>
      <c r="O499" t="inlineStr">
        <is>
          <t>eng</t>
        </is>
      </c>
      <c r="P499" t="inlineStr">
        <is>
          <t>nyu</t>
        </is>
      </c>
      <c r="Q499" t="inlineStr">
        <is>
          <t>Studies on modern China</t>
        </is>
      </c>
      <c r="R499" t="inlineStr">
        <is>
          <t xml:space="preserve">GN </t>
        </is>
      </c>
      <c r="S499" t="n">
        <v>1</v>
      </c>
      <c r="T499" t="n">
        <v>1</v>
      </c>
      <c r="U499" t="inlineStr">
        <is>
          <t>2004-09-15</t>
        </is>
      </c>
      <c r="V499" t="inlineStr">
        <is>
          <t>2004-09-15</t>
        </is>
      </c>
      <c r="W499" t="inlineStr">
        <is>
          <t>2004-09-15</t>
        </is>
      </c>
      <c r="X499" t="inlineStr">
        <is>
          <t>2004-09-15</t>
        </is>
      </c>
      <c r="Y499" t="n">
        <v>306</v>
      </c>
      <c r="Z499" t="n">
        <v>215</v>
      </c>
      <c r="AA499" t="n">
        <v>236</v>
      </c>
      <c r="AB499" t="n">
        <v>2</v>
      </c>
      <c r="AC499" t="n">
        <v>2</v>
      </c>
      <c r="AD499" t="n">
        <v>7</v>
      </c>
      <c r="AE499" t="n">
        <v>7</v>
      </c>
      <c r="AF499" t="n">
        <v>0</v>
      </c>
      <c r="AG499" t="n">
        <v>0</v>
      </c>
      <c r="AH499" t="n">
        <v>3</v>
      </c>
      <c r="AI499" t="n">
        <v>3</v>
      </c>
      <c r="AJ499" t="n">
        <v>4</v>
      </c>
      <c r="AK499" t="n">
        <v>4</v>
      </c>
      <c r="AL499" t="n">
        <v>1</v>
      </c>
      <c r="AM499" t="n">
        <v>1</v>
      </c>
      <c r="AN499" t="n">
        <v>0</v>
      </c>
      <c r="AO499" t="n">
        <v>0</v>
      </c>
      <c r="AP499" t="inlineStr">
        <is>
          <t>No</t>
        </is>
      </c>
      <c r="AQ499" t="inlineStr">
        <is>
          <t>Yes</t>
        </is>
      </c>
      <c r="AR499">
        <f>HYPERLINK("http://catalog.hathitrust.org/Record/002870814","HathiTrust Record")</f>
        <v/>
      </c>
      <c r="AS499">
        <f>HYPERLINK("https://creighton-primo.hosted.exlibrisgroup.com/primo-explore/search?tab=default_tab&amp;search_scope=EVERYTHING&amp;vid=01CRU&amp;lang=en_US&amp;offset=0&amp;query=any,contains,991004365039702656","Catalog Record")</f>
        <v/>
      </c>
      <c r="AT499">
        <f>HYPERLINK("http://www.worldcat.org/oclc/26721582","WorldCat Record")</f>
        <v/>
      </c>
      <c r="AU499" t="inlineStr">
        <is>
          <t>21055261:eng</t>
        </is>
      </c>
      <c r="AV499" t="inlineStr">
        <is>
          <t>26721582</t>
        </is>
      </c>
      <c r="AW499" t="inlineStr">
        <is>
          <t>991004365039702656</t>
        </is>
      </c>
      <c r="AX499" t="inlineStr">
        <is>
          <t>991004365039702656</t>
        </is>
      </c>
      <c r="AY499" t="inlineStr">
        <is>
          <t>2272334650002656</t>
        </is>
      </c>
      <c r="AZ499" t="inlineStr">
        <is>
          <t>BOOK</t>
        </is>
      </c>
      <c r="BB499" t="inlineStr">
        <is>
          <t>9781563241857</t>
        </is>
      </c>
      <c r="BC499" t="inlineStr">
        <is>
          <t>32285004987714</t>
        </is>
      </c>
      <c r="BD499" t="inlineStr">
        <is>
          <t>893319120</t>
        </is>
      </c>
    </row>
    <row r="500">
      <c r="A500" t="inlineStr">
        <is>
          <t>No</t>
        </is>
      </c>
      <c r="B500" t="inlineStr">
        <is>
          <t>GN192 .G2 1965</t>
        </is>
      </c>
      <c r="C500" t="inlineStr">
        <is>
          <t>0                      GN 0192000G  2           1965</t>
        </is>
      </c>
      <c r="D500" t="inlineStr">
        <is>
          <t>Finger prints / by Francis Galton, with a new introd. to the Da Capo ed. by Harold Cummins.</t>
        </is>
      </c>
      <c r="F500" t="inlineStr">
        <is>
          <t>No</t>
        </is>
      </c>
      <c r="G500" t="inlineStr">
        <is>
          <t>1</t>
        </is>
      </c>
      <c r="H500" t="inlineStr">
        <is>
          <t>No</t>
        </is>
      </c>
      <c r="I500" t="inlineStr">
        <is>
          <t>Yes</t>
        </is>
      </c>
      <c r="J500" t="inlineStr">
        <is>
          <t>0</t>
        </is>
      </c>
      <c r="K500" t="inlineStr">
        <is>
          <t>Galton, Francis, 1822-1911.</t>
        </is>
      </c>
      <c r="L500" t="inlineStr">
        <is>
          <t>New York : Da Capo Press, c1965.</t>
        </is>
      </c>
      <c r="M500" t="inlineStr">
        <is>
          <t>1965</t>
        </is>
      </c>
      <c r="N500" t="inlineStr">
        <is>
          <t>[Reprint ed.]</t>
        </is>
      </c>
      <c r="O500" t="inlineStr">
        <is>
          <t>eng</t>
        </is>
      </c>
      <c r="P500" t="inlineStr">
        <is>
          <t xml:space="preserve">xx </t>
        </is>
      </c>
      <c r="R500" t="inlineStr">
        <is>
          <t xml:space="preserve">GN </t>
        </is>
      </c>
      <c r="S500" t="n">
        <v>6</v>
      </c>
      <c r="T500" t="n">
        <v>6</v>
      </c>
      <c r="U500" t="inlineStr">
        <is>
          <t>2009-10-05</t>
        </is>
      </c>
      <c r="V500" t="inlineStr">
        <is>
          <t>2009-10-05</t>
        </is>
      </c>
      <c r="W500" t="inlineStr">
        <is>
          <t>1997-05-28</t>
        </is>
      </c>
      <c r="X500" t="inlineStr">
        <is>
          <t>1997-05-28</t>
        </is>
      </c>
      <c r="Y500" t="n">
        <v>233</v>
      </c>
      <c r="Z500" t="n">
        <v>208</v>
      </c>
      <c r="AA500" t="n">
        <v>737</v>
      </c>
      <c r="AB500" t="n">
        <v>2</v>
      </c>
      <c r="AC500" t="n">
        <v>6</v>
      </c>
      <c r="AD500" t="n">
        <v>9</v>
      </c>
      <c r="AE500" t="n">
        <v>40</v>
      </c>
      <c r="AF500" t="n">
        <v>3</v>
      </c>
      <c r="AG500" t="n">
        <v>6</v>
      </c>
      <c r="AH500" t="n">
        <v>2</v>
      </c>
      <c r="AI500" t="n">
        <v>6</v>
      </c>
      <c r="AJ500" t="n">
        <v>3</v>
      </c>
      <c r="AK500" t="n">
        <v>9</v>
      </c>
      <c r="AL500" t="n">
        <v>1</v>
      </c>
      <c r="AM500" t="n">
        <v>3</v>
      </c>
      <c r="AN500" t="n">
        <v>1</v>
      </c>
      <c r="AO500" t="n">
        <v>19</v>
      </c>
      <c r="AP500" t="inlineStr">
        <is>
          <t>No</t>
        </is>
      </c>
      <c r="AQ500" t="inlineStr">
        <is>
          <t>Yes</t>
        </is>
      </c>
      <c r="AR500">
        <f>HYPERLINK("http://catalog.hathitrust.org/Record/001274348","HathiTrust Record")</f>
        <v/>
      </c>
      <c r="AS500">
        <f>HYPERLINK("https://creighton-primo.hosted.exlibrisgroup.com/primo-explore/search?tab=default_tab&amp;search_scope=EVERYTHING&amp;vid=01CRU&amp;lang=en_US&amp;offset=0&amp;query=any,contains,991003001729702656","Catalog Record")</f>
        <v/>
      </c>
      <c r="AT500">
        <f>HYPERLINK("http://www.worldcat.org/oclc/569293","WorldCat Record")</f>
        <v/>
      </c>
      <c r="AU500" t="inlineStr">
        <is>
          <t>918114516:eng</t>
        </is>
      </c>
      <c r="AV500" t="inlineStr">
        <is>
          <t>569293</t>
        </is>
      </c>
      <c r="AW500" t="inlineStr">
        <is>
          <t>991003001729702656</t>
        </is>
      </c>
      <c r="AX500" t="inlineStr">
        <is>
          <t>991003001729702656</t>
        </is>
      </c>
      <c r="AY500" t="inlineStr">
        <is>
          <t>2261455250002656</t>
        </is>
      </c>
      <c r="AZ500" t="inlineStr">
        <is>
          <t>BOOK</t>
        </is>
      </c>
      <c r="BC500" t="inlineStr">
        <is>
          <t>32285002694783</t>
        </is>
      </c>
      <c r="BD500" t="inlineStr">
        <is>
          <t>893623025</t>
        </is>
      </c>
    </row>
    <row r="501">
      <c r="A501" t="inlineStr">
        <is>
          <t>No</t>
        </is>
      </c>
      <c r="B501" t="inlineStr">
        <is>
          <t>GN2 .A22 no.88 1974</t>
        </is>
      </c>
      <c r="C501" t="inlineStr">
        <is>
          <t>0                      GN 0002000A  22                                                      no.88 1974</t>
        </is>
      </c>
      <c r="D501" t="inlineStr">
        <is>
          <t>Trend and tradition in the prehistory of the eastern United States.</t>
        </is>
      </c>
      <c r="E501" t="inlineStr">
        <is>
          <t>no.88 1974*</t>
        </is>
      </c>
      <c r="F501" t="inlineStr">
        <is>
          <t>No</t>
        </is>
      </c>
      <c r="G501" t="inlineStr">
        <is>
          <t>1</t>
        </is>
      </c>
      <c r="H501" t="inlineStr">
        <is>
          <t>No</t>
        </is>
      </c>
      <c r="I501" t="inlineStr">
        <is>
          <t>No</t>
        </is>
      </c>
      <c r="J501" t="inlineStr">
        <is>
          <t>0</t>
        </is>
      </c>
      <c r="K501" t="inlineStr">
        <is>
          <t>Caldwell, Joseph R.</t>
        </is>
      </c>
      <c r="L501" t="inlineStr">
        <is>
          <t>Millwood, New York, Kraus Reprint co., 1974.</t>
        </is>
      </c>
      <c r="M501" t="inlineStr">
        <is>
          <t>1974</t>
        </is>
      </c>
      <c r="O501" t="inlineStr">
        <is>
          <t>eng</t>
        </is>
      </c>
      <c r="P501" t="inlineStr">
        <is>
          <t>___</t>
        </is>
      </c>
      <c r="Q501" t="inlineStr">
        <is>
          <t>American Anthropological Association. Memoirs, no.88</t>
        </is>
      </c>
      <c r="R501" t="inlineStr">
        <is>
          <t xml:space="preserve">GN </t>
        </is>
      </c>
      <c r="S501" t="n">
        <v>2</v>
      </c>
      <c r="T501" t="n">
        <v>2</v>
      </c>
      <c r="U501" t="inlineStr">
        <is>
          <t>1995-08-28</t>
        </is>
      </c>
      <c r="V501" t="inlineStr">
        <is>
          <t>1995-08-28</t>
        </is>
      </c>
      <c r="W501" t="inlineStr">
        <is>
          <t>1990-09-18</t>
        </is>
      </c>
      <c r="X501" t="inlineStr">
        <is>
          <t>1990-09-18</t>
        </is>
      </c>
      <c r="Y501" t="n">
        <v>45</v>
      </c>
      <c r="Z501" t="n">
        <v>41</v>
      </c>
      <c r="AA501" t="n">
        <v>306</v>
      </c>
      <c r="AB501" t="n">
        <v>1</v>
      </c>
      <c r="AC501" t="n">
        <v>1</v>
      </c>
      <c r="AD501" t="n">
        <v>3</v>
      </c>
      <c r="AE501" t="n">
        <v>9</v>
      </c>
      <c r="AF501" t="n">
        <v>1</v>
      </c>
      <c r="AG501" t="n">
        <v>1</v>
      </c>
      <c r="AH501" t="n">
        <v>1</v>
      </c>
      <c r="AI501" t="n">
        <v>4</v>
      </c>
      <c r="AJ501" t="n">
        <v>2</v>
      </c>
      <c r="AK501" t="n">
        <v>7</v>
      </c>
      <c r="AL501" t="n">
        <v>0</v>
      </c>
      <c r="AM501" t="n">
        <v>0</v>
      </c>
      <c r="AN501" t="n">
        <v>0</v>
      </c>
      <c r="AO501" t="n">
        <v>0</v>
      </c>
      <c r="AP501" t="inlineStr">
        <is>
          <t>No</t>
        </is>
      </c>
      <c r="AQ501" t="inlineStr">
        <is>
          <t>Yes</t>
        </is>
      </c>
      <c r="AR501">
        <f>HYPERLINK("http://catalog.hathitrust.org/Record/005994162","HathiTrust Record")</f>
        <v/>
      </c>
      <c r="AS501">
        <f>HYPERLINK("https://creighton-primo.hosted.exlibrisgroup.com/primo-explore/search?tab=default_tab&amp;search_scope=EVERYTHING&amp;vid=01CRU&amp;lang=en_US&amp;offset=0&amp;query=any,contains,991003841209702656","Catalog Record")</f>
        <v/>
      </c>
      <c r="AT501">
        <f>HYPERLINK("http://www.worldcat.org/oclc/1617994","WorldCat Record")</f>
        <v/>
      </c>
      <c r="AU501" t="inlineStr">
        <is>
          <t>1529680:eng</t>
        </is>
      </c>
      <c r="AV501" t="inlineStr">
        <is>
          <t>1617994</t>
        </is>
      </c>
      <c r="AW501" t="inlineStr">
        <is>
          <t>991003841209702656</t>
        </is>
      </c>
      <c r="AX501" t="inlineStr">
        <is>
          <t>991003841209702656</t>
        </is>
      </c>
      <c r="AY501" t="inlineStr">
        <is>
          <t>2262671750002656</t>
        </is>
      </c>
      <c r="AZ501" t="inlineStr">
        <is>
          <t>BOOK</t>
        </is>
      </c>
      <c r="BC501" t="inlineStr">
        <is>
          <t>32285000289347</t>
        </is>
      </c>
      <c r="BD501" t="inlineStr">
        <is>
          <t>893246791</t>
        </is>
      </c>
    </row>
    <row r="502">
      <c r="A502" t="inlineStr">
        <is>
          <t>No</t>
        </is>
      </c>
      <c r="B502" t="inlineStr">
        <is>
          <t>GN2 .F4 1968 v.1, pt.1</t>
        </is>
      </c>
      <c r="C502" t="inlineStr">
        <is>
          <t>0                      GN 0002000F  4           1968                                        v.1, pt.1</t>
        </is>
      </c>
      <c r="D502" t="inlineStr">
        <is>
          <t>Archeological studies among the ancient cities of Mexico / by William H. Holmes.</t>
        </is>
      </c>
      <c r="E502" t="inlineStr">
        <is>
          <t>V.1 PT.1</t>
        </is>
      </c>
      <c r="F502" t="inlineStr">
        <is>
          <t>Yes</t>
        </is>
      </c>
      <c r="G502" t="inlineStr">
        <is>
          <t>1</t>
        </is>
      </c>
      <c r="H502" t="inlineStr">
        <is>
          <t>No</t>
        </is>
      </c>
      <c r="I502" t="inlineStr">
        <is>
          <t>No</t>
        </is>
      </c>
      <c r="J502" t="inlineStr">
        <is>
          <t>0</t>
        </is>
      </c>
      <c r="K502" t="inlineStr">
        <is>
          <t>Holmes, William Henry, 1846-1933.</t>
        </is>
      </c>
      <c r="L502" t="inlineStr">
        <is>
          <t>New York : Kraus Reprint Co., 1968.</t>
        </is>
      </c>
      <c r="M502" t="inlineStr">
        <is>
          <t>1968</t>
        </is>
      </c>
      <c r="O502" t="inlineStr">
        <is>
          <t>eng</t>
        </is>
      </c>
      <c r="P502" t="inlineStr">
        <is>
          <t>nyu</t>
        </is>
      </c>
      <c r="R502" t="inlineStr">
        <is>
          <t xml:space="preserve">GN </t>
        </is>
      </c>
      <c r="S502" t="n">
        <v>4</v>
      </c>
      <c r="T502" t="n">
        <v>4</v>
      </c>
      <c r="U502" t="inlineStr">
        <is>
          <t>1998-11-04</t>
        </is>
      </c>
      <c r="V502" t="inlineStr">
        <is>
          <t>1998-11-04</t>
        </is>
      </c>
      <c r="W502" t="inlineStr">
        <is>
          <t>1990-09-18</t>
        </is>
      </c>
      <c r="X502" t="inlineStr">
        <is>
          <t>1990-09-18</t>
        </is>
      </c>
      <c r="Y502" t="n">
        <v>37</v>
      </c>
      <c r="Z502" t="n">
        <v>36</v>
      </c>
      <c r="AA502" t="n">
        <v>356</v>
      </c>
      <c r="AB502" t="n">
        <v>1</v>
      </c>
      <c r="AC502" t="n">
        <v>3</v>
      </c>
      <c r="AD502" t="n">
        <v>2</v>
      </c>
      <c r="AE502" t="n">
        <v>9</v>
      </c>
      <c r="AF502" t="n">
        <v>0</v>
      </c>
      <c r="AG502" t="n">
        <v>1</v>
      </c>
      <c r="AH502" t="n">
        <v>0</v>
      </c>
      <c r="AI502" t="n">
        <v>2</v>
      </c>
      <c r="AJ502" t="n">
        <v>2</v>
      </c>
      <c r="AK502" t="n">
        <v>4</v>
      </c>
      <c r="AL502" t="n">
        <v>0</v>
      </c>
      <c r="AM502" t="n">
        <v>2</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HYPERLINK("https://creighton-primo.hosted.exlibrisgroup.com/primo-explore/search?tab=default_tab&amp;search_scope=EVERYTHING&amp;vid=01CRU&amp;lang=en_US&amp;offset=0&amp;query=any,contains,991004067339702656","Catalog Record")</f>
        <v/>
      </c>
      <c r="AT502">
        <f>HYPERLINK("http://www.worldcat.org/oclc/2288229","WorldCat Record")</f>
        <v/>
      </c>
      <c r="AU502" t="inlineStr">
        <is>
          <t>4665746:eng</t>
        </is>
      </c>
      <c r="AV502" t="inlineStr">
        <is>
          <t>2288229</t>
        </is>
      </c>
      <c r="AW502" t="inlineStr">
        <is>
          <t>991004067339702656</t>
        </is>
      </c>
      <c r="AX502" t="inlineStr">
        <is>
          <t>991004067339702656</t>
        </is>
      </c>
      <c r="AY502" t="inlineStr">
        <is>
          <t>2269309930002656</t>
        </is>
      </c>
      <c r="AZ502" t="inlineStr">
        <is>
          <t>BOOK</t>
        </is>
      </c>
      <c r="BC502" t="inlineStr">
        <is>
          <t>32285000289354</t>
        </is>
      </c>
      <c r="BD502" t="inlineStr">
        <is>
          <t>893353197</t>
        </is>
      </c>
    </row>
    <row r="503">
      <c r="A503" t="inlineStr">
        <is>
          <t>No</t>
        </is>
      </c>
      <c r="B503" t="inlineStr">
        <is>
          <t>GN2 .F4 v.57</t>
        </is>
      </c>
      <c r="C503" t="inlineStr">
        <is>
          <t>0                      GN 0002000F  4                                                       v.57</t>
        </is>
      </c>
      <c r="D503" t="inlineStr">
        <is>
          <t>The morphology, systematics, and evolution of the Old World treefrogs : (Rhacophoridae and Hyperoliidae) / Sioe Sing Liem.</t>
        </is>
      </c>
      <c r="E503" t="inlineStr">
        <is>
          <t>v.57*</t>
        </is>
      </c>
      <c r="F503" t="inlineStr">
        <is>
          <t>No</t>
        </is>
      </c>
      <c r="G503" t="inlineStr">
        <is>
          <t>1</t>
        </is>
      </c>
      <c r="H503" t="inlineStr">
        <is>
          <t>No</t>
        </is>
      </c>
      <c r="I503" t="inlineStr">
        <is>
          <t>No</t>
        </is>
      </c>
      <c r="J503" t="inlineStr">
        <is>
          <t>0</t>
        </is>
      </c>
      <c r="K503" t="inlineStr">
        <is>
          <t>Liem, Sioe Sing.</t>
        </is>
      </c>
      <c r="L503" t="inlineStr">
        <is>
          <t>[Chicago] : Field Museum of Natural History, 1970.</t>
        </is>
      </c>
      <c r="M503" t="inlineStr">
        <is>
          <t>1970</t>
        </is>
      </c>
      <c r="O503" t="inlineStr">
        <is>
          <t>eng</t>
        </is>
      </c>
      <c r="P503" t="inlineStr">
        <is>
          <t>ilu</t>
        </is>
      </c>
      <c r="Q503" t="inlineStr">
        <is>
          <t>Field Museum of Natural History, ChicagoPublication ; 1107</t>
        </is>
      </c>
      <c r="R503" t="inlineStr">
        <is>
          <t xml:space="preserve">GN </t>
        </is>
      </c>
      <c r="S503" t="n">
        <v>0</v>
      </c>
      <c r="T503" t="n">
        <v>0</v>
      </c>
      <c r="U503" t="inlineStr">
        <is>
          <t>2000-12-14</t>
        </is>
      </c>
      <c r="V503" t="inlineStr">
        <is>
          <t>2000-12-14</t>
        </is>
      </c>
      <c r="W503" t="inlineStr">
        <is>
          <t>1990-12-17</t>
        </is>
      </c>
      <c r="X503" t="inlineStr">
        <is>
          <t>1990-12-17</t>
        </is>
      </c>
      <c r="Y503" t="n">
        <v>64</v>
      </c>
      <c r="Z503" t="n">
        <v>54</v>
      </c>
      <c r="AA503" t="n">
        <v>82</v>
      </c>
      <c r="AB503" t="n">
        <v>1</v>
      </c>
      <c r="AC503" t="n">
        <v>1</v>
      </c>
      <c r="AD503" t="n">
        <v>0</v>
      </c>
      <c r="AE503" t="n">
        <v>0</v>
      </c>
      <c r="AF503" t="n">
        <v>0</v>
      </c>
      <c r="AG503" t="n">
        <v>0</v>
      </c>
      <c r="AH503" t="n">
        <v>0</v>
      </c>
      <c r="AI503" t="n">
        <v>0</v>
      </c>
      <c r="AJ503" t="n">
        <v>0</v>
      </c>
      <c r="AK503" t="n">
        <v>0</v>
      </c>
      <c r="AL503" t="n">
        <v>0</v>
      </c>
      <c r="AM503" t="n">
        <v>0</v>
      </c>
      <c r="AN503" t="n">
        <v>0</v>
      </c>
      <c r="AO503" t="n">
        <v>0</v>
      </c>
      <c r="AP503" t="inlineStr">
        <is>
          <t>No</t>
        </is>
      </c>
      <c r="AQ503" t="inlineStr">
        <is>
          <t>Yes</t>
        </is>
      </c>
      <c r="AR503">
        <f>HYPERLINK("http://catalog.hathitrust.org/Record/100699875","HathiTrust Record")</f>
        <v/>
      </c>
      <c r="AS503">
        <f>HYPERLINK("https://creighton-primo.hosted.exlibrisgroup.com/primo-explore/search?tab=default_tab&amp;search_scope=EVERYTHING&amp;vid=01CRU&amp;lang=en_US&amp;offset=0&amp;query=any,contains,991000794729702656","Catalog Record")</f>
        <v/>
      </c>
      <c r="AT503">
        <f>HYPERLINK("http://www.worldcat.org/oclc/136631","WorldCat Record")</f>
        <v/>
      </c>
      <c r="AU503" t="inlineStr">
        <is>
          <t>147318564:eng</t>
        </is>
      </c>
      <c r="AV503" t="inlineStr">
        <is>
          <t>136631</t>
        </is>
      </c>
      <c r="AW503" t="inlineStr">
        <is>
          <t>991000794729702656</t>
        </is>
      </c>
      <c r="AX503" t="inlineStr">
        <is>
          <t>991000794729702656</t>
        </is>
      </c>
      <c r="AY503" t="inlineStr">
        <is>
          <t>2263978000002656</t>
        </is>
      </c>
      <c r="AZ503" t="inlineStr">
        <is>
          <t>BOOK</t>
        </is>
      </c>
      <c r="BC503" t="inlineStr">
        <is>
          <t>32285000356708</t>
        </is>
      </c>
      <c r="BD503" t="inlineStr">
        <is>
          <t>893407519</t>
        </is>
      </c>
    </row>
    <row r="504">
      <c r="A504" t="inlineStr">
        <is>
          <t>No</t>
        </is>
      </c>
      <c r="B504" t="inlineStr">
        <is>
          <t>GN2 .F4 v.9 no.1-2 1971</t>
        </is>
      </c>
      <c r="C504" t="inlineStr">
        <is>
          <t>0                      GN 0002000F  4                                                       v.9 no.1-2 1971</t>
        </is>
      </c>
      <c r="D504" t="inlineStr">
        <is>
          <t>The Cheyenne.</t>
        </is>
      </c>
      <c r="E504" t="inlineStr">
        <is>
          <t>V.9 NO.1-2 1971</t>
        </is>
      </c>
      <c r="F504" t="inlineStr">
        <is>
          <t>No</t>
        </is>
      </c>
      <c r="G504" t="inlineStr">
        <is>
          <t>1</t>
        </is>
      </c>
      <c r="H504" t="inlineStr">
        <is>
          <t>No</t>
        </is>
      </c>
      <c r="I504" t="inlineStr">
        <is>
          <t>No</t>
        </is>
      </c>
      <c r="J504" t="inlineStr">
        <is>
          <t>0</t>
        </is>
      </c>
      <c r="K504" t="inlineStr">
        <is>
          <t>Dorsey, George A. (George Amos), 1868-1931.</t>
        </is>
      </c>
      <c r="L504" t="inlineStr">
        <is>
          <t>Glorieta, N.M., Rio Grande Press [1971]</t>
        </is>
      </c>
      <c r="M504" t="inlineStr">
        <is>
          <t>1971</t>
        </is>
      </c>
      <c r="O504" t="inlineStr">
        <is>
          <t>eng</t>
        </is>
      </c>
      <c r="P504" t="inlineStr">
        <is>
          <t>nmu</t>
        </is>
      </c>
      <c r="R504" t="inlineStr">
        <is>
          <t xml:space="preserve">GN </t>
        </is>
      </c>
      <c r="S504" t="n">
        <v>4</v>
      </c>
      <c r="T504" t="n">
        <v>4</v>
      </c>
      <c r="U504" t="inlineStr">
        <is>
          <t>2003-12-07</t>
        </is>
      </c>
      <c r="V504" t="inlineStr">
        <is>
          <t>2003-12-07</t>
        </is>
      </c>
      <c r="W504" t="inlineStr">
        <is>
          <t>1997-05-27</t>
        </is>
      </c>
      <c r="X504" t="inlineStr">
        <is>
          <t>1997-05-27</t>
        </is>
      </c>
      <c r="Y504" t="n">
        <v>303</v>
      </c>
      <c r="Z504" t="n">
        <v>285</v>
      </c>
      <c r="AA504" t="n">
        <v>619</v>
      </c>
      <c r="AB504" t="n">
        <v>6</v>
      </c>
      <c r="AC504" t="n">
        <v>10</v>
      </c>
      <c r="AD504" t="n">
        <v>8</v>
      </c>
      <c r="AE504" t="n">
        <v>24</v>
      </c>
      <c r="AF504" t="n">
        <v>1</v>
      </c>
      <c r="AG504" t="n">
        <v>5</v>
      </c>
      <c r="AH504" t="n">
        <v>0</v>
      </c>
      <c r="AI504" t="n">
        <v>2</v>
      </c>
      <c r="AJ504" t="n">
        <v>1</v>
      </c>
      <c r="AK504" t="n">
        <v>6</v>
      </c>
      <c r="AL504" t="n">
        <v>4</v>
      </c>
      <c r="AM504" t="n">
        <v>6</v>
      </c>
      <c r="AN504" t="n">
        <v>2</v>
      </c>
      <c r="AO504" t="n">
        <v>7</v>
      </c>
      <c r="AP504" t="inlineStr">
        <is>
          <t>Yes</t>
        </is>
      </c>
      <c r="AQ504" t="inlineStr">
        <is>
          <t>Yes</t>
        </is>
      </c>
      <c r="AR504">
        <f>HYPERLINK("http://catalog.hathitrust.org/Record/009908075","HathiTrust Record")</f>
        <v/>
      </c>
      <c r="AS504">
        <f>HYPERLINK("https://creighton-primo.hosted.exlibrisgroup.com/primo-explore/search?tab=default_tab&amp;search_scope=EVERYTHING&amp;vid=01CRU&amp;lang=en_US&amp;offset=0&amp;query=any,contains,991002182869702656","Catalog Record")</f>
        <v/>
      </c>
      <c r="AT504">
        <f>HYPERLINK("http://www.worldcat.org/oclc/279225","WorldCat Record")</f>
        <v/>
      </c>
      <c r="AU504" t="inlineStr">
        <is>
          <t>158601974:eng</t>
        </is>
      </c>
      <c r="AV504" t="inlineStr">
        <is>
          <t>279225</t>
        </is>
      </c>
      <c r="AW504" t="inlineStr">
        <is>
          <t>991002182869702656</t>
        </is>
      </c>
      <c r="AX504" t="inlineStr">
        <is>
          <t>991002182869702656</t>
        </is>
      </c>
      <c r="AY504" t="inlineStr">
        <is>
          <t>2261730910002656</t>
        </is>
      </c>
      <c r="AZ504" t="inlineStr">
        <is>
          <t>BOOK</t>
        </is>
      </c>
      <c r="BB504" t="inlineStr">
        <is>
          <t>9780873800815</t>
        </is>
      </c>
      <c r="BC504" t="inlineStr">
        <is>
          <t>32285002694239</t>
        </is>
      </c>
      <c r="BD504" t="inlineStr">
        <is>
          <t>893529644</t>
        </is>
      </c>
    </row>
    <row r="505">
      <c r="A505" t="inlineStr">
        <is>
          <t>No</t>
        </is>
      </c>
      <c r="B505" t="inlineStr">
        <is>
          <t>GN2 .S9243 no.5</t>
        </is>
      </c>
      <c r="C505" t="inlineStr">
        <is>
          <t>0                      GN 0002000S  9243                                                    no.5</t>
        </is>
      </c>
      <c r="D505" t="inlineStr">
        <is>
          <t>Red, white, and Black : symposium on Indians in the Old South / Charles M. Hudson, editor.</t>
        </is>
      </c>
      <c r="E505" t="inlineStr">
        <is>
          <t>no.5*</t>
        </is>
      </c>
      <c r="F505" t="inlineStr">
        <is>
          <t>No</t>
        </is>
      </c>
      <c r="G505" t="inlineStr">
        <is>
          <t>1</t>
        </is>
      </c>
      <c r="H505" t="inlineStr">
        <is>
          <t>No</t>
        </is>
      </c>
      <c r="I505" t="inlineStr">
        <is>
          <t>No</t>
        </is>
      </c>
      <c r="J505" t="inlineStr">
        <is>
          <t>0</t>
        </is>
      </c>
      <c r="K505" t="inlineStr">
        <is>
          <t>Symposium on Indians in the Old South (1970 : Athens, Ga.)</t>
        </is>
      </c>
      <c r="L505" t="inlineStr">
        <is>
          <t>[Athens] : Southern Anthropological Society; distributed by the University of Georgia Press, [1971]</t>
        </is>
      </c>
      <c r="M505" t="inlineStr">
        <is>
          <t>1971</t>
        </is>
      </c>
      <c r="O505" t="inlineStr">
        <is>
          <t>eng</t>
        </is>
      </c>
      <c r="P505" t="inlineStr">
        <is>
          <t>gau</t>
        </is>
      </c>
      <c r="Q505" t="inlineStr">
        <is>
          <t>Southern Anthropological Society proceedings ; no. 5</t>
        </is>
      </c>
      <c r="R505" t="inlineStr">
        <is>
          <t xml:space="preserve">GN </t>
        </is>
      </c>
      <c r="S505" t="n">
        <v>2</v>
      </c>
      <c r="T505" t="n">
        <v>2</v>
      </c>
      <c r="U505" t="inlineStr">
        <is>
          <t>1994-09-21</t>
        </is>
      </c>
      <c r="V505" t="inlineStr">
        <is>
          <t>1994-09-21</t>
        </is>
      </c>
      <c r="W505" t="inlineStr">
        <is>
          <t>1992-06-09</t>
        </is>
      </c>
      <c r="X505" t="inlineStr">
        <is>
          <t>1992-06-09</t>
        </is>
      </c>
      <c r="Y505" t="n">
        <v>549</v>
      </c>
      <c r="Z505" t="n">
        <v>514</v>
      </c>
      <c r="AA505" t="n">
        <v>551</v>
      </c>
      <c r="AB505" t="n">
        <v>4</v>
      </c>
      <c r="AC505" t="n">
        <v>4</v>
      </c>
      <c r="AD505" t="n">
        <v>15</v>
      </c>
      <c r="AE505" t="n">
        <v>15</v>
      </c>
      <c r="AF505" t="n">
        <v>4</v>
      </c>
      <c r="AG505" t="n">
        <v>4</v>
      </c>
      <c r="AH505" t="n">
        <v>3</v>
      </c>
      <c r="AI505" t="n">
        <v>3</v>
      </c>
      <c r="AJ505" t="n">
        <v>8</v>
      </c>
      <c r="AK505" t="n">
        <v>8</v>
      </c>
      <c r="AL505" t="n">
        <v>2</v>
      </c>
      <c r="AM505" t="n">
        <v>2</v>
      </c>
      <c r="AN505" t="n">
        <v>0</v>
      </c>
      <c r="AO505" t="n">
        <v>0</v>
      </c>
      <c r="AP505" t="inlineStr">
        <is>
          <t>No</t>
        </is>
      </c>
      <c r="AQ505" t="inlineStr">
        <is>
          <t>Yes</t>
        </is>
      </c>
      <c r="AR505">
        <f>HYPERLINK("http://catalog.hathitrust.org/Record/001678482","HathiTrust Record")</f>
        <v/>
      </c>
      <c r="AS505">
        <f>HYPERLINK("https://creighton-primo.hosted.exlibrisgroup.com/primo-explore/search?tab=default_tab&amp;search_scope=EVERYTHING&amp;vid=01CRU&amp;lang=en_US&amp;offset=0&amp;query=any,contains,991001223949702656","Catalog Record")</f>
        <v/>
      </c>
      <c r="AT505">
        <f>HYPERLINK("http://www.worldcat.org/oclc/198497","WorldCat Record")</f>
        <v/>
      </c>
      <c r="AU505" t="inlineStr">
        <is>
          <t>484678:eng</t>
        </is>
      </c>
      <c r="AV505" t="inlineStr">
        <is>
          <t>198497</t>
        </is>
      </c>
      <c r="AW505" t="inlineStr">
        <is>
          <t>991001223949702656</t>
        </is>
      </c>
      <c r="AX505" t="inlineStr">
        <is>
          <t>991001223949702656</t>
        </is>
      </c>
      <c r="AY505" t="inlineStr">
        <is>
          <t>2271416480002656</t>
        </is>
      </c>
      <c r="AZ505" t="inlineStr">
        <is>
          <t>BOOK</t>
        </is>
      </c>
      <c r="BB505" t="inlineStr">
        <is>
          <t>9780820303086</t>
        </is>
      </c>
      <c r="BC505" t="inlineStr">
        <is>
          <t>32285001075349</t>
        </is>
      </c>
      <c r="BD505" t="inlineStr">
        <is>
          <t>893528772</t>
        </is>
      </c>
    </row>
    <row r="506">
      <c r="A506" t="inlineStr">
        <is>
          <t>No</t>
        </is>
      </c>
      <c r="B506" t="inlineStr">
        <is>
          <t>GN20 .B36 2003</t>
        </is>
      </c>
      <c r="C506" t="inlineStr">
        <is>
          <t>0                      GN 0020000B  36          2003</t>
        </is>
      </c>
      <c r="D506" t="inlineStr">
        <is>
          <t>Intertwined lives : Margaret Mead, Ruth Benedict, and their circle / Lois W. Banner.</t>
        </is>
      </c>
      <c r="F506" t="inlineStr">
        <is>
          <t>No</t>
        </is>
      </c>
      <c r="G506" t="inlineStr">
        <is>
          <t>1</t>
        </is>
      </c>
      <c r="H506" t="inlineStr">
        <is>
          <t>No</t>
        </is>
      </c>
      <c r="I506" t="inlineStr">
        <is>
          <t>No</t>
        </is>
      </c>
      <c r="J506" t="inlineStr">
        <is>
          <t>0</t>
        </is>
      </c>
      <c r="K506" t="inlineStr">
        <is>
          <t>Banner, Lois W.</t>
        </is>
      </c>
      <c r="L506" t="inlineStr">
        <is>
          <t>New York : Knopf, 2003.</t>
        </is>
      </c>
      <c r="M506" t="inlineStr">
        <is>
          <t>2003</t>
        </is>
      </c>
      <c r="N506" t="inlineStr">
        <is>
          <t>1st ed.</t>
        </is>
      </c>
      <c r="O506" t="inlineStr">
        <is>
          <t>eng</t>
        </is>
      </c>
      <c r="P506" t="inlineStr">
        <is>
          <t>nyu</t>
        </is>
      </c>
      <c r="R506" t="inlineStr">
        <is>
          <t xml:space="preserve">GN </t>
        </is>
      </c>
      <c r="S506" t="n">
        <v>2</v>
      </c>
      <c r="T506" t="n">
        <v>2</v>
      </c>
      <c r="U506" t="inlineStr">
        <is>
          <t>2003-12-08</t>
        </is>
      </c>
      <c r="V506" t="inlineStr">
        <is>
          <t>2003-12-08</t>
        </is>
      </c>
      <c r="W506" t="inlineStr">
        <is>
          <t>2003-11-17</t>
        </is>
      </c>
      <c r="X506" t="inlineStr">
        <is>
          <t>2003-11-17</t>
        </is>
      </c>
      <c r="Y506" t="n">
        <v>796</v>
      </c>
      <c r="Z506" t="n">
        <v>724</v>
      </c>
      <c r="AA506" t="n">
        <v>802</v>
      </c>
      <c r="AB506" t="n">
        <v>8</v>
      </c>
      <c r="AC506" t="n">
        <v>9</v>
      </c>
      <c r="AD506" t="n">
        <v>26</v>
      </c>
      <c r="AE506" t="n">
        <v>33</v>
      </c>
      <c r="AF506" t="n">
        <v>8</v>
      </c>
      <c r="AG506" t="n">
        <v>11</v>
      </c>
      <c r="AH506" t="n">
        <v>6</v>
      </c>
      <c r="AI506" t="n">
        <v>7</v>
      </c>
      <c r="AJ506" t="n">
        <v>12</v>
      </c>
      <c r="AK506" t="n">
        <v>15</v>
      </c>
      <c r="AL506" t="n">
        <v>5</v>
      </c>
      <c r="AM506" t="n">
        <v>6</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HYPERLINK("https://creighton-primo.hosted.exlibrisgroup.com/primo-explore/search?tab=default_tab&amp;search_scope=EVERYTHING&amp;vid=01CRU&amp;lang=en_US&amp;offset=0&amp;query=any,contains,991004174429702656","Catalog Record")</f>
        <v/>
      </c>
      <c r="AT506">
        <f>HYPERLINK("http://www.worldcat.org/oclc/50937149","WorldCat Record")</f>
        <v/>
      </c>
      <c r="AU506" t="inlineStr">
        <is>
          <t>793936274:eng</t>
        </is>
      </c>
      <c r="AV506" t="inlineStr">
        <is>
          <t>50937149</t>
        </is>
      </c>
      <c r="AW506" t="inlineStr">
        <is>
          <t>991004174429702656</t>
        </is>
      </c>
      <c r="AX506" t="inlineStr">
        <is>
          <t>991004174429702656</t>
        </is>
      </c>
      <c r="AY506" t="inlineStr">
        <is>
          <t>2270361180002656</t>
        </is>
      </c>
      <c r="AZ506" t="inlineStr">
        <is>
          <t>BOOK</t>
        </is>
      </c>
      <c r="BB506" t="inlineStr">
        <is>
          <t>9780679454359</t>
        </is>
      </c>
      <c r="BC506" t="inlineStr">
        <is>
          <t>32285004798707</t>
        </is>
      </c>
      <c r="BD506" t="inlineStr">
        <is>
          <t>893259419</t>
        </is>
      </c>
    </row>
    <row r="507">
      <c r="A507" t="inlineStr">
        <is>
          <t>No</t>
        </is>
      </c>
      <c r="B507" t="inlineStr">
        <is>
          <t>GN21.B383 L56</t>
        </is>
      </c>
      <c r="C507" t="inlineStr">
        <is>
          <t>0                      GN 0021000B  383                L  56</t>
        </is>
      </c>
      <c r="D507" t="inlineStr">
        <is>
          <t>Gregory Bateson : the legacy of a scientist / by David Lipset.</t>
        </is>
      </c>
      <c r="F507" t="inlineStr">
        <is>
          <t>No</t>
        </is>
      </c>
      <c r="G507" t="inlineStr">
        <is>
          <t>1</t>
        </is>
      </c>
      <c r="H507" t="inlineStr">
        <is>
          <t>No</t>
        </is>
      </c>
      <c r="I507" t="inlineStr">
        <is>
          <t>No</t>
        </is>
      </c>
      <c r="J507" t="inlineStr">
        <is>
          <t>0</t>
        </is>
      </c>
      <c r="K507" t="inlineStr">
        <is>
          <t>Lipset, David, 1951-</t>
        </is>
      </c>
      <c r="L507" t="inlineStr">
        <is>
          <t>Englewood Cliffs, N.J. : Prentice-Hall, c1980.</t>
        </is>
      </c>
      <c r="M507" t="inlineStr">
        <is>
          <t>1980</t>
        </is>
      </c>
      <c r="O507" t="inlineStr">
        <is>
          <t>eng</t>
        </is>
      </c>
      <c r="P507" t="inlineStr">
        <is>
          <t>nju</t>
        </is>
      </c>
      <c r="R507" t="inlineStr">
        <is>
          <t xml:space="preserve">GN </t>
        </is>
      </c>
      <c r="S507" t="n">
        <v>2</v>
      </c>
      <c r="T507" t="n">
        <v>2</v>
      </c>
      <c r="U507" t="inlineStr">
        <is>
          <t>1994-04-08</t>
        </is>
      </c>
      <c r="V507" t="inlineStr">
        <is>
          <t>1994-04-08</t>
        </is>
      </c>
      <c r="W507" t="inlineStr">
        <is>
          <t>1990-06-06</t>
        </is>
      </c>
      <c r="X507" t="inlineStr">
        <is>
          <t>1990-06-06</t>
        </is>
      </c>
      <c r="Y507" t="n">
        <v>531</v>
      </c>
      <c r="Z507" t="n">
        <v>457</v>
      </c>
      <c r="AA507" t="n">
        <v>542</v>
      </c>
      <c r="AB507" t="n">
        <v>2</v>
      </c>
      <c r="AC507" t="n">
        <v>2</v>
      </c>
      <c r="AD507" t="n">
        <v>11</v>
      </c>
      <c r="AE507" t="n">
        <v>14</v>
      </c>
      <c r="AF507" t="n">
        <v>6</v>
      </c>
      <c r="AG507" t="n">
        <v>7</v>
      </c>
      <c r="AH507" t="n">
        <v>2</v>
      </c>
      <c r="AI507" t="n">
        <v>3</v>
      </c>
      <c r="AJ507" t="n">
        <v>5</v>
      </c>
      <c r="AK507" t="n">
        <v>6</v>
      </c>
      <c r="AL507" t="n">
        <v>1</v>
      </c>
      <c r="AM507" t="n">
        <v>1</v>
      </c>
      <c r="AN507" t="n">
        <v>0</v>
      </c>
      <c r="AO507" t="n">
        <v>0</v>
      </c>
      <c r="AP507" t="inlineStr">
        <is>
          <t>No</t>
        </is>
      </c>
      <c r="AQ507" t="inlineStr">
        <is>
          <t>Yes</t>
        </is>
      </c>
      <c r="AR507">
        <f>HYPERLINK("http://catalog.hathitrust.org/Record/000732487","HathiTrust Record")</f>
        <v/>
      </c>
      <c r="AS507">
        <f>HYPERLINK("https://creighton-primo.hosted.exlibrisgroup.com/primo-explore/search?tab=default_tab&amp;search_scope=EVERYTHING&amp;vid=01CRU&amp;lang=en_US&amp;offset=0&amp;query=any,contains,991004896499702656","Catalog Record")</f>
        <v/>
      </c>
      <c r="AT507">
        <f>HYPERLINK("http://www.worldcat.org/oclc/5894222","WorldCat Record")</f>
        <v/>
      </c>
      <c r="AU507" t="inlineStr">
        <is>
          <t>463421:eng</t>
        </is>
      </c>
      <c r="AV507" t="inlineStr">
        <is>
          <t>5894222</t>
        </is>
      </c>
      <c r="AW507" t="inlineStr">
        <is>
          <t>991004896499702656</t>
        </is>
      </c>
      <c r="AX507" t="inlineStr">
        <is>
          <t>991004896499702656</t>
        </is>
      </c>
      <c r="AY507" t="inlineStr">
        <is>
          <t>2264320710002656</t>
        </is>
      </c>
      <c r="AZ507" t="inlineStr">
        <is>
          <t>BOOK</t>
        </is>
      </c>
      <c r="BB507" t="inlineStr">
        <is>
          <t>9780133650563</t>
        </is>
      </c>
      <c r="BC507" t="inlineStr">
        <is>
          <t>32285000182617</t>
        </is>
      </c>
      <c r="BD507" t="inlineStr">
        <is>
          <t>893263496</t>
        </is>
      </c>
    </row>
    <row r="508">
      <c r="A508" t="inlineStr">
        <is>
          <t>No</t>
        </is>
      </c>
      <c r="B508" t="inlineStr">
        <is>
          <t>GN21.F65 A27 1987</t>
        </is>
      </c>
      <c r="C508" t="inlineStr">
        <is>
          <t>0                      GN 0021000F  65                 A  27          1987</t>
        </is>
      </c>
      <c r="D508" t="inlineStr">
        <is>
          <t>J.G. Frazer : his life and work / Robert Ackerman.</t>
        </is>
      </c>
      <c r="F508" t="inlineStr">
        <is>
          <t>No</t>
        </is>
      </c>
      <c r="G508" t="inlineStr">
        <is>
          <t>1</t>
        </is>
      </c>
      <c r="H508" t="inlineStr">
        <is>
          <t>No</t>
        </is>
      </c>
      <c r="I508" t="inlineStr">
        <is>
          <t>No</t>
        </is>
      </c>
      <c r="J508" t="inlineStr">
        <is>
          <t>0</t>
        </is>
      </c>
      <c r="K508" t="inlineStr">
        <is>
          <t>Ackerman, Robert, 1935-</t>
        </is>
      </c>
      <c r="L508" t="inlineStr">
        <is>
          <t>Cambridge [Cambridgeshire] ; New York : Cambridge University Press, c1987.</t>
        </is>
      </c>
      <c r="M508" t="inlineStr">
        <is>
          <t>1987</t>
        </is>
      </c>
      <c r="O508" t="inlineStr">
        <is>
          <t>eng</t>
        </is>
      </c>
      <c r="P508" t="inlineStr">
        <is>
          <t>enk</t>
        </is>
      </c>
      <c r="R508" t="inlineStr">
        <is>
          <t xml:space="preserve">GN </t>
        </is>
      </c>
      <c r="S508" t="n">
        <v>3</v>
      </c>
      <c r="T508" t="n">
        <v>3</v>
      </c>
      <c r="U508" t="inlineStr">
        <is>
          <t>2004-11-28</t>
        </is>
      </c>
      <c r="V508" t="inlineStr">
        <is>
          <t>2004-11-28</t>
        </is>
      </c>
      <c r="W508" t="inlineStr">
        <is>
          <t>1990-11-13</t>
        </is>
      </c>
      <c r="X508" t="inlineStr">
        <is>
          <t>1990-11-13</t>
        </is>
      </c>
      <c r="Y508" t="n">
        <v>637</v>
      </c>
      <c r="Z508" t="n">
        <v>489</v>
      </c>
      <c r="AA508" t="n">
        <v>531</v>
      </c>
      <c r="AB508" t="n">
        <v>3</v>
      </c>
      <c r="AC508" t="n">
        <v>3</v>
      </c>
      <c r="AD508" t="n">
        <v>25</v>
      </c>
      <c r="AE508" t="n">
        <v>28</v>
      </c>
      <c r="AF508" t="n">
        <v>8</v>
      </c>
      <c r="AG508" t="n">
        <v>10</v>
      </c>
      <c r="AH508" t="n">
        <v>7</v>
      </c>
      <c r="AI508" t="n">
        <v>8</v>
      </c>
      <c r="AJ508" t="n">
        <v>13</v>
      </c>
      <c r="AK508" t="n">
        <v>16</v>
      </c>
      <c r="AL508" t="n">
        <v>2</v>
      </c>
      <c r="AM508" t="n">
        <v>2</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HYPERLINK("https://creighton-primo.hosted.exlibrisgroup.com/primo-explore/search?tab=default_tab&amp;search_scope=EVERYTHING&amp;vid=01CRU&amp;lang=en_US&amp;offset=0&amp;query=any,contains,991001029729702656","Catalog Record")</f>
        <v/>
      </c>
      <c r="AT508">
        <f>HYPERLINK("http://www.worldcat.org/oclc/15489868","WorldCat Record")</f>
        <v/>
      </c>
      <c r="AU508" t="inlineStr">
        <is>
          <t>325568659:eng</t>
        </is>
      </c>
      <c r="AV508" t="inlineStr">
        <is>
          <t>15489868</t>
        </is>
      </c>
      <c r="AW508" t="inlineStr">
        <is>
          <t>991001029729702656</t>
        </is>
      </c>
      <c r="AX508" t="inlineStr">
        <is>
          <t>991001029729702656</t>
        </is>
      </c>
      <c r="AY508" t="inlineStr">
        <is>
          <t>2272524640002656</t>
        </is>
      </c>
      <c r="AZ508" t="inlineStr">
        <is>
          <t>BOOK</t>
        </is>
      </c>
      <c r="BB508" t="inlineStr">
        <is>
          <t>9780521340939</t>
        </is>
      </c>
      <c r="BC508" t="inlineStr">
        <is>
          <t>32285000314731</t>
        </is>
      </c>
      <c r="BD508" t="inlineStr">
        <is>
          <t>893413894</t>
        </is>
      </c>
    </row>
    <row r="509">
      <c r="A509" t="inlineStr">
        <is>
          <t>No</t>
        </is>
      </c>
      <c r="B509" t="inlineStr">
        <is>
          <t>GN21.F65 D58</t>
        </is>
      </c>
      <c r="C509" t="inlineStr">
        <is>
          <t>0                      GN 0021000F  65                 D  58</t>
        </is>
      </c>
      <c r="D509" t="inlineStr">
        <is>
          <t>Frazer and The golden bough, by R. Angus Downie.</t>
        </is>
      </c>
      <c r="F509" t="inlineStr">
        <is>
          <t>No</t>
        </is>
      </c>
      <c r="G509" t="inlineStr">
        <is>
          <t>1</t>
        </is>
      </c>
      <c r="H509" t="inlineStr">
        <is>
          <t>No</t>
        </is>
      </c>
      <c r="I509" t="inlineStr">
        <is>
          <t>No</t>
        </is>
      </c>
      <c r="J509" t="inlineStr">
        <is>
          <t>0</t>
        </is>
      </c>
      <c r="K509" t="inlineStr">
        <is>
          <t>Downie, Robert Angus, 1905-</t>
        </is>
      </c>
      <c r="L509" t="inlineStr">
        <is>
          <t>London, Gollancz, 1970.</t>
        </is>
      </c>
      <c r="M509" t="inlineStr">
        <is>
          <t>1970</t>
        </is>
      </c>
      <c r="O509" t="inlineStr">
        <is>
          <t>eng</t>
        </is>
      </c>
      <c r="P509" t="inlineStr">
        <is>
          <t>enk</t>
        </is>
      </c>
      <c r="R509" t="inlineStr">
        <is>
          <t xml:space="preserve">GN </t>
        </is>
      </c>
      <c r="S509" t="n">
        <v>2</v>
      </c>
      <c r="T509" t="n">
        <v>2</v>
      </c>
      <c r="U509" t="inlineStr">
        <is>
          <t>2004-04-20</t>
        </is>
      </c>
      <c r="V509" t="inlineStr">
        <is>
          <t>2004-04-20</t>
        </is>
      </c>
      <c r="W509" t="inlineStr">
        <is>
          <t>1997-05-27</t>
        </is>
      </c>
      <c r="X509" t="inlineStr">
        <is>
          <t>1997-05-27</t>
        </is>
      </c>
      <c r="Y509" t="n">
        <v>328</v>
      </c>
      <c r="Z509" t="n">
        <v>192</v>
      </c>
      <c r="AA509" t="n">
        <v>192</v>
      </c>
      <c r="AB509" t="n">
        <v>2</v>
      </c>
      <c r="AC509" t="n">
        <v>2</v>
      </c>
      <c r="AD509" t="n">
        <v>7</v>
      </c>
      <c r="AE509" t="n">
        <v>7</v>
      </c>
      <c r="AF509" t="n">
        <v>0</v>
      </c>
      <c r="AG509" t="n">
        <v>0</v>
      </c>
      <c r="AH509" t="n">
        <v>2</v>
      </c>
      <c r="AI509" t="n">
        <v>2</v>
      </c>
      <c r="AJ509" t="n">
        <v>4</v>
      </c>
      <c r="AK509" t="n">
        <v>4</v>
      </c>
      <c r="AL509" t="n">
        <v>1</v>
      </c>
      <c r="AM509" t="n">
        <v>1</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HYPERLINK("https://creighton-primo.hosted.exlibrisgroup.com/primo-explore/search?tab=default_tab&amp;search_scope=EVERYTHING&amp;vid=01CRU&amp;lang=en_US&amp;offset=0&amp;query=any,contains,991000627829702656","Catalog Record")</f>
        <v/>
      </c>
      <c r="AT509">
        <f>HYPERLINK("http://www.worldcat.org/oclc/104912","WorldCat Record")</f>
        <v/>
      </c>
      <c r="AU509" t="inlineStr">
        <is>
          <t>1184153:eng</t>
        </is>
      </c>
      <c r="AV509" t="inlineStr">
        <is>
          <t>104912</t>
        </is>
      </c>
      <c r="AW509" t="inlineStr">
        <is>
          <t>991000627829702656</t>
        </is>
      </c>
      <c r="AX509" t="inlineStr">
        <is>
          <t>991000627829702656</t>
        </is>
      </c>
      <c r="AY509" t="inlineStr">
        <is>
          <t>2260815610002656</t>
        </is>
      </c>
      <c r="AZ509" t="inlineStr">
        <is>
          <t>BOOK</t>
        </is>
      </c>
      <c r="BB509" t="inlineStr">
        <is>
          <t>9780575004863</t>
        </is>
      </c>
      <c r="BC509" t="inlineStr">
        <is>
          <t>32285002694387</t>
        </is>
      </c>
      <c r="BD509" t="inlineStr">
        <is>
          <t>893515447</t>
        </is>
      </c>
    </row>
    <row r="510">
      <c r="A510" t="inlineStr">
        <is>
          <t>No</t>
        </is>
      </c>
      <c r="B510" t="inlineStr">
        <is>
          <t>GN21.G44 A3 1999</t>
        </is>
      </c>
      <c r="C510" t="inlineStr">
        <is>
          <t>0                      GN 0021000G  44                 A  3           1999</t>
        </is>
      </c>
      <c r="D510" t="inlineStr">
        <is>
          <t>A life of learning : Charles Homer Haskins lecture for 1999 / Clifford Geertz.</t>
        </is>
      </c>
      <c r="F510" t="inlineStr">
        <is>
          <t>No</t>
        </is>
      </c>
      <c r="G510" t="inlineStr">
        <is>
          <t>1</t>
        </is>
      </c>
      <c r="H510" t="inlineStr">
        <is>
          <t>No</t>
        </is>
      </c>
      <c r="I510" t="inlineStr">
        <is>
          <t>No</t>
        </is>
      </c>
      <c r="J510" t="inlineStr">
        <is>
          <t>0</t>
        </is>
      </c>
      <c r="K510" t="inlineStr">
        <is>
          <t>Geertz, Clifford.</t>
        </is>
      </c>
      <c r="L510" t="inlineStr">
        <is>
          <t>New York (228 E. 45th St., New York 10017-3398) : American Council of Learned Societies, c1999.</t>
        </is>
      </c>
      <c r="M510" t="inlineStr">
        <is>
          <t>1999</t>
        </is>
      </c>
      <c r="O510" t="inlineStr">
        <is>
          <t>eng</t>
        </is>
      </c>
      <c r="P510" t="inlineStr">
        <is>
          <t>nyu</t>
        </is>
      </c>
      <c r="Q510" t="inlineStr">
        <is>
          <t>ACLS occasional paper, 1041-536X ; no. 45</t>
        </is>
      </c>
      <c r="R510" t="inlineStr">
        <is>
          <t xml:space="preserve">GN </t>
        </is>
      </c>
      <c r="S510" t="n">
        <v>3</v>
      </c>
      <c r="T510" t="n">
        <v>3</v>
      </c>
      <c r="U510" t="inlineStr">
        <is>
          <t>2006-10-13</t>
        </is>
      </c>
      <c r="V510" t="inlineStr">
        <is>
          <t>2006-10-13</t>
        </is>
      </c>
      <c r="W510" t="inlineStr">
        <is>
          <t>2000-10-12</t>
        </is>
      </c>
      <c r="X510" t="inlineStr">
        <is>
          <t>2000-10-12</t>
        </is>
      </c>
      <c r="Y510" t="n">
        <v>228</v>
      </c>
      <c r="Z510" t="n">
        <v>222</v>
      </c>
      <c r="AA510" t="n">
        <v>228</v>
      </c>
      <c r="AB510" t="n">
        <v>3</v>
      </c>
      <c r="AC510" t="n">
        <v>3</v>
      </c>
      <c r="AD510" t="n">
        <v>11</v>
      </c>
      <c r="AE510" t="n">
        <v>11</v>
      </c>
      <c r="AF510" t="n">
        <v>2</v>
      </c>
      <c r="AG510" t="n">
        <v>2</v>
      </c>
      <c r="AH510" t="n">
        <v>2</v>
      </c>
      <c r="AI510" t="n">
        <v>2</v>
      </c>
      <c r="AJ510" t="n">
        <v>6</v>
      </c>
      <c r="AK510" t="n">
        <v>6</v>
      </c>
      <c r="AL510" t="n">
        <v>2</v>
      </c>
      <c r="AM510" t="n">
        <v>2</v>
      </c>
      <c r="AN510" t="n">
        <v>0</v>
      </c>
      <c r="AO510" t="n">
        <v>0</v>
      </c>
      <c r="AP510" t="inlineStr">
        <is>
          <t>No</t>
        </is>
      </c>
      <c r="AQ510" t="inlineStr">
        <is>
          <t>Yes</t>
        </is>
      </c>
      <c r="AR510">
        <f>HYPERLINK("http://catalog.hathitrust.org/Record/003484024","HathiTrust Record")</f>
        <v/>
      </c>
      <c r="AS510">
        <f>HYPERLINK("https://creighton-primo.hosted.exlibrisgroup.com/primo-explore/search?tab=default_tab&amp;search_scope=EVERYTHING&amp;vid=01CRU&amp;lang=en_US&amp;offset=0&amp;query=any,contains,991003318089702656","Catalog Record")</f>
        <v/>
      </c>
      <c r="AT510">
        <f>HYPERLINK("http://www.worldcat.org/oclc/42811163","WorldCat Record")</f>
        <v/>
      </c>
      <c r="AU510" t="inlineStr">
        <is>
          <t>2452495304:eng</t>
        </is>
      </c>
      <c r="AV510" t="inlineStr">
        <is>
          <t>42811163</t>
        </is>
      </c>
      <c r="AW510" t="inlineStr">
        <is>
          <t>991003318089702656</t>
        </is>
      </c>
      <c r="AX510" t="inlineStr">
        <is>
          <t>991003318089702656</t>
        </is>
      </c>
      <c r="AY510" t="inlineStr">
        <is>
          <t>2263827710002656</t>
        </is>
      </c>
      <c r="AZ510" t="inlineStr">
        <is>
          <t>BOOK</t>
        </is>
      </c>
      <c r="BC510" t="inlineStr">
        <is>
          <t>32285003768081</t>
        </is>
      </c>
      <c r="BD510" t="inlineStr">
        <is>
          <t>893227940</t>
        </is>
      </c>
    </row>
    <row r="511">
      <c r="A511" t="inlineStr">
        <is>
          <t>No</t>
        </is>
      </c>
      <c r="B511" t="inlineStr">
        <is>
          <t>GN21.H27 L35 1975</t>
        </is>
      </c>
      <c r="C511" t="inlineStr">
        <is>
          <t>0                      GN 0021000H  27                 L  35          1975</t>
        </is>
      </c>
      <c r="D511" t="inlineStr">
        <is>
          <t>Encounter with an angry God : recollections of my life with John Peabody Harrington / by Carobeth Laird ; foreword by Harry Lawton ; decorations by Don Perceval.</t>
        </is>
      </c>
      <c r="F511" t="inlineStr">
        <is>
          <t>No</t>
        </is>
      </c>
      <c r="G511" t="inlineStr">
        <is>
          <t>1</t>
        </is>
      </c>
      <c r="H511" t="inlineStr">
        <is>
          <t>No</t>
        </is>
      </c>
      <c r="I511" t="inlineStr">
        <is>
          <t>No</t>
        </is>
      </c>
      <c r="J511" t="inlineStr">
        <is>
          <t>0</t>
        </is>
      </c>
      <c r="K511" t="inlineStr">
        <is>
          <t>Laird, Carobeth, 1895-1983.</t>
        </is>
      </c>
      <c r="L511" t="inlineStr">
        <is>
          <t>Banning, Calif. : Malki Museum Press, 1975.</t>
        </is>
      </c>
      <c r="M511" t="inlineStr">
        <is>
          <t>1975</t>
        </is>
      </c>
      <c r="O511" t="inlineStr">
        <is>
          <t>eng</t>
        </is>
      </c>
      <c r="P511" t="inlineStr">
        <is>
          <t>cau</t>
        </is>
      </c>
      <c r="R511" t="inlineStr">
        <is>
          <t xml:space="preserve">GN </t>
        </is>
      </c>
      <c r="S511" t="n">
        <v>1</v>
      </c>
      <c r="T511" t="n">
        <v>1</v>
      </c>
      <c r="U511" t="inlineStr">
        <is>
          <t>2003-05-29</t>
        </is>
      </c>
      <c r="V511" t="inlineStr">
        <is>
          <t>2003-05-29</t>
        </is>
      </c>
      <c r="W511" t="inlineStr">
        <is>
          <t>2003-05-29</t>
        </is>
      </c>
      <c r="X511" t="inlineStr">
        <is>
          <t>2003-05-29</t>
        </is>
      </c>
      <c r="Y511" t="n">
        <v>389</v>
      </c>
      <c r="Z511" t="n">
        <v>365</v>
      </c>
      <c r="AA511" t="n">
        <v>446</v>
      </c>
      <c r="AB511" t="n">
        <v>5</v>
      </c>
      <c r="AC511" t="n">
        <v>5</v>
      </c>
      <c r="AD511" t="n">
        <v>9</v>
      </c>
      <c r="AE511" t="n">
        <v>11</v>
      </c>
      <c r="AF511" t="n">
        <v>0</v>
      </c>
      <c r="AG511" t="n">
        <v>0</v>
      </c>
      <c r="AH511" t="n">
        <v>2</v>
      </c>
      <c r="AI511" t="n">
        <v>3</v>
      </c>
      <c r="AJ511" t="n">
        <v>5</v>
      </c>
      <c r="AK511" t="n">
        <v>7</v>
      </c>
      <c r="AL511" t="n">
        <v>3</v>
      </c>
      <c r="AM511" t="n">
        <v>3</v>
      </c>
      <c r="AN511" t="n">
        <v>0</v>
      </c>
      <c r="AO511" t="n">
        <v>0</v>
      </c>
      <c r="AP511" t="inlineStr">
        <is>
          <t>No</t>
        </is>
      </c>
      <c r="AQ511" t="inlineStr">
        <is>
          <t>Yes</t>
        </is>
      </c>
      <c r="AR511">
        <f>HYPERLINK("http://catalog.hathitrust.org/Record/002472061","HathiTrust Record")</f>
        <v/>
      </c>
      <c r="AS511">
        <f>HYPERLINK("https://creighton-primo.hosted.exlibrisgroup.com/primo-explore/search?tab=default_tab&amp;search_scope=EVERYTHING&amp;vid=01CRU&amp;lang=en_US&amp;offset=0&amp;query=any,contains,991004066079702656","Catalog Record")</f>
        <v/>
      </c>
      <c r="AT511">
        <f>HYPERLINK("http://www.worldcat.org/oclc/1637690","WorldCat Record")</f>
        <v/>
      </c>
      <c r="AU511" t="inlineStr">
        <is>
          <t>199058728:eng</t>
        </is>
      </c>
      <c r="AV511" t="inlineStr">
        <is>
          <t>1637690</t>
        </is>
      </c>
      <c r="AW511" t="inlineStr">
        <is>
          <t>991004066079702656</t>
        </is>
      </c>
      <c r="AX511" t="inlineStr">
        <is>
          <t>991004066079702656</t>
        </is>
      </c>
      <c r="AY511" t="inlineStr">
        <is>
          <t>2260836750002656</t>
        </is>
      </c>
      <c r="AZ511" t="inlineStr">
        <is>
          <t>BOOK</t>
        </is>
      </c>
      <c r="BC511" t="inlineStr">
        <is>
          <t>32285004749841</t>
        </is>
      </c>
      <c r="BD511" t="inlineStr">
        <is>
          <t>893411086</t>
        </is>
      </c>
    </row>
    <row r="512">
      <c r="A512" t="inlineStr">
        <is>
          <t>No</t>
        </is>
      </c>
      <c r="B512" t="inlineStr">
        <is>
          <t>GN21.H37 L54 2000</t>
        </is>
      </c>
      <c r="C512" t="inlineStr">
        <is>
          <t>0                      GN 0021000H  37                 L  54          2000</t>
        </is>
      </c>
      <c r="D512" t="inlineStr">
        <is>
          <t>A life of learning : Charles Homer Haskins lecture for 2000 / Geoffrey Hartman.</t>
        </is>
      </c>
      <c r="F512" t="inlineStr">
        <is>
          <t>No</t>
        </is>
      </c>
      <c r="G512" t="inlineStr">
        <is>
          <t>1</t>
        </is>
      </c>
      <c r="H512" t="inlineStr">
        <is>
          <t>No</t>
        </is>
      </c>
      <c r="I512" t="inlineStr">
        <is>
          <t>No</t>
        </is>
      </c>
      <c r="J512" t="inlineStr">
        <is>
          <t>0</t>
        </is>
      </c>
      <c r="K512" t="inlineStr">
        <is>
          <t>Hartman, Geoffrey H.</t>
        </is>
      </c>
      <c r="L512" t="inlineStr">
        <is>
          <t>New York : American Council of Learned Societies, c2000.</t>
        </is>
      </c>
      <c r="M512" t="inlineStr">
        <is>
          <t>2000</t>
        </is>
      </c>
      <c r="O512" t="inlineStr">
        <is>
          <t>eng</t>
        </is>
      </c>
      <c r="P512" t="inlineStr">
        <is>
          <t>nyu</t>
        </is>
      </c>
      <c r="Q512" t="inlineStr">
        <is>
          <t>ACLS occasional paper, 1041-536X ; no. 46</t>
        </is>
      </c>
      <c r="R512" t="inlineStr">
        <is>
          <t xml:space="preserve">GN </t>
        </is>
      </c>
      <c r="S512" t="n">
        <v>1</v>
      </c>
      <c r="T512" t="n">
        <v>1</v>
      </c>
      <c r="U512" t="inlineStr">
        <is>
          <t>2000-10-12</t>
        </is>
      </c>
      <c r="V512" t="inlineStr">
        <is>
          <t>2000-10-12</t>
        </is>
      </c>
      <c r="W512" t="inlineStr">
        <is>
          <t>2000-10-12</t>
        </is>
      </c>
      <c r="X512" t="inlineStr">
        <is>
          <t>2000-10-12</t>
        </is>
      </c>
      <c r="Y512" t="n">
        <v>247</v>
      </c>
      <c r="Z512" t="n">
        <v>213</v>
      </c>
      <c r="AA512" t="n">
        <v>214</v>
      </c>
      <c r="AB512" t="n">
        <v>2</v>
      </c>
      <c r="AC512" t="n">
        <v>2</v>
      </c>
      <c r="AD512" t="n">
        <v>12</v>
      </c>
      <c r="AE512" t="n">
        <v>12</v>
      </c>
      <c r="AF512" t="n">
        <v>2</v>
      </c>
      <c r="AG512" t="n">
        <v>2</v>
      </c>
      <c r="AH512" t="n">
        <v>3</v>
      </c>
      <c r="AI512" t="n">
        <v>3</v>
      </c>
      <c r="AJ512" t="n">
        <v>8</v>
      </c>
      <c r="AK512" t="n">
        <v>8</v>
      </c>
      <c r="AL512" t="n">
        <v>1</v>
      </c>
      <c r="AM512" t="n">
        <v>1</v>
      </c>
      <c r="AN512" t="n">
        <v>0</v>
      </c>
      <c r="AO512" t="n">
        <v>0</v>
      </c>
      <c r="AP512" t="inlineStr">
        <is>
          <t>No</t>
        </is>
      </c>
      <c r="AQ512" t="inlineStr">
        <is>
          <t>Yes</t>
        </is>
      </c>
      <c r="AR512">
        <f>HYPERLINK("http://catalog.hathitrust.org/Record/003517932","HathiTrust Record")</f>
        <v/>
      </c>
      <c r="AS512">
        <f>HYPERLINK("https://creighton-primo.hosted.exlibrisgroup.com/primo-explore/search?tab=default_tab&amp;search_scope=EVERYTHING&amp;vid=01CRU&amp;lang=en_US&amp;offset=0&amp;query=any,contains,991003318119702656","Catalog Record")</f>
        <v/>
      </c>
      <c r="AT512">
        <f>HYPERLINK("http://www.worldcat.org/oclc/45118105","WorldCat Record")</f>
        <v/>
      </c>
      <c r="AU512" t="inlineStr">
        <is>
          <t>5218138938:eng</t>
        </is>
      </c>
      <c r="AV512" t="inlineStr">
        <is>
          <t>45118105</t>
        </is>
      </c>
      <c r="AW512" t="inlineStr">
        <is>
          <t>991003318119702656</t>
        </is>
      </c>
      <c r="AX512" t="inlineStr">
        <is>
          <t>991003318119702656</t>
        </is>
      </c>
      <c r="AY512" t="inlineStr">
        <is>
          <t>2268181520002656</t>
        </is>
      </c>
      <c r="AZ512" t="inlineStr">
        <is>
          <t>BOOK</t>
        </is>
      </c>
      <c r="BC512" t="inlineStr">
        <is>
          <t>32285003768099</t>
        </is>
      </c>
      <c r="BD512" t="inlineStr">
        <is>
          <t>893416263</t>
        </is>
      </c>
    </row>
    <row r="513">
      <c r="A513" t="inlineStr">
        <is>
          <t>No</t>
        </is>
      </c>
      <c r="B513" t="inlineStr">
        <is>
          <t>GN21.L4 C48 1987</t>
        </is>
      </c>
      <c r="C513" t="inlineStr">
        <is>
          <t>0                      GN 0021000L  4                  C  48          1987</t>
        </is>
      </c>
      <c r="D513" t="inlineStr">
        <is>
          <t>Claude Lévi-Strauss / by Roland A. Champagne.</t>
        </is>
      </c>
      <c r="F513" t="inlineStr">
        <is>
          <t>No</t>
        </is>
      </c>
      <c r="G513" t="inlineStr">
        <is>
          <t>1</t>
        </is>
      </c>
      <c r="H513" t="inlineStr">
        <is>
          <t>No</t>
        </is>
      </c>
      <c r="I513" t="inlineStr">
        <is>
          <t>No</t>
        </is>
      </c>
      <c r="J513" t="inlineStr">
        <is>
          <t>0</t>
        </is>
      </c>
      <c r="K513" t="inlineStr">
        <is>
          <t>Champagne, Roland A.</t>
        </is>
      </c>
      <c r="L513" t="inlineStr">
        <is>
          <t>Boston, Mass. : Twayne Publishers, c1987.</t>
        </is>
      </c>
      <c r="M513" t="inlineStr">
        <is>
          <t>1987</t>
        </is>
      </c>
      <c r="O513" t="inlineStr">
        <is>
          <t>eng</t>
        </is>
      </c>
      <c r="P513" t="inlineStr">
        <is>
          <t>mau</t>
        </is>
      </c>
      <c r="Q513" t="inlineStr">
        <is>
          <t>Twayne's world authors series ; TWAS 792. French literature</t>
        </is>
      </c>
      <c r="R513" t="inlineStr">
        <is>
          <t xml:space="preserve">GN </t>
        </is>
      </c>
      <c r="S513" t="n">
        <v>5</v>
      </c>
      <c r="T513" t="n">
        <v>5</v>
      </c>
      <c r="U513" t="inlineStr">
        <is>
          <t>2009-03-24</t>
        </is>
      </c>
      <c r="V513" t="inlineStr">
        <is>
          <t>2009-03-24</t>
        </is>
      </c>
      <c r="W513" t="inlineStr">
        <is>
          <t>1990-09-18</t>
        </is>
      </c>
      <c r="X513" t="inlineStr">
        <is>
          <t>1990-09-18</t>
        </is>
      </c>
      <c r="Y513" t="n">
        <v>565</v>
      </c>
      <c r="Z513" t="n">
        <v>488</v>
      </c>
      <c r="AA513" t="n">
        <v>626</v>
      </c>
      <c r="AB513" t="n">
        <v>4</v>
      </c>
      <c r="AC513" t="n">
        <v>6</v>
      </c>
      <c r="AD513" t="n">
        <v>23</v>
      </c>
      <c r="AE513" t="n">
        <v>26</v>
      </c>
      <c r="AF513" t="n">
        <v>8</v>
      </c>
      <c r="AG513" t="n">
        <v>9</v>
      </c>
      <c r="AH513" t="n">
        <v>3</v>
      </c>
      <c r="AI513" t="n">
        <v>3</v>
      </c>
      <c r="AJ513" t="n">
        <v>13</v>
      </c>
      <c r="AK513" t="n">
        <v>13</v>
      </c>
      <c r="AL513" t="n">
        <v>3</v>
      </c>
      <c r="AM513" t="n">
        <v>5</v>
      </c>
      <c r="AN513" t="n">
        <v>0</v>
      </c>
      <c r="AO513" t="n">
        <v>0</v>
      </c>
      <c r="AP513" t="inlineStr">
        <is>
          <t>No</t>
        </is>
      </c>
      <c r="AQ513" t="inlineStr">
        <is>
          <t>Yes</t>
        </is>
      </c>
      <c r="AR513">
        <f>HYPERLINK("http://catalog.hathitrust.org/Record/000845564","HathiTrust Record")</f>
        <v/>
      </c>
      <c r="AS513">
        <f>HYPERLINK("https://creighton-primo.hosted.exlibrisgroup.com/primo-explore/search?tab=default_tab&amp;search_scope=EVERYTHING&amp;vid=01CRU&amp;lang=en_US&amp;offset=0&amp;query=any,contains,991001080459702656","Catalog Record")</f>
        <v/>
      </c>
      <c r="AT513">
        <f>HYPERLINK("http://www.worldcat.org/oclc/16085860","WorldCat Record")</f>
        <v/>
      </c>
      <c r="AU513" t="inlineStr">
        <is>
          <t>3943309001:eng</t>
        </is>
      </c>
      <c r="AV513" t="inlineStr">
        <is>
          <t>16085860</t>
        </is>
      </c>
      <c r="AW513" t="inlineStr">
        <is>
          <t>991001080459702656</t>
        </is>
      </c>
      <c r="AX513" t="inlineStr">
        <is>
          <t>991001080459702656</t>
        </is>
      </c>
      <c r="AY513" t="inlineStr">
        <is>
          <t>2259284800002656</t>
        </is>
      </c>
      <c r="AZ513" t="inlineStr">
        <is>
          <t>BOOK</t>
        </is>
      </c>
      <c r="BB513" t="inlineStr">
        <is>
          <t>9780805766462</t>
        </is>
      </c>
      <c r="BC513" t="inlineStr">
        <is>
          <t>32285000289495</t>
        </is>
      </c>
      <c r="BD513" t="inlineStr">
        <is>
          <t>893261718</t>
        </is>
      </c>
    </row>
    <row r="514">
      <c r="A514" t="inlineStr">
        <is>
          <t>No</t>
        </is>
      </c>
      <c r="B514" t="inlineStr">
        <is>
          <t>GN21.L4 H3</t>
        </is>
      </c>
      <c r="C514" t="inlineStr">
        <is>
          <t>0                      GN 0021000L  4                  H  3</t>
        </is>
      </c>
      <c r="D514" t="inlineStr">
        <is>
          <t>Claude Levi-Strauss : the anthropologist as hero / edited by E. Nelson Hayes and Tanya Hayes.</t>
        </is>
      </c>
      <c r="F514" t="inlineStr">
        <is>
          <t>No</t>
        </is>
      </c>
      <c r="G514" t="inlineStr">
        <is>
          <t>1</t>
        </is>
      </c>
      <c r="H514" t="inlineStr">
        <is>
          <t>No</t>
        </is>
      </c>
      <c r="I514" t="inlineStr">
        <is>
          <t>No</t>
        </is>
      </c>
      <c r="J514" t="inlineStr">
        <is>
          <t>0</t>
        </is>
      </c>
      <c r="K514" t="inlineStr">
        <is>
          <t>Hayes, E. Nelson (Eugene Nelson), 1920- compiler.</t>
        </is>
      </c>
      <c r="L514" t="inlineStr">
        <is>
          <t>Cambridge, Mass. : M.I.T. Press, [1970]</t>
        </is>
      </c>
      <c r="M514" t="inlineStr">
        <is>
          <t>1970</t>
        </is>
      </c>
      <c r="O514" t="inlineStr">
        <is>
          <t>eng</t>
        </is>
      </c>
      <c r="P514" t="inlineStr">
        <is>
          <t>mau</t>
        </is>
      </c>
      <c r="R514" t="inlineStr">
        <is>
          <t xml:space="preserve">GN </t>
        </is>
      </c>
      <c r="S514" t="n">
        <v>8</v>
      </c>
      <c r="T514" t="n">
        <v>8</v>
      </c>
      <c r="U514" t="inlineStr">
        <is>
          <t>2004-04-13</t>
        </is>
      </c>
      <c r="V514" t="inlineStr">
        <is>
          <t>2004-04-13</t>
        </is>
      </c>
      <c r="W514" t="inlineStr">
        <is>
          <t>1990-09-18</t>
        </is>
      </c>
      <c r="X514" t="inlineStr">
        <is>
          <t>1990-09-18</t>
        </is>
      </c>
      <c r="Y514" t="n">
        <v>920</v>
      </c>
      <c r="Z514" t="n">
        <v>754</v>
      </c>
      <c r="AA514" t="n">
        <v>767</v>
      </c>
      <c r="AB514" t="n">
        <v>6</v>
      </c>
      <c r="AC514" t="n">
        <v>6</v>
      </c>
      <c r="AD514" t="n">
        <v>35</v>
      </c>
      <c r="AE514" t="n">
        <v>35</v>
      </c>
      <c r="AF514" t="n">
        <v>13</v>
      </c>
      <c r="AG514" t="n">
        <v>13</v>
      </c>
      <c r="AH514" t="n">
        <v>5</v>
      </c>
      <c r="AI514" t="n">
        <v>5</v>
      </c>
      <c r="AJ514" t="n">
        <v>18</v>
      </c>
      <c r="AK514" t="n">
        <v>18</v>
      </c>
      <c r="AL514" t="n">
        <v>5</v>
      </c>
      <c r="AM514" t="n">
        <v>5</v>
      </c>
      <c r="AN514" t="n">
        <v>0</v>
      </c>
      <c r="AO514" t="n">
        <v>0</v>
      </c>
      <c r="AP514" t="inlineStr">
        <is>
          <t>No</t>
        </is>
      </c>
      <c r="AQ514" t="inlineStr">
        <is>
          <t>Yes</t>
        </is>
      </c>
      <c r="AR514">
        <f>HYPERLINK("http://catalog.hathitrust.org/Record/001273956","HathiTrust Record")</f>
        <v/>
      </c>
      <c r="AS514">
        <f>HYPERLINK("https://creighton-primo.hosted.exlibrisgroup.com/primo-explore/search?tab=default_tab&amp;search_scope=EVERYTHING&amp;vid=01CRU&amp;lang=en_US&amp;offset=0&amp;query=any,contains,991000425409702656","Catalog Record")</f>
        <v/>
      </c>
      <c r="AT514">
        <f>HYPERLINK("http://www.worldcat.org/oclc/74933","WorldCat Record")</f>
        <v/>
      </c>
      <c r="AU514" t="inlineStr">
        <is>
          <t>549544787:eng</t>
        </is>
      </c>
      <c r="AV514" t="inlineStr">
        <is>
          <t>74933</t>
        </is>
      </c>
      <c r="AW514" t="inlineStr">
        <is>
          <t>991000425409702656</t>
        </is>
      </c>
      <c r="AX514" t="inlineStr">
        <is>
          <t>991000425409702656</t>
        </is>
      </c>
      <c r="AY514" t="inlineStr">
        <is>
          <t>2272131390002656</t>
        </is>
      </c>
      <c r="AZ514" t="inlineStr">
        <is>
          <t>BOOK</t>
        </is>
      </c>
      <c r="BB514" t="inlineStr">
        <is>
          <t>9780262580168</t>
        </is>
      </c>
      <c r="BC514" t="inlineStr">
        <is>
          <t>32285000289503</t>
        </is>
      </c>
      <c r="BD514" t="inlineStr">
        <is>
          <t>893802761</t>
        </is>
      </c>
    </row>
    <row r="515">
      <c r="A515" t="inlineStr">
        <is>
          <t>No</t>
        </is>
      </c>
      <c r="B515" t="inlineStr">
        <is>
          <t>GN21.L4 L38 1989</t>
        </is>
      </c>
      <c r="C515" t="inlineStr">
        <is>
          <t>0                      GN 0021000L  4                  L  38          1989</t>
        </is>
      </c>
      <c r="D515" t="inlineStr">
        <is>
          <t>Claude Lévi-Strauss / Edmund Leach.</t>
        </is>
      </c>
      <c r="F515" t="inlineStr">
        <is>
          <t>No</t>
        </is>
      </c>
      <c r="G515" t="inlineStr">
        <is>
          <t>1</t>
        </is>
      </c>
      <c r="H515" t="inlineStr">
        <is>
          <t>No</t>
        </is>
      </c>
      <c r="I515" t="inlineStr">
        <is>
          <t>No</t>
        </is>
      </c>
      <c r="J515" t="inlineStr">
        <is>
          <t>0</t>
        </is>
      </c>
      <c r="K515" t="inlineStr">
        <is>
          <t>Leach, E. R. (Edmund Ronald), 1910-1989.</t>
        </is>
      </c>
      <c r="L515" t="inlineStr">
        <is>
          <t>Chicago : University of Chicago Press, 1989, c1974.</t>
        </is>
      </c>
      <c r="M515" t="inlineStr">
        <is>
          <t>1989</t>
        </is>
      </c>
      <c r="O515" t="inlineStr">
        <is>
          <t>eng</t>
        </is>
      </c>
      <c r="P515" t="inlineStr">
        <is>
          <t>ilu</t>
        </is>
      </c>
      <c r="R515" t="inlineStr">
        <is>
          <t xml:space="preserve">GN </t>
        </is>
      </c>
      <c r="S515" t="n">
        <v>6</v>
      </c>
      <c r="T515" t="n">
        <v>6</v>
      </c>
      <c r="U515" t="inlineStr">
        <is>
          <t>2009-03-24</t>
        </is>
      </c>
      <c r="V515" t="inlineStr">
        <is>
          <t>2009-03-24</t>
        </is>
      </c>
      <c r="W515" t="inlineStr">
        <is>
          <t>1991-01-03</t>
        </is>
      </c>
      <c r="X515" t="inlineStr">
        <is>
          <t>1991-01-03</t>
        </is>
      </c>
      <c r="Y515" t="n">
        <v>190</v>
      </c>
      <c r="Z515" t="n">
        <v>138</v>
      </c>
      <c r="AA515" t="n">
        <v>994</v>
      </c>
      <c r="AB515" t="n">
        <v>1</v>
      </c>
      <c r="AC515" t="n">
        <v>6</v>
      </c>
      <c r="AD515" t="n">
        <v>6</v>
      </c>
      <c r="AE515" t="n">
        <v>40</v>
      </c>
      <c r="AF515" t="n">
        <v>3</v>
      </c>
      <c r="AG515" t="n">
        <v>18</v>
      </c>
      <c r="AH515" t="n">
        <v>3</v>
      </c>
      <c r="AI515" t="n">
        <v>7</v>
      </c>
      <c r="AJ515" t="n">
        <v>3</v>
      </c>
      <c r="AK515" t="n">
        <v>19</v>
      </c>
      <c r="AL515" t="n">
        <v>0</v>
      </c>
      <c r="AM515" t="n">
        <v>4</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HYPERLINK("https://creighton-primo.hosted.exlibrisgroup.com/primo-explore/search?tab=default_tab&amp;search_scope=EVERYTHING&amp;vid=01CRU&amp;lang=en_US&amp;offset=0&amp;query=any,contains,991001547909702656","Catalog Record")</f>
        <v/>
      </c>
      <c r="AT515">
        <f>HYPERLINK("http://www.worldcat.org/oclc/20170788","WorldCat Record")</f>
        <v/>
      </c>
      <c r="AU515" t="inlineStr">
        <is>
          <t>4757660300:eng</t>
        </is>
      </c>
      <c r="AV515" t="inlineStr">
        <is>
          <t>20170788</t>
        </is>
      </c>
      <c r="AW515" t="inlineStr">
        <is>
          <t>991001547909702656</t>
        </is>
      </c>
      <c r="AX515" t="inlineStr">
        <is>
          <t>991001547909702656</t>
        </is>
      </c>
      <c r="AY515" t="inlineStr">
        <is>
          <t>2257581210002656</t>
        </is>
      </c>
      <c r="AZ515" t="inlineStr">
        <is>
          <t>BOOK</t>
        </is>
      </c>
      <c r="BB515" t="inlineStr">
        <is>
          <t>9780226469683</t>
        </is>
      </c>
      <c r="BC515" t="inlineStr">
        <is>
          <t>32285000406800</t>
        </is>
      </c>
      <c r="BD515" t="inlineStr">
        <is>
          <t>893420396</t>
        </is>
      </c>
    </row>
    <row r="516">
      <c r="A516" t="inlineStr">
        <is>
          <t>No</t>
        </is>
      </c>
      <c r="B516" t="inlineStr">
        <is>
          <t>GN21.L4 P23 1983</t>
        </is>
      </c>
      <c r="C516" t="inlineStr">
        <is>
          <t>0                      GN 0021000L  4                  P  23          1983</t>
        </is>
      </c>
      <c r="D516" t="inlineStr">
        <is>
          <t>Claude Lévi-Strauss, the bearer of ashes / David Pace.</t>
        </is>
      </c>
      <c r="F516" t="inlineStr">
        <is>
          <t>No</t>
        </is>
      </c>
      <c r="G516" t="inlineStr">
        <is>
          <t>1</t>
        </is>
      </c>
      <c r="H516" t="inlineStr">
        <is>
          <t>No</t>
        </is>
      </c>
      <c r="I516" t="inlineStr">
        <is>
          <t>No</t>
        </is>
      </c>
      <c r="J516" t="inlineStr">
        <is>
          <t>0</t>
        </is>
      </c>
      <c r="K516" t="inlineStr">
        <is>
          <t>Pace, David.</t>
        </is>
      </c>
      <c r="L516" t="inlineStr">
        <is>
          <t>London ; Boston : Routledge &amp; K. Paul, 1983.</t>
        </is>
      </c>
      <c r="M516" t="inlineStr">
        <is>
          <t>1982</t>
        </is>
      </c>
      <c r="O516" t="inlineStr">
        <is>
          <t>eng</t>
        </is>
      </c>
      <c r="P516" t="inlineStr">
        <is>
          <t>enk</t>
        </is>
      </c>
      <c r="R516" t="inlineStr">
        <is>
          <t xml:space="preserve">GN </t>
        </is>
      </c>
      <c r="S516" t="n">
        <v>2</v>
      </c>
      <c r="T516" t="n">
        <v>2</v>
      </c>
      <c r="U516" t="inlineStr">
        <is>
          <t>2004-04-07</t>
        </is>
      </c>
      <c r="V516" t="inlineStr">
        <is>
          <t>2004-04-07</t>
        </is>
      </c>
      <c r="W516" t="inlineStr">
        <is>
          <t>1990-09-18</t>
        </is>
      </c>
      <c r="X516" t="inlineStr">
        <is>
          <t>1990-09-18</t>
        </is>
      </c>
      <c r="Y516" t="n">
        <v>660</v>
      </c>
      <c r="Z516" t="n">
        <v>507</v>
      </c>
      <c r="AA516" t="n">
        <v>596</v>
      </c>
      <c r="AB516" t="n">
        <v>5</v>
      </c>
      <c r="AC516" t="n">
        <v>5</v>
      </c>
      <c r="AD516" t="n">
        <v>24</v>
      </c>
      <c r="AE516" t="n">
        <v>29</v>
      </c>
      <c r="AF516" t="n">
        <v>9</v>
      </c>
      <c r="AG516" t="n">
        <v>12</v>
      </c>
      <c r="AH516" t="n">
        <v>7</v>
      </c>
      <c r="AI516" t="n">
        <v>7</v>
      </c>
      <c r="AJ516" t="n">
        <v>10</v>
      </c>
      <c r="AK516" t="n">
        <v>15</v>
      </c>
      <c r="AL516" t="n">
        <v>4</v>
      </c>
      <c r="AM516" t="n">
        <v>4</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HYPERLINK("https://creighton-primo.hosted.exlibrisgroup.com/primo-explore/search?tab=default_tab&amp;search_scope=EVERYTHING&amp;vid=01CRU&amp;lang=en_US&amp;offset=0&amp;query=any,contains,991000060599702656","Catalog Record")</f>
        <v/>
      </c>
      <c r="AT516">
        <f>HYPERLINK("http://www.worldcat.org/oclc/8729078","WorldCat Record")</f>
        <v/>
      </c>
      <c r="AU516" t="inlineStr">
        <is>
          <t>3855636856:eng</t>
        </is>
      </c>
      <c r="AV516" t="inlineStr">
        <is>
          <t>8729078</t>
        </is>
      </c>
      <c r="AW516" t="inlineStr">
        <is>
          <t>991000060599702656</t>
        </is>
      </c>
      <c r="AX516" t="inlineStr">
        <is>
          <t>991000060599702656</t>
        </is>
      </c>
      <c r="AY516" t="inlineStr">
        <is>
          <t>2269704410002656</t>
        </is>
      </c>
      <c r="AZ516" t="inlineStr">
        <is>
          <t>BOOK</t>
        </is>
      </c>
      <c r="BB516" t="inlineStr">
        <is>
          <t>9780710092977</t>
        </is>
      </c>
      <c r="BC516" t="inlineStr">
        <is>
          <t>32285000289511</t>
        </is>
      </c>
      <c r="BD516" t="inlineStr">
        <is>
          <t>893777644</t>
        </is>
      </c>
    </row>
    <row r="517">
      <c r="A517" t="inlineStr">
        <is>
          <t>No</t>
        </is>
      </c>
      <c r="B517" t="inlineStr">
        <is>
          <t>GN21.L4 P3 1975</t>
        </is>
      </c>
      <c r="C517" t="inlineStr">
        <is>
          <t>0                      GN 0021000L  4                  P  3           1975</t>
        </is>
      </c>
      <c r="D517" t="inlineStr">
        <is>
          <t>Claude Lévi-Strauss o el nuevo festín de Esopo / Octavio Paz.</t>
        </is>
      </c>
      <c r="F517" t="inlineStr">
        <is>
          <t>No</t>
        </is>
      </c>
      <c r="G517" t="inlineStr">
        <is>
          <t>1</t>
        </is>
      </c>
      <c r="H517" t="inlineStr">
        <is>
          <t>No</t>
        </is>
      </c>
      <c r="I517" t="inlineStr">
        <is>
          <t>No</t>
        </is>
      </c>
      <c r="J517" t="inlineStr">
        <is>
          <t>0</t>
        </is>
      </c>
      <c r="K517" t="inlineStr">
        <is>
          <t>Paz, Octavio, 1914-1998.</t>
        </is>
      </c>
      <c r="L517" t="inlineStr">
        <is>
          <t>México : J. Mortiz, 1975.</t>
        </is>
      </c>
      <c r="M517" t="inlineStr">
        <is>
          <t>1975</t>
        </is>
      </c>
      <c r="N517" t="inlineStr">
        <is>
          <t>4. ed.</t>
        </is>
      </c>
      <c r="O517" t="inlineStr">
        <is>
          <t>spa</t>
        </is>
      </c>
      <c r="P517" t="inlineStr">
        <is>
          <t xml:space="preserve">mx </t>
        </is>
      </c>
      <c r="Q517" t="inlineStr">
        <is>
          <t>Serie del volador</t>
        </is>
      </c>
      <c r="R517" t="inlineStr">
        <is>
          <t xml:space="preserve">GN </t>
        </is>
      </c>
      <c r="S517" t="n">
        <v>2</v>
      </c>
      <c r="T517" t="n">
        <v>2</v>
      </c>
      <c r="U517" t="inlineStr">
        <is>
          <t>2001-11-14</t>
        </is>
      </c>
      <c r="V517" t="inlineStr">
        <is>
          <t>2001-11-14</t>
        </is>
      </c>
      <c r="W517" t="inlineStr">
        <is>
          <t>2001-11-13</t>
        </is>
      </c>
      <c r="X517" t="inlineStr">
        <is>
          <t>2001-11-13</t>
        </is>
      </c>
      <c r="Y517" t="n">
        <v>32</v>
      </c>
      <c r="Z517" t="n">
        <v>28</v>
      </c>
      <c r="AA517" t="n">
        <v>217</v>
      </c>
      <c r="AB517" t="n">
        <v>1</v>
      </c>
      <c r="AC517" t="n">
        <v>1</v>
      </c>
      <c r="AD517" t="n">
        <v>0</v>
      </c>
      <c r="AE517" t="n">
        <v>7</v>
      </c>
      <c r="AF517" t="n">
        <v>0</v>
      </c>
      <c r="AG517" t="n">
        <v>1</v>
      </c>
      <c r="AH517" t="n">
        <v>0</v>
      </c>
      <c r="AI517" t="n">
        <v>4</v>
      </c>
      <c r="AJ517" t="n">
        <v>0</v>
      </c>
      <c r="AK517" t="n">
        <v>5</v>
      </c>
      <c r="AL517" t="n">
        <v>0</v>
      </c>
      <c r="AM517" t="n">
        <v>0</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HYPERLINK("https://creighton-primo.hosted.exlibrisgroup.com/primo-explore/search?tab=default_tab&amp;search_scope=EVERYTHING&amp;vid=01CRU&amp;lang=en_US&amp;offset=0&amp;query=any,contains,991003678139702656","Catalog Record")</f>
        <v/>
      </c>
      <c r="AT517">
        <f>HYPERLINK("http://www.worldcat.org/oclc/2660213","WorldCat Record")</f>
        <v/>
      </c>
      <c r="AU517" t="inlineStr">
        <is>
          <t>68829503:spa</t>
        </is>
      </c>
      <c r="AV517" t="inlineStr">
        <is>
          <t>2660213</t>
        </is>
      </c>
      <c r="AW517" t="inlineStr">
        <is>
          <t>991003678139702656</t>
        </is>
      </c>
      <c r="AX517" t="inlineStr">
        <is>
          <t>991003678139702656</t>
        </is>
      </c>
      <c r="AY517" t="inlineStr">
        <is>
          <t>2262070840002656</t>
        </is>
      </c>
      <c r="AZ517" t="inlineStr">
        <is>
          <t>BOOK</t>
        </is>
      </c>
      <c r="BC517" t="inlineStr">
        <is>
          <t>32285004411327</t>
        </is>
      </c>
      <c r="BD517" t="inlineStr">
        <is>
          <t>893722063</t>
        </is>
      </c>
    </row>
    <row r="518">
      <c r="A518" t="inlineStr">
        <is>
          <t>No</t>
        </is>
      </c>
      <c r="B518" t="inlineStr">
        <is>
          <t>GN21.L4 P313</t>
        </is>
      </c>
      <c r="C518" t="inlineStr">
        <is>
          <t>0                      GN 0021000L  4                  P  313</t>
        </is>
      </c>
      <c r="D518" t="inlineStr">
        <is>
          <t>Claude Lévi-Strauss; an introduction. Translated from the Spanish by J. S. Bernstein and Maxine Bernstein.</t>
        </is>
      </c>
      <c r="F518" t="inlineStr">
        <is>
          <t>No</t>
        </is>
      </c>
      <c r="G518" t="inlineStr">
        <is>
          <t>1</t>
        </is>
      </c>
      <c r="H518" t="inlineStr">
        <is>
          <t>No</t>
        </is>
      </c>
      <c r="I518" t="inlineStr">
        <is>
          <t>No</t>
        </is>
      </c>
      <c r="J518" t="inlineStr">
        <is>
          <t>0</t>
        </is>
      </c>
      <c r="K518" t="inlineStr">
        <is>
          <t>Paz, Octavio, 1914-1998.</t>
        </is>
      </c>
      <c r="L518" t="inlineStr">
        <is>
          <t>Ithaca, Cornell University Press [1970]</t>
        </is>
      </c>
      <c r="M518" t="inlineStr">
        <is>
          <t>1970</t>
        </is>
      </c>
      <c r="O518" t="inlineStr">
        <is>
          <t>eng</t>
        </is>
      </c>
      <c r="P518" t="inlineStr">
        <is>
          <t>nyu</t>
        </is>
      </c>
      <c r="R518" t="inlineStr">
        <is>
          <t xml:space="preserve">GN </t>
        </is>
      </c>
      <c r="S518" t="n">
        <v>4</v>
      </c>
      <c r="T518" t="n">
        <v>4</v>
      </c>
      <c r="U518" t="inlineStr">
        <is>
          <t>2009-03-24</t>
        </is>
      </c>
      <c r="V518" t="inlineStr">
        <is>
          <t>2009-03-24</t>
        </is>
      </c>
      <c r="W518" t="inlineStr">
        <is>
          <t>1997-05-27</t>
        </is>
      </c>
      <c r="X518" t="inlineStr">
        <is>
          <t>1997-05-27</t>
        </is>
      </c>
      <c r="Y518" t="n">
        <v>780</v>
      </c>
      <c r="Z518" t="n">
        <v>677</v>
      </c>
      <c r="AA518" t="n">
        <v>746</v>
      </c>
      <c r="AB518" t="n">
        <v>4</v>
      </c>
      <c r="AC518" t="n">
        <v>4</v>
      </c>
      <c r="AD518" t="n">
        <v>29</v>
      </c>
      <c r="AE518" t="n">
        <v>31</v>
      </c>
      <c r="AF518" t="n">
        <v>10</v>
      </c>
      <c r="AG518" t="n">
        <v>12</v>
      </c>
      <c r="AH518" t="n">
        <v>8</v>
      </c>
      <c r="AI518" t="n">
        <v>8</v>
      </c>
      <c r="AJ518" t="n">
        <v>19</v>
      </c>
      <c r="AK518" t="n">
        <v>20</v>
      </c>
      <c r="AL518" t="n">
        <v>2</v>
      </c>
      <c r="AM518" t="n">
        <v>2</v>
      </c>
      <c r="AN518" t="n">
        <v>0</v>
      </c>
      <c r="AO518" t="n">
        <v>0</v>
      </c>
      <c r="AP518" t="inlineStr">
        <is>
          <t>No</t>
        </is>
      </c>
      <c r="AQ518" t="inlineStr">
        <is>
          <t>Yes</t>
        </is>
      </c>
      <c r="AR518">
        <f>HYPERLINK("http://catalog.hathitrust.org/Record/001273962","HathiTrust Record")</f>
        <v/>
      </c>
      <c r="AS518">
        <f>HYPERLINK("https://creighton-primo.hosted.exlibrisgroup.com/primo-explore/search?tab=default_tab&amp;search_scope=EVERYTHING&amp;vid=01CRU&amp;lang=en_US&amp;offset=0&amp;query=any,contains,991000523589702656","Catalog Record")</f>
        <v/>
      </c>
      <c r="AT518">
        <f>HYPERLINK("http://www.worldcat.org/oclc/88737","WorldCat Record")</f>
        <v/>
      </c>
      <c r="AU518" t="inlineStr">
        <is>
          <t>68829503:eng</t>
        </is>
      </c>
      <c r="AV518" t="inlineStr">
        <is>
          <t>88737</t>
        </is>
      </c>
      <c r="AW518" t="inlineStr">
        <is>
          <t>991000523589702656</t>
        </is>
      </c>
      <c r="AX518" t="inlineStr">
        <is>
          <t>991000523589702656</t>
        </is>
      </c>
      <c r="AY518" t="inlineStr">
        <is>
          <t>2269444210002656</t>
        </is>
      </c>
      <c r="AZ518" t="inlineStr">
        <is>
          <t>BOOK</t>
        </is>
      </c>
      <c r="BB518" t="inlineStr">
        <is>
          <t>9780801405761</t>
        </is>
      </c>
      <c r="BC518" t="inlineStr">
        <is>
          <t>32285002694429</t>
        </is>
      </c>
      <c r="BD518" t="inlineStr">
        <is>
          <t>893419540</t>
        </is>
      </c>
    </row>
    <row r="519">
      <c r="A519" t="inlineStr">
        <is>
          <t>No</t>
        </is>
      </c>
      <c r="B519" t="inlineStr">
        <is>
          <t>GN21.M25 A4 1995</t>
        </is>
      </c>
      <c r="C519" t="inlineStr">
        <is>
          <t>0                      GN 0021000M  25                 A  4           1995</t>
        </is>
      </c>
      <c r="D519" t="inlineStr">
        <is>
          <t>The story of a marriage : the letters of Bronislaw Malinowski and Elsie Masson / edited by Helena Wayne.</t>
        </is>
      </c>
      <c r="E519" t="inlineStr">
        <is>
          <t>V. 1</t>
        </is>
      </c>
      <c r="F519" t="inlineStr">
        <is>
          <t>Yes</t>
        </is>
      </c>
      <c r="G519" t="inlineStr">
        <is>
          <t>1</t>
        </is>
      </c>
      <c r="H519" t="inlineStr">
        <is>
          <t>No</t>
        </is>
      </c>
      <c r="I519" t="inlineStr">
        <is>
          <t>No</t>
        </is>
      </c>
      <c r="J519" t="inlineStr">
        <is>
          <t>0</t>
        </is>
      </c>
      <c r="K519" t="inlineStr">
        <is>
          <t>Malinowski, Bronislaw, 1884-1942.</t>
        </is>
      </c>
      <c r="L519" t="inlineStr">
        <is>
          <t>London ; New York : Routledge, 1995.</t>
        </is>
      </c>
      <c r="M519" t="inlineStr">
        <is>
          <t>1995</t>
        </is>
      </c>
      <c r="O519" t="inlineStr">
        <is>
          <t>eng</t>
        </is>
      </c>
      <c r="P519" t="inlineStr">
        <is>
          <t>enk</t>
        </is>
      </c>
      <c r="R519" t="inlineStr">
        <is>
          <t xml:space="preserve">GN </t>
        </is>
      </c>
      <c r="S519" t="n">
        <v>1</v>
      </c>
      <c r="T519" t="n">
        <v>1</v>
      </c>
      <c r="U519" t="inlineStr">
        <is>
          <t>2004-09-16</t>
        </is>
      </c>
      <c r="V519" t="inlineStr">
        <is>
          <t>2004-09-16</t>
        </is>
      </c>
      <c r="W519" t="inlineStr">
        <is>
          <t>2004-09-16</t>
        </is>
      </c>
      <c r="X519" t="inlineStr">
        <is>
          <t>2004-09-16</t>
        </is>
      </c>
      <c r="Y519" t="n">
        <v>309</v>
      </c>
      <c r="Z519" t="n">
        <v>232</v>
      </c>
      <c r="AA519" t="n">
        <v>726</v>
      </c>
      <c r="AB519" t="n">
        <v>1</v>
      </c>
      <c r="AC519" t="n">
        <v>12</v>
      </c>
      <c r="AD519" t="n">
        <v>9</v>
      </c>
      <c r="AE519" t="n">
        <v>32</v>
      </c>
      <c r="AF519" t="n">
        <v>2</v>
      </c>
      <c r="AG519" t="n">
        <v>8</v>
      </c>
      <c r="AH519" t="n">
        <v>4</v>
      </c>
      <c r="AI519" t="n">
        <v>8</v>
      </c>
      <c r="AJ519" t="n">
        <v>6</v>
      </c>
      <c r="AK519" t="n">
        <v>10</v>
      </c>
      <c r="AL519" t="n">
        <v>0</v>
      </c>
      <c r="AM519" t="n">
        <v>10</v>
      </c>
      <c r="AN519" t="n">
        <v>0</v>
      </c>
      <c r="AO519" t="n">
        <v>1</v>
      </c>
      <c r="AP519" t="inlineStr">
        <is>
          <t>No</t>
        </is>
      </c>
      <c r="AQ519" t="inlineStr">
        <is>
          <t>No</t>
        </is>
      </c>
      <c r="AS519">
        <f>HYPERLINK("https://creighton-primo.hosted.exlibrisgroup.com/primo-explore/search?tab=default_tab&amp;search_scope=EVERYTHING&amp;vid=01CRU&amp;lang=en_US&amp;offset=0&amp;query=any,contains,991004365019702656","Catalog Record")</f>
        <v/>
      </c>
      <c r="AT519">
        <f>HYPERLINK("http://www.worldcat.org/oclc/30436842","WorldCat Record")</f>
        <v/>
      </c>
      <c r="AU519" t="inlineStr">
        <is>
          <t>9415467968:eng</t>
        </is>
      </c>
      <c r="AV519" t="inlineStr">
        <is>
          <t>30436842</t>
        </is>
      </c>
      <c r="AW519" t="inlineStr">
        <is>
          <t>991004365019702656</t>
        </is>
      </c>
      <c r="AX519" t="inlineStr">
        <is>
          <t>991004365019702656</t>
        </is>
      </c>
      <c r="AY519" t="inlineStr">
        <is>
          <t>2259361930002656</t>
        </is>
      </c>
      <c r="AZ519" t="inlineStr">
        <is>
          <t>BOOK</t>
        </is>
      </c>
      <c r="BB519" t="inlineStr">
        <is>
          <t>9780415117586</t>
        </is>
      </c>
      <c r="BC519" t="inlineStr">
        <is>
          <t>32285004987771</t>
        </is>
      </c>
      <c r="BD519" t="inlineStr">
        <is>
          <t>893800893</t>
        </is>
      </c>
    </row>
    <row r="520">
      <c r="A520" t="inlineStr">
        <is>
          <t>No</t>
        </is>
      </c>
      <c r="B520" t="inlineStr">
        <is>
          <t>GN21.M36 G76 1988</t>
        </is>
      </c>
      <c r="C520" t="inlineStr">
        <is>
          <t>0                      GN 0021000M  36                 G  76          1988</t>
        </is>
      </c>
      <c r="D520" t="inlineStr">
        <is>
          <t>Margaret Mead / Phyllis Grosskurth.</t>
        </is>
      </c>
      <c r="F520" t="inlineStr">
        <is>
          <t>No</t>
        </is>
      </c>
      <c r="G520" t="inlineStr">
        <is>
          <t>1</t>
        </is>
      </c>
      <c r="H520" t="inlineStr">
        <is>
          <t>No</t>
        </is>
      </c>
      <c r="I520" t="inlineStr">
        <is>
          <t>No</t>
        </is>
      </c>
      <c r="J520" t="inlineStr">
        <is>
          <t>0</t>
        </is>
      </c>
      <c r="K520" t="inlineStr">
        <is>
          <t>Grosskurth, Phyllis.</t>
        </is>
      </c>
      <c r="L520" t="inlineStr">
        <is>
          <t>Harmondsworth : Penguin, 1988.</t>
        </is>
      </c>
      <c r="M520" t="inlineStr">
        <is>
          <t>1988</t>
        </is>
      </c>
      <c r="O520" t="inlineStr">
        <is>
          <t>eng</t>
        </is>
      </c>
      <c r="P520" t="inlineStr">
        <is>
          <t>enk</t>
        </is>
      </c>
      <c r="Q520" t="inlineStr">
        <is>
          <t>Lives of modern women</t>
        </is>
      </c>
      <c r="R520" t="inlineStr">
        <is>
          <t xml:space="preserve">GN </t>
        </is>
      </c>
      <c r="S520" t="n">
        <v>2</v>
      </c>
      <c r="T520" t="n">
        <v>2</v>
      </c>
      <c r="U520" t="inlineStr">
        <is>
          <t>2006-05-25</t>
        </is>
      </c>
      <c r="V520" t="inlineStr">
        <is>
          <t>2006-05-25</t>
        </is>
      </c>
      <c r="W520" t="inlineStr">
        <is>
          <t>1990-01-18</t>
        </is>
      </c>
      <c r="X520" t="inlineStr">
        <is>
          <t>1990-01-18</t>
        </is>
      </c>
      <c r="Y520" t="n">
        <v>293</v>
      </c>
      <c r="Z520" t="n">
        <v>202</v>
      </c>
      <c r="AA520" t="n">
        <v>213</v>
      </c>
      <c r="AB520" t="n">
        <v>3</v>
      </c>
      <c r="AC520" t="n">
        <v>3</v>
      </c>
      <c r="AD520" t="n">
        <v>7</v>
      </c>
      <c r="AE520" t="n">
        <v>7</v>
      </c>
      <c r="AF520" t="n">
        <v>1</v>
      </c>
      <c r="AG520" t="n">
        <v>1</v>
      </c>
      <c r="AH520" t="n">
        <v>3</v>
      </c>
      <c r="AI520" t="n">
        <v>3</v>
      </c>
      <c r="AJ520" t="n">
        <v>5</v>
      </c>
      <c r="AK520" t="n">
        <v>5</v>
      </c>
      <c r="AL520" t="n">
        <v>1</v>
      </c>
      <c r="AM520" t="n">
        <v>1</v>
      </c>
      <c r="AN520" t="n">
        <v>0</v>
      </c>
      <c r="AO520" t="n">
        <v>0</v>
      </c>
      <c r="AP520" t="inlineStr">
        <is>
          <t>No</t>
        </is>
      </c>
      <c r="AQ520" t="inlineStr">
        <is>
          <t>Yes</t>
        </is>
      </c>
      <c r="AR520">
        <f>HYPERLINK("http://catalog.hathitrust.org/Record/007107615","HathiTrust Record")</f>
        <v/>
      </c>
      <c r="AS520">
        <f>HYPERLINK("https://creighton-primo.hosted.exlibrisgroup.com/primo-explore/search?tab=default_tab&amp;search_scope=EVERYTHING&amp;vid=01CRU&amp;lang=en_US&amp;offset=0&amp;query=any,contains,991001468379702656","Catalog Record")</f>
        <v/>
      </c>
      <c r="AT520">
        <f>HYPERLINK("http://www.worldcat.org/oclc/24246879","WorldCat Record")</f>
        <v/>
      </c>
      <c r="AU520" t="inlineStr">
        <is>
          <t>27306491:eng</t>
        </is>
      </c>
      <c r="AV520" t="inlineStr">
        <is>
          <t>24246879</t>
        </is>
      </c>
      <c r="AW520" t="inlineStr">
        <is>
          <t>991001468379702656</t>
        </is>
      </c>
      <c r="AX520" t="inlineStr">
        <is>
          <t>991001468379702656</t>
        </is>
      </c>
      <c r="AY520" t="inlineStr">
        <is>
          <t>2258366690002656</t>
        </is>
      </c>
      <c r="AZ520" t="inlineStr">
        <is>
          <t>BOOK</t>
        </is>
      </c>
      <c r="BB520" t="inlineStr">
        <is>
          <t>9780140087604</t>
        </is>
      </c>
      <c r="BC520" t="inlineStr">
        <is>
          <t>32285000029602</t>
        </is>
      </c>
      <c r="BD520" t="inlineStr">
        <is>
          <t>893432876</t>
        </is>
      </c>
    </row>
    <row r="521">
      <c r="A521" t="inlineStr">
        <is>
          <t>No</t>
        </is>
      </c>
      <c r="B521" t="inlineStr">
        <is>
          <t>GN21.M36 H69 1984</t>
        </is>
      </c>
      <c r="C521" t="inlineStr">
        <is>
          <t>0                      GN 0021000M  36                 H  69          1984</t>
        </is>
      </c>
      <c r="D521" t="inlineStr">
        <is>
          <t>Margaret Mead, a life / Jane Howard.</t>
        </is>
      </c>
      <c r="F521" t="inlineStr">
        <is>
          <t>No</t>
        </is>
      </c>
      <c r="G521" t="inlineStr">
        <is>
          <t>1</t>
        </is>
      </c>
      <c r="H521" t="inlineStr">
        <is>
          <t>No</t>
        </is>
      </c>
      <c r="I521" t="inlineStr">
        <is>
          <t>No</t>
        </is>
      </c>
      <c r="J521" t="inlineStr">
        <is>
          <t>0</t>
        </is>
      </c>
      <c r="K521" t="inlineStr">
        <is>
          <t>Howard, Jane, 1951-</t>
        </is>
      </c>
      <c r="L521" t="inlineStr">
        <is>
          <t>New York : Simon and Schuster, c1984.</t>
        </is>
      </c>
      <c r="M521" t="inlineStr">
        <is>
          <t>1984</t>
        </is>
      </c>
      <c r="O521" t="inlineStr">
        <is>
          <t>eng</t>
        </is>
      </c>
      <c r="P521" t="inlineStr">
        <is>
          <t>nyu</t>
        </is>
      </c>
      <c r="R521" t="inlineStr">
        <is>
          <t xml:space="preserve">GN </t>
        </is>
      </c>
      <c r="S521" t="n">
        <v>3</v>
      </c>
      <c r="T521" t="n">
        <v>3</v>
      </c>
      <c r="U521" t="inlineStr">
        <is>
          <t>2006-05-25</t>
        </is>
      </c>
      <c r="V521" t="inlineStr">
        <is>
          <t>2006-05-25</t>
        </is>
      </c>
      <c r="W521" t="inlineStr">
        <is>
          <t>1990-06-06</t>
        </is>
      </c>
      <c r="X521" t="inlineStr">
        <is>
          <t>1990-06-06</t>
        </is>
      </c>
      <c r="Y521" t="n">
        <v>1954</v>
      </c>
      <c r="Z521" t="n">
        <v>1745</v>
      </c>
      <c r="AA521" t="n">
        <v>1891</v>
      </c>
      <c r="AB521" t="n">
        <v>14</v>
      </c>
      <c r="AC521" t="n">
        <v>16</v>
      </c>
      <c r="AD521" t="n">
        <v>50</v>
      </c>
      <c r="AE521" t="n">
        <v>55</v>
      </c>
      <c r="AF521" t="n">
        <v>22</v>
      </c>
      <c r="AG521" t="n">
        <v>24</v>
      </c>
      <c r="AH521" t="n">
        <v>9</v>
      </c>
      <c r="AI521" t="n">
        <v>10</v>
      </c>
      <c r="AJ521" t="n">
        <v>21</v>
      </c>
      <c r="AK521" t="n">
        <v>23</v>
      </c>
      <c r="AL521" t="n">
        <v>9</v>
      </c>
      <c r="AM521" t="n">
        <v>11</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HYPERLINK("https://creighton-primo.hosted.exlibrisgroup.com/primo-explore/search?tab=default_tab&amp;search_scope=EVERYTHING&amp;vid=01CRU&amp;lang=en_US&amp;offset=0&amp;query=any,contains,991000426999702656","Catalog Record")</f>
        <v/>
      </c>
      <c r="AT521">
        <f>HYPERLINK("http://www.worldcat.org/oclc/10754155","WorldCat Record")</f>
        <v/>
      </c>
      <c r="AU521" t="inlineStr">
        <is>
          <t>2979822:eng</t>
        </is>
      </c>
      <c r="AV521" t="inlineStr">
        <is>
          <t>10754155</t>
        </is>
      </c>
      <c r="AW521" t="inlineStr">
        <is>
          <t>991000426999702656</t>
        </is>
      </c>
      <c r="AX521" t="inlineStr">
        <is>
          <t>991000426999702656</t>
        </is>
      </c>
      <c r="AY521" t="inlineStr">
        <is>
          <t>2268223500002656</t>
        </is>
      </c>
      <c r="AZ521" t="inlineStr">
        <is>
          <t>BOOK</t>
        </is>
      </c>
      <c r="BB521" t="inlineStr">
        <is>
          <t>9780671252250</t>
        </is>
      </c>
      <c r="BC521" t="inlineStr">
        <is>
          <t>32285000182625</t>
        </is>
      </c>
      <c r="BD521" t="inlineStr">
        <is>
          <t>893345646</t>
        </is>
      </c>
    </row>
    <row r="522">
      <c r="A522" t="inlineStr">
        <is>
          <t>No</t>
        </is>
      </c>
      <c r="B522" t="inlineStr">
        <is>
          <t>GN235 .H86 1988</t>
        </is>
      </c>
      <c r="C522" t="inlineStr">
        <is>
          <t>0                      GN 0235000H  86          1988</t>
        </is>
      </c>
      <c r="D522" t="inlineStr">
        <is>
          <t>Human mating patterns / edited by C.G.N. Mascie-Taylor, A.J. Boyce.</t>
        </is>
      </c>
      <c r="F522" t="inlineStr">
        <is>
          <t>No</t>
        </is>
      </c>
      <c r="G522" t="inlineStr">
        <is>
          <t>1</t>
        </is>
      </c>
      <c r="H522" t="inlineStr">
        <is>
          <t>No</t>
        </is>
      </c>
      <c r="I522" t="inlineStr">
        <is>
          <t>No</t>
        </is>
      </c>
      <c r="J522" t="inlineStr">
        <is>
          <t>0</t>
        </is>
      </c>
      <c r="L522" t="inlineStr">
        <is>
          <t>Cambridge [England] ; New York : Cambridge University Press, 1988.</t>
        </is>
      </c>
      <c r="M522" t="inlineStr">
        <is>
          <t>1988</t>
        </is>
      </c>
      <c r="O522" t="inlineStr">
        <is>
          <t>eng</t>
        </is>
      </c>
      <c r="P522" t="inlineStr">
        <is>
          <t>enk</t>
        </is>
      </c>
      <c r="Q522" t="inlineStr">
        <is>
          <t>Society for the Study of Human Biology symposium series ; 28</t>
        </is>
      </c>
      <c r="R522" t="inlineStr">
        <is>
          <t xml:space="preserve">GN </t>
        </is>
      </c>
      <c r="S522" t="n">
        <v>5</v>
      </c>
      <c r="T522" t="n">
        <v>5</v>
      </c>
      <c r="U522" t="inlineStr">
        <is>
          <t>2005-10-05</t>
        </is>
      </c>
      <c r="V522" t="inlineStr">
        <is>
          <t>2005-10-05</t>
        </is>
      </c>
      <c r="W522" t="inlineStr">
        <is>
          <t>1990-03-15</t>
        </is>
      </c>
      <c r="X522" t="inlineStr">
        <is>
          <t>1990-03-15</t>
        </is>
      </c>
      <c r="Y522" t="n">
        <v>324</v>
      </c>
      <c r="Z522" t="n">
        <v>229</v>
      </c>
      <c r="AA522" t="n">
        <v>236</v>
      </c>
      <c r="AB522" t="n">
        <v>2</v>
      </c>
      <c r="AC522" t="n">
        <v>2</v>
      </c>
      <c r="AD522" t="n">
        <v>8</v>
      </c>
      <c r="AE522" t="n">
        <v>8</v>
      </c>
      <c r="AF522" t="n">
        <v>2</v>
      </c>
      <c r="AG522" t="n">
        <v>2</v>
      </c>
      <c r="AH522" t="n">
        <v>4</v>
      </c>
      <c r="AI522" t="n">
        <v>4</v>
      </c>
      <c r="AJ522" t="n">
        <v>3</v>
      </c>
      <c r="AK522" t="n">
        <v>3</v>
      </c>
      <c r="AL522" t="n">
        <v>1</v>
      </c>
      <c r="AM522" t="n">
        <v>1</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HYPERLINK("https://creighton-primo.hosted.exlibrisgroup.com/primo-explore/search?tab=default_tab&amp;search_scope=EVERYTHING&amp;vid=01CRU&amp;lang=en_US&amp;offset=0&amp;query=any,contains,991001355089702656","Catalog Record")</f>
        <v/>
      </c>
      <c r="AT522">
        <f>HYPERLINK("http://www.worldcat.org/oclc/18464420","WorldCat Record")</f>
        <v/>
      </c>
      <c r="AU522" t="inlineStr">
        <is>
          <t>5218181434:eng</t>
        </is>
      </c>
      <c r="AV522" t="inlineStr">
        <is>
          <t>18464420</t>
        </is>
      </c>
      <c r="AW522" t="inlineStr">
        <is>
          <t>991001355089702656</t>
        </is>
      </c>
      <c r="AX522" t="inlineStr">
        <is>
          <t>991001355089702656</t>
        </is>
      </c>
      <c r="AY522" t="inlineStr">
        <is>
          <t>2268977870002656</t>
        </is>
      </c>
      <c r="AZ522" t="inlineStr">
        <is>
          <t>BOOK</t>
        </is>
      </c>
      <c r="BB522" t="inlineStr">
        <is>
          <t>9780521334327</t>
        </is>
      </c>
      <c r="BC522" t="inlineStr">
        <is>
          <t>32285000063742</t>
        </is>
      </c>
      <c r="BD522" t="inlineStr">
        <is>
          <t>893509565</t>
        </is>
      </c>
    </row>
    <row r="523">
      <c r="A523" t="inlineStr">
        <is>
          <t>No</t>
        </is>
      </c>
      <c r="B523" t="inlineStr">
        <is>
          <t>GN24 .C3</t>
        </is>
      </c>
      <c r="C523" t="inlineStr">
        <is>
          <t>0                      GN 0024000C  3</t>
        </is>
      </c>
      <c r="D523" t="inlineStr">
        <is>
          <t>Man, the unknown / by Alexis Carrel.</t>
        </is>
      </c>
      <c r="F523" t="inlineStr">
        <is>
          <t>No</t>
        </is>
      </c>
      <c r="G523" t="inlineStr">
        <is>
          <t>1</t>
        </is>
      </c>
      <c r="H523" t="inlineStr">
        <is>
          <t>No</t>
        </is>
      </c>
      <c r="I523" t="inlineStr">
        <is>
          <t>No</t>
        </is>
      </c>
      <c r="J523" t="inlineStr">
        <is>
          <t>0</t>
        </is>
      </c>
      <c r="K523" t="inlineStr">
        <is>
          <t>Carrel, Alexis, 1873-1944.</t>
        </is>
      </c>
      <c r="L523" t="inlineStr">
        <is>
          <t>New York ; London : Harper &amp; Brothers, 1935.</t>
        </is>
      </c>
      <c r="M523" t="inlineStr">
        <is>
          <t>1935</t>
        </is>
      </c>
      <c r="N523" t="inlineStr">
        <is>
          <t>Third edition.</t>
        </is>
      </c>
      <c r="O523" t="inlineStr">
        <is>
          <t>eng</t>
        </is>
      </c>
      <c r="P523" t="inlineStr">
        <is>
          <t>nyu</t>
        </is>
      </c>
      <c r="R523" t="inlineStr">
        <is>
          <t xml:space="preserve">GN </t>
        </is>
      </c>
      <c r="S523" t="n">
        <v>3</v>
      </c>
      <c r="T523" t="n">
        <v>3</v>
      </c>
      <c r="U523" t="inlineStr">
        <is>
          <t>2003-04-01</t>
        </is>
      </c>
      <c r="V523" t="inlineStr">
        <is>
          <t>2003-04-01</t>
        </is>
      </c>
      <c r="W523" t="inlineStr">
        <is>
          <t>1992-02-10</t>
        </is>
      </c>
      <c r="X523" t="inlineStr">
        <is>
          <t>1992-02-10</t>
        </is>
      </c>
      <c r="Y523" t="n">
        <v>72</v>
      </c>
      <c r="Z523" t="n">
        <v>67</v>
      </c>
      <c r="AA523" t="n">
        <v>1083</v>
      </c>
      <c r="AB523" t="n">
        <v>2</v>
      </c>
      <c r="AC523" t="n">
        <v>7</v>
      </c>
      <c r="AD523" t="n">
        <v>2</v>
      </c>
      <c r="AE523" t="n">
        <v>44</v>
      </c>
      <c r="AF523" t="n">
        <v>2</v>
      </c>
      <c r="AG523" t="n">
        <v>20</v>
      </c>
      <c r="AH523" t="n">
        <v>0</v>
      </c>
      <c r="AI523" t="n">
        <v>4</v>
      </c>
      <c r="AJ523" t="n">
        <v>0</v>
      </c>
      <c r="AK523" t="n">
        <v>24</v>
      </c>
      <c r="AL523" t="n">
        <v>0</v>
      </c>
      <c r="AM523" t="n">
        <v>4</v>
      </c>
      <c r="AN523" t="n">
        <v>0</v>
      </c>
      <c r="AO523" t="n">
        <v>1</v>
      </c>
      <c r="AP523" t="inlineStr">
        <is>
          <t>No</t>
        </is>
      </c>
      <c r="AQ523" t="inlineStr">
        <is>
          <t>No</t>
        </is>
      </c>
      <c r="AS523">
        <f>HYPERLINK("https://creighton-primo.hosted.exlibrisgroup.com/primo-explore/search?tab=default_tab&amp;search_scope=EVERYTHING&amp;vid=01CRU&amp;lang=en_US&amp;offset=0&amp;query=any,contains,991000865779702656","Catalog Record")</f>
        <v/>
      </c>
      <c r="AT523">
        <f>HYPERLINK("http://www.worldcat.org/oclc/13745977","WorldCat Record")</f>
        <v/>
      </c>
      <c r="AU523" t="inlineStr">
        <is>
          <t>1930207981:eng</t>
        </is>
      </c>
      <c r="AV523" t="inlineStr">
        <is>
          <t>13745977</t>
        </is>
      </c>
      <c r="AW523" t="inlineStr">
        <is>
          <t>991000865779702656</t>
        </is>
      </c>
      <c r="AX523" t="inlineStr">
        <is>
          <t>991000865779702656</t>
        </is>
      </c>
      <c r="AY523" t="inlineStr">
        <is>
          <t>2264427570002656</t>
        </is>
      </c>
      <c r="AZ523" t="inlineStr">
        <is>
          <t>BOOK</t>
        </is>
      </c>
      <c r="BC523" t="inlineStr">
        <is>
          <t>32285000954700</t>
        </is>
      </c>
      <c r="BD523" t="inlineStr">
        <is>
          <t>893509183</t>
        </is>
      </c>
    </row>
    <row r="524">
      <c r="A524" t="inlineStr">
        <is>
          <t>No</t>
        </is>
      </c>
      <c r="B524" t="inlineStr">
        <is>
          <t>GN24 .H7</t>
        </is>
      </c>
      <c r="C524" t="inlineStr">
        <is>
          <t>0                      GN 0024000H  7</t>
        </is>
      </c>
      <c r="D524" t="inlineStr">
        <is>
          <t>Apes, men, and morons, by Earnest Albert Hooton ...</t>
        </is>
      </c>
      <c r="F524" t="inlineStr">
        <is>
          <t>No</t>
        </is>
      </c>
      <c r="G524" t="inlineStr">
        <is>
          <t>1</t>
        </is>
      </c>
      <c r="H524" t="inlineStr">
        <is>
          <t>No</t>
        </is>
      </c>
      <c r="I524" t="inlineStr">
        <is>
          <t>No</t>
        </is>
      </c>
      <c r="J524" t="inlineStr">
        <is>
          <t>0</t>
        </is>
      </c>
      <c r="K524" t="inlineStr">
        <is>
          <t>Hooton, Earnest Albert, 1887-1954.</t>
        </is>
      </c>
      <c r="L524" t="inlineStr">
        <is>
          <t>New York, G.P. Putnam's Sons, 1937.</t>
        </is>
      </c>
      <c r="M524" t="inlineStr">
        <is>
          <t>1937</t>
        </is>
      </c>
      <c r="O524" t="inlineStr">
        <is>
          <t>eng</t>
        </is>
      </c>
      <c r="P524" t="inlineStr">
        <is>
          <t>nyu</t>
        </is>
      </c>
      <c r="R524" t="inlineStr">
        <is>
          <t xml:space="preserve">GN </t>
        </is>
      </c>
      <c r="S524" t="n">
        <v>1</v>
      </c>
      <c r="T524" t="n">
        <v>1</v>
      </c>
      <c r="U524" t="inlineStr">
        <is>
          <t>2005-10-10</t>
        </is>
      </c>
      <c r="V524" t="inlineStr">
        <is>
          <t>2005-10-10</t>
        </is>
      </c>
      <c r="W524" t="inlineStr">
        <is>
          <t>1997-05-27</t>
        </is>
      </c>
      <c r="X524" t="inlineStr">
        <is>
          <t>1997-05-27</t>
        </is>
      </c>
      <c r="Y524" t="n">
        <v>489</v>
      </c>
      <c r="Z524" t="n">
        <v>458</v>
      </c>
      <c r="AA524" t="n">
        <v>460</v>
      </c>
      <c r="AB524" t="n">
        <v>6</v>
      </c>
      <c r="AC524" t="n">
        <v>6</v>
      </c>
      <c r="AD524" t="n">
        <v>17</v>
      </c>
      <c r="AE524" t="n">
        <v>17</v>
      </c>
      <c r="AF524" t="n">
        <v>6</v>
      </c>
      <c r="AG524" t="n">
        <v>6</v>
      </c>
      <c r="AH524" t="n">
        <v>3</v>
      </c>
      <c r="AI524" t="n">
        <v>3</v>
      </c>
      <c r="AJ524" t="n">
        <v>8</v>
      </c>
      <c r="AK524" t="n">
        <v>8</v>
      </c>
      <c r="AL524" t="n">
        <v>4</v>
      </c>
      <c r="AM524" t="n">
        <v>4</v>
      </c>
      <c r="AN524" t="n">
        <v>0</v>
      </c>
      <c r="AO524" t="n">
        <v>0</v>
      </c>
      <c r="AP524" t="inlineStr">
        <is>
          <t>No</t>
        </is>
      </c>
      <c r="AQ524" t="inlineStr">
        <is>
          <t>Yes</t>
        </is>
      </c>
      <c r="AR524">
        <f>HYPERLINK("http://catalog.hathitrust.org/Record/001274475","HathiTrust Record")</f>
        <v/>
      </c>
      <c r="AS524">
        <f>HYPERLINK("https://creighton-primo.hosted.exlibrisgroup.com/primo-explore/search?tab=default_tab&amp;search_scope=EVERYTHING&amp;vid=01CRU&amp;lang=en_US&amp;offset=0&amp;query=any,contains,991003436469702656","Catalog Record")</f>
        <v/>
      </c>
      <c r="AT524">
        <f>HYPERLINK("http://www.worldcat.org/oclc/971970","WorldCat Record")</f>
        <v/>
      </c>
      <c r="AU524" t="inlineStr">
        <is>
          <t>3860395456:eng</t>
        </is>
      </c>
      <c r="AV524" t="inlineStr">
        <is>
          <t>971970</t>
        </is>
      </c>
      <c r="AW524" t="inlineStr">
        <is>
          <t>991003436469702656</t>
        </is>
      </c>
      <c r="AX524" t="inlineStr">
        <is>
          <t>991003436469702656</t>
        </is>
      </c>
      <c r="AY524" t="inlineStr">
        <is>
          <t>2259378620002656</t>
        </is>
      </c>
      <c r="AZ524" t="inlineStr">
        <is>
          <t>BOOK</t>
        </is>
      </c>
      <c r="BC524" t="inlineStr">
        <is>
          <t>32285002694502</t>
        </is>
      </c>
      <c r="BD524" t="inlineStr">
        <is>
          <t>893592514</t>
        </is>
      </c>
    </row>
    <row r="525">
      <c r="A525" t="inlineStr">
        <is>
          <t>No</t>
        </is>
      </c>
      <c r="B525" t="inlineStr">
        <is>
          <t>GN24 .Q29 1884</t>
        </is>
      </c>
      <c r="C525" t="inlineStr">
        <is>
          <t>0                      GN 0024000Q  29          1884</t>
        </is>
      </c>
      <c r="D525" t="inlineStr">
        <is>
          <t>The human species / by A. de Quatrefages.</t>
        </is>
      </c>
      <c r="F525" t="inlineStr">
        <is>
          <t>No</t>
        </is>
      </c>
      <c r="G525" t="inlineStr">
        <is>
          <t>1</t>
        </is>
      </c>
      <c r="H525" t="inlineStr">
        <is>
          <t>No</t>
        </is>
      </c>
      <c r="I525" t="inlineStr">
        <is>
          <t>No</t>
        </is>
      </c>
      <c r="J525" t="inlineStr">
        <is>
          <t>0</t>
        </is>
      </c>
      <c r="K525" t="inlineStr">
        <is>
          <t>Quatrefages, A. de (Armand de), 1810-1892.</t>
        </is>
      </c>
      <c r="L525" t="inlineStr">
        <is>
          <t>New York : D. Appleton and comapny, 1884.</t>
        </is>
      </c>
      <c r="M525" t="inlineStr">
        <is>
          <t>1884</t>
        </is>
      </c>
      <c r="O525" t="inlineStr">
        <is>
          <t>eng</t>
        </is>
      </c>
      <c r="P525" t="inlineStr">
        <is>
          <t>nyu</t>
        </is>
      </c>
      <c r="Q525" t="inlineStr">
        <is>
          <t>The International scientific series. vol. XXVII</t>
        </is>
      </c>
      <c r="R525" t="inlineStr">
        <is>
          <t xml:space="preserve">GN </t>
        </is>
      </c>
      <c r="S525" t="n">
        <v>1</v>
      </c>
      <c r="T525" t="n">
        <v>1</v>
      </c>
      <c r="U525" t="inlineStr">
        <is>
          <t>1997-02-24</t>
        </is>
      </c>
      <c r="V525" t="inlineStr">
        <is>
          <t>1997-02-24</t>
        </is>
      </c>
      <c r="W525" t="inlineStr">
        <is>
          <t>1994-10-12</t>
        </is>
      </c>
      <c r="X525" t="inlineStr">
        <is>
          <t>1994-10-12</t>
        </is>
      </c>
      <c r="Y525" t="n">
        <v>23</v>
      </c>
      <c r="Z525" t="n">
        <v>23</v>
      </c>
      <c r="AA525" t="n">
        <v>241</v>
      </c>
      <c r="AB525" t="n">
        <v>1</v>
      </c>
      <c r="AC525" t="n">
        <v>2</v>
      </c>
      <c r="AD525" t="n">
        <v>1</v>
      </c>
      <c r="AE525" t="n">
        <v>18</v>
      </c>
      <c r="AF525" t="n">
        <v>0</v>
      </c>
      <c r="AG525" t="n">
        <v>7</v>
      </c>
      <c r="AH525" t="n">
        <v>0</v>
      </c>
      <c r="AI525" t="n">
        <v>4</v>
      </c>
      <c r="AJ525" t="n">
        <v>1</v>
      </c>
      <c r="AK525" t="n">
        <v>8</v>
      </c>
      <c r="AL525" t="n">
        <v>0</v>
      </c>
      <c r="AM525" t="n">
        <v>1</v>
      </c>
      <c r="AN525" t="n">
        <v>0</v>
      </c>
      <c r="AO525" t="n">
        <v>0</v>
      </c>
      <c r="AP525" t="inlineStr">
        <is>
          <t>Yes</t>
        </is>
      </c>
      <c r="AQ525" t="inlineStr">
        <is>
          <t>No</t>
        </is>
      </c>
      <c r="AR525">
        <f>HYPERLINK("http://catalog.hathitrust.org/Record/002243298","HathiTrust Record")</f>
        <v/>
      </c>
      <c r="AS525">
        <f>HYPERLINK("https://creighton-primo.hosted.exlibrisgroup.com/primo-explore/search?tab=default_tab&amp;search_scope=EVERYTHING&amp;vid=01CRU&amp;lang=en_US&amp;offset=0&amp;query=any,contains,991000115179702656","Catalog Record")</f>
        <v/>
      </c>
      <c r="AT525">
        <f>HYPERLINK("http://www.worldcat.org/oclc/9032758","WorldCat Record")</f>
        <v/>
      </c>
      <c r="AU525" t="inlineStr">
        <is>
          <t>7581752:eng</t>
        </is>
      </c>
      <c r="AV525" t="inlineStr">
        <is>
          <t>9032758</t>
        </is>
      </c>
      <c r="AW525" t="inlineStr">
        <is>
          <t>991000115179702656</t>
        </is>
      </c>
      <c r="AX525" t="inlineStr">
        <is>
          <t>991000115179702656</t>
        </is>
      </c>
      <c r="AY525" t="inlineStr">
        <is>
          <t>2268598660002656</t>
        </is>
      </c>
      <c r="AZ525" t="inlineStr">
        <is>
          <t>BOOK</t>
        </is>
      </c>
      <c r="BC525" t="inlineStr">
        <is>
          <t>32285001960557</t>
        </is>
      </c>
      <c r="BD525" t="inlineStr">
        <is>
          <t>893595292</t>
        </is>
      </c>
    </row>
    <row r="526">
      <c r="A526" t="inlineStr">
        <is>
          <t>No</t>
        </is>
      </c>
      <c r="B526" t="inlineStr">
        <is>
          <t>GN24 .T48</t>
        </is>
      </c>
      <c r="C526" t="inlineStr">
        <is>
          <t>0                      GN 0024000T  48</t>
        </is>
      </c>
      <c r="D526" t="inlineStr">
        <is>
          <t>Introduction to cultural anthropology / Mischa Titiev.</t>
        </is>
      </c>
      <c r="F526" t="inlineStr">
        <is>
          <t>No</t>
        </is>
      </c>
      <c r="G526" t="inlineStr">
        <is>
          <t>1</t>
        </is>
      </c>
      <c r="H526" t="inlineStr">
        <is>
          <t>No</t>
        </is>
      </c>
      <c r="I526" t="inlineStr">
        <is>
          <t>No</t>
        </is>
      </c>
      <c r="J526" t="inlineStr">
        <is>
          <t>0</t>
        </is>
      </c>
      <c r="K526" t="inlineStr">
        <is>
          <t>Titiev, Mischa, 1901-1978.</t>
        </is>
      </c>
      <c r="L526" t="inlineStr">
        <is>
          <t>New York, Holt [1959, 1966 printing]</t>
        </is>
      </c>
      <c r="M526" t="inlineStr">
        <is>
          <t>1959</t>
        </is>
      </c>
      <c r="O526" t="inlineStr">
        <is>
          <t>eng</t>
        </is>
      </c>
      <c r="P526" t="inlineStr">
        <is>
          <t>___</t>
        </is>
      </c>
      <c r="R526" t="inlineStr">
        <is>
          <t xml:space="preserve">GN </t>
        </is>
      </c>
      <c r="S526" t="n">
        <v>3</v>
      </c>
      <c r="T526" t="n">
        <v>3</v>
      </c>
      <c r="U526" t="inlineStr">
        <is>
          <t>2009-02-21</t>
        </is>
      </c>
      <c r="V526" t="inlineStr">
        <is>
          <t>2009-02-21</t>
        </is>
      </c>
      <c r="W526" t="inlineStr">
        <is>
          <t>1990-09-18</t>
        </is>
      </c>
      <c r="X526" t="inlineStr">
        <is>
          <t>1990-09-18</t>
        </is>
      </c>
      <c r="Y526" t="n">
        <v>451</v>
      </c>
      <c r="Z526" t="n">
        <v>380</v>
      </c>
      <c r="AA526" t="n">
        <v>389</v>
      </c>
      <c r="AB526" t="n">
        <v>1</v>
      </c>
      <c r="AC526" t="n">
        <v>1</v>
      </c>
      <c r="AD526" t="n">
        <v>16</v>
      </c>
      <c r="AE526" t="n">
        <v>16</v>
      </c>
      <c r="AF526" t="n">
        <v>7</v>
      </c>
      <c r="AG526" t="n">
        <v>7</v>
      </c>
      <c r="AH526" t="n">
        <v>2</v>
      </c>
      <c r="AI526" t="n">
        <v>2</v>
      </c>
      <c r="AJ526" t="n">
        <v>13</v>
      </c>
      <c r="AK526" t="n">
        <v>13</v>
      </c>
      <c r="AL526" t="n">
        <v>0</v>
      </c>
      <c r="AM526" t="n">
        <v>0</v>
      </c>
      <c r="AN526" t="n">
        <v>0</v>
      </c>
      <c r="AO526" t="n">
        <v>0</v>
      </c>
      <c r="AP526" t="inlineStr">
        <is>
          <t>No</t>
        </is>
      </c>
      <c r="AQ526" t="inlineStr">
        <is>
          <t>No</t>
        </is>
      </c>
      <c r="AR526">
        <f>HYPERLINK("http://catalog.hathitrust.org/Record/006285406","HathiTrust Record")</f>
        <v/>
      </c>
      <c r="AS526">
        <f>HYPERLINK("https://creighton-primo.hosted.exlibrisgroup.com/primo-explore/search?tab=default_tab&amp;search_scope=EVERYTHING&amp;vid=01CRU&amp;lang=en_US&amp;offset=0&amp;query=any,contains,991002856659702656","Catalog Record")</f>
        <v/>
      </c>
      <c r="AT526">
        <f>HYPERLINK("http://www.worldcat.org/oclc/490351","WorldCat Record")</f>
        <v/>
      </c>
      <c r="AU526" t="inlineStr">
        <is>
          <t>131499306:eng</t>
        </is>
      </c>
      <c r="AV526" t="inlineStr">
        <is>
          <t>490351</t>
        </is>
      </c>
      <c r="AW526" t="inlineStr">
        <is>
          <t>991002856659702656</t>
        </is>
      </c>
      <c r="AX526" t="inlineStr">
        <is>
          <t>991002856659702656</t>
        </is>
      </c>
      <c r="AY526" t="inlineStr">
        <is>
          <t>2257694960002656</t>
        </is>
      </c>
      <c r="AZ526" t="inlineStr">
        <is>
          <t>BOOK</t>
        </is>
      </c>
      <c r="BC526" t="inlineStr">
        <is>
          <t>32285000289537</t>
        </is>
      </c>
      <c r="BD526" t="inlineStr">
        <is>
          <t>893799097</t>
        </is>
      </c>
    </row>
    <row r="527">
      <c r="A527" t="inlineStr">
        <is>
          <t>No</t>
        </is>
      </c>
      <c r="B527" t="inlineStr">
        <is>
          <t>GN25 .B39 1996</t>
        </is>
      </c>
      <c r="C527" t="inlineStr">
        <is>
          <t>0                      GN 0025000B  39          1996</t>
        </is>
      </c>
      <c r="D527" t="inlineStr">
        <is>
          <t>Anthropology : a student's guide to theory and method / Stanley R. Barrett.</t>
        </is>
      </c>
      <c r="F527" t="inlineStr">
        <is>
          <t>No</t>
        </is>
      </c>
      <c r="G527" t="inlineStr">
        <is>
          <t>1</t>
        </is>
      </c>
      <c r="H527" t="inlineStr">
        <is>
          <t>No</t>
        </is>
      </c>
      <c r="I527" t="inlineStr">
        <is>
          <t>No</t>
        </is>
      </c>
      <c r="J527" t="inlineStr">
        <is>
          <t>0</t>
        </is>
      </c>
      <c r="K527" t="inlineStr">
        <is>
          <t>Barrett, Stanley R.</t>
        </is>
      </c>
      <c r="L527" t="inlineStr">
        <is>
          <t>Toronto ; Buffalo : University of Toronto Press, c1996.</t>
        </is>
      </c>
      <c r="M527" t="inlineStr">
        <is>
          <t>1996</t>
        </is>
      </c>
      <c r="O527" t="inlineStr">
        <is>
          <t>eng</t>
        </is>
      </c>
      <c r="P527" t="inlineStr">
        <is>
          <t>onc</t>
        </is>
      </c>
      <c r="R527" t="inlineStr">
        <is>
          <t xml:space="preserve">GN </t>
        </is>
      </c>
      <c r="S527" t="n">
        <v>4</v>
      </c>
      <c r="T527" t="n">
        <v>4</v>
      </c>
      <c r="U527" t="inlineStr">
        <is>
          <t>2007-11-30</t>
        </is>
      </c>
      <c r="V527" t="inlineStr">
        <is>
          <t>2007-11-30</t>
        </is>
      </c>
      <c r="W527" t="inlineStr">
        <is>
          <t>1997-09-12</t>
        </is>
      </c>
      <c r="X527" t="inlineStr">
        <is>
          <t>1997-09-12</t>
        </is>
      </c>
      <c r="Y527" t="n">
        <v>315</v>
      </c>
      <c r="Z527" t="n">
        <v>216</v>
      </c>
      <c r="AA527" t="n">
        <v>664</v>
      </c>
      <c r="AB527" t="n">
        <v>2</v>
      </c>
      <c r="AC527" t="n">
        <v>8</v>
      </c>
      <c r="AD527" t="n">
        <v>9</v>
      </c>
      <c r="AE527" t="n">
        <v>24</v>
      </c>
      <c r="AF527" t="n">
        <v>3</v>
      </c>
      <c r="AG527" t="n">
        <v>9</v>
      </c>
      <c r="AH527" t="n">
        <v>2</v>
      </c>
      <c r="AI527" t="n">
        <v>5</v>
      </c>
      <c r="AJ527" t="n">
        <v>4</v>
      </c>
      <c r="AK527" t="n">
        <v>8</v>
      </c>
      <c r="AL527" t="n">
        <v>1</v>
      </c>
      <c r="AM527" t="n">
        <v>7</v>
      </c>
      <c r="AN527" t="n">
        <v>0</v>
      </c>
      <c r="AO527" t="n">
        <v>0</v>
      </c>
      <c r="AP527" t="inlineStr">
        <is>
          <t>No</t>
        </is>
      </c>
      <c r="AQ527" t="inlineStr">
        <is>
          <t>Yes</t>
        </is>
      </c>
      <c r="AR527">
        <f>HYPERLINK("http://catalog.hathitrust.org/Record/003110676","HathiTrust Record")</f>
        <v/>
      </c>
      <c r="AS527">
        <f>HYPERLINK("https://creighton-primo.hosted.exlibrisgroup.com/primo-explore/search?tab=default_tab&amp;search_scope=EVERYTHING&amp;vid=01CRU&amp;lang=en_US&amp;offset=0&amp;query=any,contains,991002685899702656","Catalog Record")</f>
        <v/>
      </c>
      <c r="AT527">
        <f>HYPERLINK("http://www.worldcat.org/oclc/35091796","WorldCat Record")</f>
        <v/>
      </c>
      <c r="AU527" t="inlineStr">
        <is>
          <t>825025999:eng</t>
        </is>
      </c>
      <c r="AV527" t="inlineStr">
        <is>
          <t>35091796</t>
        </is>
      </c>
      <c r="AW527" t="inlineStr">
        <is>
          <t>991002685899702656</t>
        </is>
      </c>
      <c r="AX527" t="inlineStr">
        <is>
          <t>991002685899702656</t>
        </is>
      </c>
      <c r="AY527" t="inlineStr">
        <is>
          <t>2270171400002656</t>
        </is>
      </c>
      <c r="AZ527" t="inlineStr">
        <is>
          <t>BOOK</t>
        </is>
      </c>
      <c r="BB527" t="inlineStr">
        <is>
          <t>9780802008480</t>
        </is>
      </c>
      <c r="BC527" t="inlineStr">
        <is>
          <t>32285003226502</t>
        </is>
      </c>
      <c r="BD527" t="inlineStr">
        <is>
          <t>893786412</t>
        </is>
      </c>
    </row>
    <row r="528">
      <c r="A528" t="inlineStr">
        <is>
          <t>No</t>
        </is>
      </c>
      <c r="B528" t="inlineStr">
        <is>
          <t>GN25 .H37 1993</t>
        </is>
      </c>
      <c r="C528" t="inlineStr">
        <is>
          <t>0                      GN 0025000H  37          1993</t>
        </is>
      </c>
      <c r="D528" t="inlineStr">
        <is>
          <t>Culture, people, nature : an introduction to general anthropology / Marvin Harris.</t>
        </is>
      </c>
      <c r="F528" t="inlineStr">
        <is>
          <t>No</t>
        </is>
      </c>
      <c r="G528" t="inlineStr">
        <is>
          <t>1</t>
        </is>
      </c>
      <c r="H528" t="inlineStr">
        <is>
          <t>No</t>
        </is>
      </c>
      <c r="I528" t="inlineStr">
        <is>
          <t>No</t>
        </is>
      </c>
      <c r="J528" t="inlineStr">
        <is>
          <t>0</t>
        </is>
      </c>
      <c r="K528" t="inlineStr">
        <is>
          <t>Harris, Marvin, 1927-2001.</t>
        </is>
      </c>
      <c r="L528" t="inlineStr">
        <is>
          <t>New York : HarperCollins College Publishers, c1993.</t>
        </is>
      </c>
      <c r="M528" t="inlineStr">
        <is>
          <t>1993</t>
        </is>
      </c>
      <c r="N528" t="inlineStr">
        <is>
          <t>6th ed.</t>
        </is>
      </c>
      <c r="O528" t="inlineStr">
        <is>
          <t>eng</t>
        </is>
      </c>
      <c r="P528" t="inlineStr">
        <is>
          <t>nyu</t>
        </is>
      </c>
      <c r="R528" t="inlineStr">
        <is>
          <t xml:space="preserve">GN </t>
        </is>
      </c>
      <c r="S528" t="n">
        <v>16</v>
      </c>
      <c r="T528" t="n">
        <v>16</v>
      </c>
      <c r="U528" t="inlineStr">
        <is>
          <t>2006-04-17</t>
        </is>
      </c>
      <c r="V528" t="inlineStr">
        <is>
          <t>2006-04-17</t>
        </is>
      </c>
      <c r="W528" t="inlineStr">
        <is>
          <t>1993-10-21</t>
        </is>
      </c>
      <c r="X528" t="inlineStr">
        <is>
          <t>1993-10-21</t>
        </is>
      </c>
      <c r="Y528" t="n">
        <v>146</v>
      </c>
      <c r="Z528" t="n">
        <v>70</v>
      </c>
      <c r="AA528" t="n">
        <v>520</v>
      </c>
      <c r="AB528" t="n">
        <v>2</v>
      </c>
      <c r="AC528" t="n">
        <v>6</v>
      </c>
      <c r="AD528" t="n">
        <v>1</v>
      </c>
      <c r="AE528" t="n">
        <v>12</v>
      </c>
      <c r="AF528" t="n">
        <v>0</v>
      </c>
      <c r="AG528" t="n">
        <v>2</v>
      </c>
      <c r="AH528" t="n">
        <v>1</v>
      </c>
      <c r="AI528" t="n">
        <v>2</v>
      </c>
      <c r="AJ528" t="n">
        <v>0</v>
      </c>
      <c r="AK528" t="n">
        <v>4</v>
      </c>
      <c r="AL528" t="n">
        <v>0</v>
      </c>
      <c r="AM528" t="n">
        <v>4</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HYPERLINK("https://creighton-primo.hosted.exlibrisgroup.com/primo-explore/search?tab=default_tab&amp;search_scope=EVERYTHING&amp;vid=01CRU&amp;lang=en_US&amp;offset=0&amp;query=any,contains,991002113329702656","Catalog Record")</f>
        <v/>
      </c>
      <c r="AT528">
        <f>HYPERLINK("http://www.worldcat.org/oclc/27071002","WorldCat Record")</f>
        <v/>
      </c>
      <c r="AU528" t="inlineStr">
        <is>
          <t>2452518589:eng</t>
        </is>
      </c>
      <c r="AV528" t="inlineStr">
        <is>
          <t>27071002</t>
        </is>
      </c>
      <c r="AW528" t="inlineStr">
        <is>
          <t>991002113329702656</t>
        </is>
      </c>
      <c r="AX528" t="inlineStr">
        <is>
          <t>991002113329702656</t>
        </is>
      </c>
      <c r="AY528" t="inlineStr">
        <is>
          <t>2271764040002656</t>
        </is>
      </c>
      <c r="AZ528" t="inlineStr">
        <is>
          <t>BOOK</t>
        </is>
      </c>
      <c r="BB528" t="inlineStr">
        <is>
          <t>9780065008906</t>
        </is>
      </c>
      <c r="BC528" t="inlineStr">
        <is>
          <t>32285001787778</t>
        </is>
      </c>
      <c r="BD528" t="inlineStr">
        <is>
          <t>893427221</t>
        </is>
      </c>
    </row>
    <row r="529">
      <c r="A529" t="inlineStr">
        <is>
          <t>No</t>
        </is>
      </c>
      <c r="B529" t="inlineStr">
        <is>
          <t>GN25 .R44 2004</t>
        </is>
      </c>
      <c r="C529" t="inlineStr">
        <is>
          <t>0                      GN 0025000R  44          2004</t>
        </is>
      </c>
      <c r="D529" t="inlineStr">
        <is>
          <t>Reflections on anthropology : a four-field reader / edited by Katherine A. Dettwyler, Vaughn M. Bryant.</t>
        </is>
      </c>
      <c r="F529" t="inlineStr">
        <is>
          <t>No</t>
        </is>
      </c>
      <c r="G529" t="inlineStr">
        <is>
          <t>1</t>
        </is>
      </c>
      <c r="H529" t="inlineStr">
        <is>
          <t>No</t>
        </is>
      </c>
      <c r="I529" t="inlineStr">
        <is>
          <t>No</t>
        </is>
      </c>
      <c r="J529" t="inlineStr">
        <is>
          <t>0</t>
        </is>
      </c>
      <c r="L529" t="inlineStr">
        <is>
          <t>New York : McGraw-Hill, c2004.</t>
        </is>
      </c>
      <c r="M529" t="inlineStr">
        <is>
          <t>2004</t>
        </is>
      </c>
      <c r="O529" t="inlineStr">
        <is>
          <t>eng</t>
        </is>
      </c>
      <c r="P529" t="inlineStr">
        <is>
          <t>nyu</t>
        </is>
      </c>
      <c r="R529" t="inlineStr">
        <is>
          <t xml:space="preserve">GN </t>
        </is>
      </c>
      <c r="S529" t="n">
        <v>4</v>
      </c>
      <c r="T529" t="n">
        <v>4</v>
      </c>
      <c r="U529" t="inlineStr">
        <is>
          <t>2007-04-04</t>
        </is>
      </c>
      <c r="V529" t="inlineStr">
        <is>
          <t>2007-04-04</t>
        </is>
      </c>
      <c r="W529" t="inlineStr">
        <is>
          <t>2004-03-29</t>
        </is>
      </c>
      <c r="X529" t="inlineStr">
        <is>
          <t>2004-03-29</t>
        </is>
      </c>
      <c r="Y529" t="n">
        <v>75</v>
      </c>
      <c r="Z529" t="n">
        <v>52</v>
      </c>
      <c r="AA529" t="n">
        <v>53</v>
      </c>
      <c r="AB529" t="n">
        <v>1</v>
      </c>
      <c r="AC529" t="n">
        <v>1</v>
      </c>
      <c r="AD529" t="n">
        <v>1</v>
      </c>
      <c r="AE529" t="n">
        <v>1</v>
      </c>
      <c r="AF529" t="n">
        <v>0</v>
      </c>
      <c r="AG529" t="n">
        <v>0</v>
      </c>
      <c r="AH529" t="n">
        <v>1</v>
      </c>
      <c r="AI529" t="n">
        <v>1</v>
      </c>
      <c r="AJ529" t="n">
        <v>0</v>
      </c>
      <c r="AK529" t="n">
        <v>0</v>
      </c>
      <c r="AL529" t="n">
        <v>0</v>
      </c>
      <c r="AM529" t="n">
        <v>0</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HYPERLINK("https://creighton-primo.hosted.exlibrisgroup.com/primo-explore/search?tab=default_tab&amp;search_scope=EVERYTHING&amp;vid=01CRU&amp;lang=en_US&amp;offset=0&amp;query=any,contains,991004251949702656","Catalog Record")</f>
        <v/>
      </c>
      <c r="AT529">
        <f>HYPERLINK("http://www.worldcat.org/oclc/52631476","WorldCat Record")</f>
        <v/>
      </c>
      <c r="AU529" t="inlineStr">
        <is>
          <t>895266384:eng</t>
        </is>
      </c>
      <c r="AV529" t="inlineStr">
        <is>
          <t>52631476</t>
        </is>
      </c>
      <c r="AW529" t="inlineStr">
        <is>
          <t>991004251949702656</t>
        </is>
      </c>
      <c r="AX529" t="inlineStr">
        <is>
          <t>991004251949702656</t>
        </is>
      </c>
      <c r="AY529" t="inlineStr">
        <is>
          <t>2255410190002656</t>
        </is>
      </c>
      <c r="AZ529" t="inlineStr">
        <is>
          <t>BOOK</t>
        </is>
      </c>
      <c r="BB529" t="inlineStr">
        <is>
          <t>9780072485981</t>
        </is>
      </c>
      <c r="BC529" t="inlineStr">
        <is>
          <t>32285004897434</t>
        </is>
      </c>
      <c r="BD529" t="inlineStr">
        <is>
          <t>893525861</t>
        </is>
      </c>
    </row>
    <row r="530">
      <c r="A530" t="inlineStr">
        <is>
          <t>No</t>
        </is>
      </c>
      <c r="B530" t="inlineStr">
        <is>
          <t>GN254 .Y68 1995</t>
        </is>
      </c>
      <c r="C530" t="inlineStr">
        <is>
          <t>0                      GN 0254000Y  68          1995</t>
        </is>
      </c>
      <c r="D530" t="inlineStr">
        <is>
          <t>Colonial desire : hybridity in theory, culture and race / Robert J.C. Young.</t>
        </is>
      </c>
      <c r="F530" t="inlineStr">
        <is>
          <t>No</t>
        </is>
      </c>
      <c r="G530" t="inlineStr">
        <is>
          <t>1</t>
        </is>
      </c>
      <c r="H530" t="inlineStr">
        <is>
          <t>No</t>
        </is>
      </c>
      <c r="I530" t="inlineStr">
        <is>
          <t>No</t>
        </is>
      </c>
      <c r="J530" t="inlineStr">
        <is>
          <t>0</t>
        </is>
      </c>
      <c r="K530" t="inlineStr">
        <is>
          <t>Young, Robert, 1950-</t>
        </is>
      </c>
      <c r="L530" t="inlineStr">
        <is>
          <t>London ; New York : Routledge, 1995.</t>
        </is>
      </c>
      <c r="M530" t="inlineStr">
        <is>
          <t>1995</t>
        </is>
      </c>
      <c r="O530" t="inlineStr">
        <is>
          <t>eng</t>
        </is>
      </c>
      <c r="P530" t="inlineStr">
        <is>
          <t>enk</t>
        </is>
      </c>
      <c r="R530" t="inlineStr">
        <is>
          <t xml:space="preserve">GN </t>
        </is>
      </c>
      <c r="S530" t="n">
        <v>3</v>
      </c>
      <c r="T530" t="n">
        <v>3</v>
      </c>
      <c r="U530" t="inlineStr">
        <is>
          <t>2007-11-12</t>
        </is>
      </c>
      <c r="V530" t="inlineStr">
        <is>
          <t>2007-11-12</t>
        </is>
      </c>
      <c r="W530" t="inlineStr">
        <is>
          <t>2006-02-06</t>
        </is>
      </c>
      <c r="X530" t="inlineStr">
        <is>
          <t>2006-02-06</t>
        </is>
      </c>
      <c r="Y530" t="n">
        <v>650</v>
      </c>
      <c r="Z530" t="n">
        <v>371</v>
      </c>
      <c r="AA530" t="n">
        <v>403</v>
      </c>
      <c r="AB530" t="n">
        <v>2</v>
      </c>
      <c r="AC530" t="n">
        <v>2</v>
      </c>
      <c r="AD530" t="n">
        <v>25</v>
      </c>
      <c r="AE530" t="n">
        <v>25</v>
      </c>
      <c r="AF530" t="n">
        <v>7</v>
      </c>
      <c r="AG530" t="n">
        <v>7</v>
      </c>
      <c r="AH530" t="n">
        <v>7</v>
      </c>
      <c r="AI530" t="n">
        <v>7</v>
      </c>
      <c r="AJ530" t="n">
        <v>14</v>
      </c>
      <c r="AK530" t="n">
        <v>14</v>
      </c>
      <c r="AL530" t="n">
        <v>1</v>
      </c>
      <c r="AM530" t="n">
        <v>1</v>
      </c>
      <c r="AN530" t="n">
        <v>1</v>
      </c>
      <c r="AO530" t="n">
        <v>1</v>
      </c>
      <c r="AP530" t="inlineStr">
        <is>
          <t>No</t>
        </is>
      </c>
      <c r="AQ530" t="inlineStr">
        <is>
          <t>Yes</t>
        </is>
      </c>
      <c r="AR530">
        <f>HYPERLINK("http://catalog.hathitrust.org/Record/002938198","HathiTrust Record")</f>
        <v/>
      </c>
      <c r="AS530">
        <f>HYPERLINK("https://creighton-primo.hosted.exlibrisgroup.com/primo-explore/search?tab=default_tab&amp;search_scope=EVERYTHING&amp;vid=01CRU&amp;lang=en_US&amp;offset=0&amp;query=any,contains,991004719499702656","Catalog Record")</f>
        <v/>
      </c>
      <c r="AT530">
        <f>HYPERLINK("http://www.worldcat.org/oclc/30318652","WorldCat Record")</f>
        <v/>
      </c>
      <c r="AU530" t="inlineStr">
        <is>
          <t>795869642:eng</t>
        </is>
      </c>
      <c r="AV530" t="inlineStr">
        <is>
          <t>30318652</t>
        </is>
      </c>
      <c r="AW530" t="inlineStr">
        <is>
          <t>991004719499702656</t>
        </is>
      </c>
      <c r="AX530" t="inlineStr">
        <is>
          <t>991004719499702656</t>
        </is>
      </c>
      <c r="AY530" t="inlineStr">
        <is>
          <t>2265302700002656</t>
        </is>
      </c>
      <c r="AZ530" t="inlineStr">
        <is>
          <t>BOOK</t>
        </is>
      </c>
      <c r="BB530" t="inlineStr">
        <is>
          <t>9780415053730</t>
        </is>
      </c>
      <c r="BC530" t="inlineStr">
        <is>
          <t>32285005157135</t>
        </is>
      </c>
      <c r="BD530" t="inlineStr">
        <is>
          <t>893353511</t>
        </is>
      </c>
    </row>
    <row r="531">
      <c r="A531" t="inlineStr">
        <is>
          <t>No</t>
        </is>
      </c>
      <c r="B531" t="inlineStr">
        <is>
          <t>GN269 .C66 1981</t>
        </is>
      </c>
      <c r="C531" t="inlineStr">
        <is>
          <t>0                      GN 0269000C  66          1981</t>
        </is>
      </c>
      <c r="D531" t="inlineStr">
        <is>
          <t>Races : a study of the problems of race formation in man / Carleton S. Coon, Stanley M. Garn, Joseph B. Birdsell.</t>
        </is>
      </c>
      <c r="F531" t="inlineStr">
        <is>
          <t>No</t>
        </is>
      </c>
      <c r="G531" t="inlineStr">
        <is>
          <t>1</t>
        </is>
      </c>
      <c r="H531" t="inlineStr">
        <is>
          <t>No</t>
        </is>
      </c>
      <c r="I531" t="inlineStr">
        <is>
          <t>No</t>
        </is>
      </c>
      <c r="J531" t="inlineStr">
        <is>
          <t>0</t>
        </is>
      </c>
      <c r="K531" t="inlineStr">
        <is>
          <t>Coon, Carleton S. (Carleton Stevens), 1904-1981.</t>
        </is>
      </c>
      <c r="L531" t="inlineStr">
        <is>
          <t>Westport, Conn. : Greenwood Press, 1981, c1950.</t>
        </is>
      </c>
      <c r="M531" t="inlineStr">
        <is>
          <t>1981</t>
        </is>
      </c>
      <c r="O531" t="inlineStr">
        <is>
          <t>eng</t>
        </is>
      </c>
      <c r="P531" t="inlineStr">
        <is>
          <t>ctu</t>
        </is>
      </c>
      <c r="R531" t="inlineStr">
        <is>
          <t xml:space="preserve">GN </t>
        </is>
      </c>
      <c r="S531" t="n">
        <v>10</v>
      </c>
      <c r="T531" t="n">
        <v>10</v>
      </c>
      <c r="U531" t="inlineStr">
        <is>
          <t>2006-05-02</t>
        </is>
      </c>
      <c r="V531" t="inlineStr">
        <is>
          <t>2006-05-02</t>
        </is>
      </c>
      <c r="W531" t="inlineStr">
        <is>
          <t>1990-06-22</t>
        </is>
      </c>
      <c r="X531" t="inlineStr">
        <is>
          <t>1990-06-22</t>
        </is>
      </c>
      <c r="Y531" t="n">
        <v>96</v>
      </c>
      <c r="Z531" t="n">
        <v>90</v>
      </c>
      <c r="AA531" t="n">
        <v>328</v>
      </c>
      <c r="AB531" t="n">
        <v>1</v>
      </c>
      <c r="AC531" t="n">
        <v>1</v>
      </c>
      <c r="AD531" t="n">
        <v>4</v>
      </c>
      <c r="AE531" t="n">
        <v>14</v>
      </c>
      <c r="AF531" t="n">
        <v>1</v>
      </c>
      <c r="AG531" t="n">
        <v>5</v>
      </c>
      <c r="AH531" t="n">
        <v>3</v>
      </c>
      <c r="AI531" t="n">
        <v>6</v>
      </c>
      <c r="AJ531" t="n">
        <v>3</v>
      </c>
      <c r="AK531" t="n">
        <v>9</v>
      </c>
      <c r="AL531" t="n">
        <v>0</v>
      </c>
      <c r="AM531" t="n">
        <v>0</v>
      </c>
      <c r="AN531" t="n">
        <v>0</v>
      </c>
      <c r="AO531" t="n">
        <v>0</v>
      </c>
      <c r="AP531" t="inlineStr">
        <is>
          <t>No</t>
        </is>
      </c>
      <c r="AQ531" t="inlineStr">
        <is>
          <t>Yes</t>
        </is>
      </c>
      <c r="AR531">
        <f>HYPERLINK("http://catalog.hathitrust.org/Record/005997692","HathiTrust Record")</f>
        <v/>
      </c>
      <c r="AS531">
        <f>HYPERLINK("https://creighton-primo.hosted.exlibrisgroup.com/primo-explore/search?tab=default_tab&amp;search_scope=EVERYTHING&amp;vid=01CRU&amp;lang=en_US&amp;offset=0&amp;query=any,contains,991005048209702656","Catalog Record")</f>
        <v/>
      </c>
      <c r="AT531">
        <f>HYPERLINK("http://www.worldcat.org/oclc/6861898","WorldCat Record")</f>
        <v/>
      </c>
      <c r="AU531" t="inlineStr">
        <is>
          <t>144666207:eng</t>
        </is>
      </c>
      <c r="AV531" t="inlineStr">
        <is>
          <t>6861898</t>
        </is>
      </c>
      <c r="AW531" t="inlineStr">
        <is>
          <t>991005048209702656</t>
        </is>
      </c>
      <c r="AX531" t="inlineStr">
        <is>
          <t>991005048209702656</t>
        </is>
      </c>
      <c r="AY531" t="inlineStr">
        <is>
          <t>2272752400002656</t>
        </is>
      </c>
      <c r="AZ531" t="inlineStr">
        <is>
          <t>BOOK</t>
        </is>
      </c>
      <c r="BB531" t="inlineStr">
        <is>
          <t>9780313228780</t>
        </is>
      </c>
      <c r="BC531" t="inlineStr">
        <is>
          <t>32285000212554</t>
        </is>
      </c>
      <c r="BD531" t="inlineStr">
        <is>
          <t>893437064</t>
        </is>
      </c>
    </row>
    <row r="532">
      <c r="A532" t="inlineStr">
        <is>
          <t>No</t>
        </is>
      </c>
      <c r="B532" t="inlineStr">
        <is>
          <t>GN269 .G73 2001</t>
        </is>
      </c>
      <c r="C532" t="inlineStr">
        <is>
          <t>0                      GN 0269000G  73          2001</t>
        </is>
      </c>
      <c r="D532" t="inlineStr">
        <is>
          <t>The Emperor's new clothes : biological theories of race at the millennium / Joseph L. Graves, Jr.</t>
        </is>
      </c>
      <c r="F532" t="inlineStr">
        <is>
          <t>No</t>
        </is>
      </c>
      <c r="G532" t="inlineStr">
        <is>
          <t>1</t>
        </is>
      </c>
      <c r="H532" t="inlineStr">
        <is>
          <t>No</t>
        </is>
      </c>
      <c r="I532" t="inlineStr">
        <is>
          <t>No</t>
        </is>
      </c>
      <c r="J532" t="inlineStr">
        <is>
          <t>0</t>
        </is>
      </c>
      <c r="K532" t="inlineStr">
        <is>
          <t>Graves, Joseph L., 1955-</t>
        </is>
      </c>
      <c r="L532" t="inlineStr">
        <is>
          <t>New Brunswick, N.J. : Rutgers University Press, c2001.</t>
        </is>
      </c>
      <c r="M532" t="inlineStr">
        <is>
          <t>2001</t>
        </is>
      </c>
      <c r="O532" t="inlineStr">
        <is>
          <t>eng</t>
        </is>
      </c>
      <c r="P532" t="inlineStr">
        <is>
          <t>nju</t>
        </is>
      </c>
      <c r="R532" t="inlineStr">
        <is>
          <t xml:space="preserve">GN </t>
        </is>
      </c>
      <c r="S532" t="n">
        <v>6</v>
      </c>
      <c r="T532" t="n">
        <v>6</v>
      </c>
      <c r="U532" t="inlineStr">
        <is>
          <t>2006-01-20</t>
        </is>
      </c>
      <c r="V532" t="inlineStr">
        <is>
          <t>2006-01-20</t>
        </is>
      </c>
      <c r="W532" t="inlineStr">
        <is>
          <t>2001-11-13</t>
        </is>
      </c>
      <c r="X532" t="inlineStr">
        <is>
          <t>2001-11-13</t>
        </is>
      </c>
      <c r="Y532" t="n">
        <v>822</v>
      </c>
      <c r="Z532" t="n">
        <v>743</v>
      </c>
      <c r="AA532" t="n">
        <v>774</v>
      </c>
      <c r="AB532" t="n">
        <v>6</v>
      </c>
      <c r="AC532" t="n">
        <v>6</v>
      </c>
      <c r="AD532" t="n">
        <v>32</v>
      </c>
      <c r="AE532" t="n">
        <v>34</v>
      </c>
      <c r="AF532" t="n">
        <v>10</v>
      </c>
      <c r="AG532" t="n">
        <v>11</v>
      </c>
      <c r="AH532" t="n">
        <v>10</v>
      </c>
      <c r="AI532" t="n">
        <v>10</v>
      </c>
      <c r="AJ532" t="n">
        <v>12</v>
      </c>
      <c r="AK532" t="n">
        <v>14</v>
      </c>
      <c r="AL532" t="n">
        <v>4</v>
      </c>
      <c r="AM532" t="n">
        <v>4</v>
      </c>
      <c r="AN532" t="n">
        <v>1</v>
      </c>
      <c r="AO532" t="n">
        <v>1</v>
      </c>
      <c r="AP532" t="inlineStr">
        <is>
          <t>No</t>
        </is>
      </c>
      <c r="AQ532" t="inlineStr">
        <is>
          <t>No</t>
        </is>
      </c>
      <c r="AS532">
        <f>HYPERLINK("https://creighton-primo.hosted.exlibrisgroup.com/primo-explore/search?tab=default_tab&amp;search_scope=EVERYTHING&amp;vid=01CRU&amp;lang=en_US&amp;offset=0&amp;query=any,contains,991003653149702656","Catalog Record")</f>
        <v/>
      </c>
      <c r="AT532">
        <f>HYPERLINK("http://www.worldcat.org/oclc/44066982","WorldCat Record")</f>
        <v/>
      </c>
      <c r="AU532" t="inlineStr">
        <is>
          <t>837004709:eng</t>
        </is>
      </c>
      <c r="AV532" t="inlineStr">
        <is>
          <t>44066982</t>
        </is>
      </c>
      <c r="AW532" t="inlineStr">
        <is>
          <t>991003653149702656</t>
        </is>
      </c>
      <c r="AX532" t="inlineStr">
        <is>
          <t>991003653149702656</t>
        </is>
      </c>
      <c r="AY532" t="inlineStr">
        <is>
          <t>2257665220002656</t>
        </is>
      </c>
      <c r="AZ532" t="inlineStr">
        <is>
          <t>BOOK</t>
        </is>
      </c>
      <c r="BB532" t="inlineStr">
        <is>
          <t>9780813528472</t>
        </is>
      </c>
      <c r="BC532" t="inlineStr">
        <is>
          <t>32285004410584</t>
        </is>
      </c>
      <c r="BD532" t="inlineStr">
        <is>
          <t>893228279</t>
        </is>
      </c>
    </row>
    <row r="533">
      <c r="A533" t="inlineStr">
        <is>
          <t>No</t>
        </is>
      </c>
      <c r="B533" t="inlineStr">
        <is>
          <t>GN269 .K64 1995</t>
        </is>
      </c>
      <c r="C533" t="inlineStr">
        <is>
          <t>0                      GN 0269000K  64          1995</t>
        </is>
      </c>
      <c r="D533" t="inlineStr">
        <is>
          <t>The race gallery : the return of racial science / Marek Kohn.</t>
        </is>
      </c>
      <c r="F533" t="inlineStr">
        <is>
          <t>No</t>
        </is>
      </c>
      <c r="G533" t="inlineStr">
        <is>
          <t>1</t>
        </is>
      </c>
      <c r="H533" t="inlineStr">
        <is>
          <t>No</t>
        </is>
      </c>
      <c r="I533" t="inlineStr">
        <is>
          <t>No</t>
        </is>
      </c>
      <c r="J533" t="inlineStr">
        <is>
          <t>0</t>
        </is>
      </c>
      <c r="K533" t="inlineStr">
        <is>
          <t>Kohn, Marek.</t>
        </is>
      </c>
      <c r="L533" t="inlineStr">
        <is>
          <t>London : Jonathan Cape, 1995.</t>
        </is>
      </c>
      <c r="M533" t="inlineStr">
        <is>
          <t>1995</t>
        </is>
      </c>
      <c r="O533" t="inlineStr">
        <is>
          <t>eng</t>
        </is>
      </c>
      <c r="P533" t="inlineStr">
        <is>
          <t>enk</t>
        </is>
      </c>
      <c r="R533" t="inlineStr">
        <is>
          <t xml:space="preserve">GN </t>
        </is>
      </c>
      <c r="S533" t="n">
        <v>8</v>
      </c>
      <c r="T533" t="n">
        <v>8</v>
      </c>
      <c r="U533" t="inlineStr">
        <is>
          <t>1996-10-08</t>
        </is>
      </c>
      <c r="V533" t="inlineStr">
        <is>
          <t>1996-10-08</t>
        </is>
      </c>
      <c r="W533" t="inlineStr">
        <is>
          <t>1996-05-31</t>
        </is>
      </c>
      <c r="X533" t="inlineStr">
        <is>
          <t>1996-05-31</t>
        </is>
      </c>
      <c r="Y533" t="n">
        <v>186</v>
      </c>
      <c r="Z533" t="n">
        <v>100</v>
      </c>
      <c r="AA533" t="n">
        <v>109</v>
      </c>
      <c r="AB533" t="n">
        <v>2</v>
      </c>
      <c r="AC533" t="n">
        <v>2</v>
      </c>
      <c r="AD533" t="n">
        <v>5</v>
      </c>
      <c r="AE533" t="n">
        <v>6</v>
      </c>
      <c r="AF533" t="n">
        <v>3</v>
      </c>
      <c r="AG533" t="n">
        <v>4</v>
      </c>
      <c r="AH533" t="n">
        <v>1</v>
      </c>
      <c r="AI533" t="n">
        <v>1</v>
      </c>
      <c r="AJ533" t="n">
        <v>3</v>
      </c>
      <c r="AK533" t="n">
        <v>3</v>
      </c>
      <c r="AL533" t="n">
        <v>1</v>
      </c>
      <c r="AM533" t="n">
        <v>1</v>
      </c>
      <c r="AN533" t="n">
        <v>0</v>
      </c>
      <c r="AO533" t="n">
        <v>0</v>
      </c>
      <c r="AP533" t="inlineStr">
        <is>
          <t>No</t>
        </is>
      </c>
      <c r="AQ533" t="inlineStr">
        <is>
          <t>Yes</t>
        </is>
      </c>
      <c r="AR533">
        <f>HYPERLINK("http://catalog.hathitrust.org/Record/003028154","HathiTrust Record")</f>
        <v/>
      </c>
      <c r="AS533">
        <f>HYPERLINK("https://creighton-primo.hosted.exlibrisgroup.com/primo-explore/search?tab=default_tab&amp;search_scope=EVERYTHING&amp;vid=01CRU&amp;lang=en_US&amp;offset=0&amp;query=any,contains,991002575429702656","Catalog Record")</f>
        <v/>
      </c>
      <c r="AT533">
        <f>HYPERLINK("http://www.worldcat.org/oclc/33497181","WorldCat Record")</f>
        <v/>
      </c>
      <c r="AU533" t="inlineStr">
        <is>
          <t>38597999:eng</t>
        </is>
      </c>
      <c r="AV533" t="inlineStr">
        <is>
          <t>33497181</t>
        </is>
      </c>
      <c r="AW533" t="inlineStr">
        <is>
          <t>991002575429702656</t>
        </is>
      </c>
      <c r="AX533" t="inlineStr">
        <is>
          <t>991002575429702656</t>
        </is>
      </c>
      <c r="AY533" t="inlineStr">
        <is>
          <t>2261991750002656</t>
        </is>
      </c>
      <c r="AZ533" t="inlineStr">
        <is>
          <t>BOOK</t>
        </is>
      </c>
      <c r="BB533" t="inlineStr">
        <is>
          <t>9780224039581</t>
        </is>
      </c>
      <c r="BC533" t="inlineStr">
        <is>
          <t>32285002186160</t>
        </is>
      </c>
      <c r="BD533" t="inlineStr">
        <is>
          <t>893421549</t>
        </is>
      </c>
    </row>
    <row r="534">
      <c r="A534" t="inlineStr">
        <is>
          <t>No</t>
        </is>
      </c>
      <c r="B534" t="inlineStr">
        <is>
          <t>GN269 .R33</t>
        </is>
      </c>
      <c r="C534" t="inlineStr">
        <is>
          <t>0                      GN 0269000R  33</t>
        </is>
      </c>
      <c r="D534" t="inlineStr">
        <is>
          <t>Races and peoples : contemporary ethnic and racial problems / edited by I. R. Grigulevich and S. Y. Kozlov.</t>
        </is>
      </c>
      <c r="F534" t="inlineStr">
        <is>
          <t>No</t>
        </is>
      </c>
      <c r="G534" t="inlineStr">
        <is>
          <t>1</t>
        </is>
      </c>
      <c r="H534" t="inlineStr">
        <is>
          <t>No</t>
        </is>
      </c>
      <c r="I534" t="inlineStr">
        <is>
          <t>No</t>
        </is>
      </c>
      <c r="J534" t="inlineStr">
        <is>
          <t>0</t>
        </is>
      </c>
      <c r="L534" t="inlineStr">
        <is>
          <t>Moscow : Progress Publishers, 1974.</t>
        </is>
      </c>
      <c r="M534" t="inlineStr">
        <is>
          <t>1974</t>
        </is>
      </c>
      <c r="O534" t="inlineStr">
        <is>
          <t>eng</t>
        </is>
      </c>
      <c r="P534" t="inlineStr">
        <is>
          <t xml:space="preserve">ru </t>
        </is>
      </c>
      <c r="Q534" t="inlineStr">
        <is>
          <t>Current international problems</t>
        </is>
      </c>
      <c r="R534" t="inlineStr">
        <is>
          <t xml:space="preserve">GN </t>
        </is>
      </c>
      <c r="S534" t="n">
        <v>3</v>
      </c>
      <c r="T534" t="n">
        <v>3</v>
      </c>
      <c r="U534" t="inlineStr">
        <is>
          <t>1999-04-10</t>
        </is>
      </c>
      <c r="V534" t="inlineStr">
        <is>
          <t>1999-04-10</t>
        </is>
      </c>
      <c r="W534" t="inlineStr">
        <is>
          <t>1997-05-28</t>
        </is>
      </c>
      <c r="X534" t="inlineStr">
        <is>
          <t>1997-05-28</t>
        </is>
      </c>
      <c r="Y534" t="n">
        <v>121</v>
      </c>
      <c r="Z534" t="n">
        <v>84</v>
      </c>
      <c r="AA534" t="n">
        <v>88</v>
      </c>
      <c r="AB534" t="n">
        <v>1</v>
      </c>
      <c r="AC534" t="n">
        <v>1</v>
      </c>
      <c r="AD534" t="n">
        <v>1</v>
      </c>
      <c r="AE534" t="n">
        <v>2</v>
      </c>
      <c r="AF534" t="n">
        <v>0</v>
      </c>
      <c r="AG534" t="n">
        <v>0</v>
      </c>
      <c r="AH534" t="n">
        <v>1</v>
      </c>
      <c r="AI534" t="n">
        <v>2</v>
      </c>
      <c r="AJ534" t="n">
        <v>1</v>
      </c>
      <c r="AK534" t="n">
        <v>2</v>
      </c>
      <c r="AL534" t="n">
        <v>0</v>
      </c>
      <c r="AM534" t="n">
        <v>0</v>
      </c>
      <c r="AN534" t="n">
        <v>0</v>
      </c>
      <c r="AO534" t="n">
        <v>0</v>
      </c>
      <c r="AP534" t="inlineStr">
        <is>
          <t>No</t>
        </is>
      </c>
      <c r="AQ534" t="inlineStr">
        <is>
          <t>Yes</t>
        </is>
      </c>
      <c r="AR534">
        <f>HYPERLINK("http://catalog.hathitrust.org/Record/000299476","HathiTrust Record")</f>
        <v/>
      </c>
      <c r="AS534">
        <f>HYPERLINK("https://creighton-primo.hosted.exlibrisgroup.com/primo-explore/search?tab=default_tab&amp;search_scope=EVERYTHING&amp;vid=01CRU&amp;lang=en_US&amp;offset=0&amp;query=any,contains,991004735969702656","Catalog Record")</f>
        <v/>
      </c>
      <c r="AT534">
        <f>HYPERLINK("http://www.worldcat.org/oclc/4857637","WorldCat Record")</f>
        <v/>
      </c>
      <c r="AU534" t="inlineStr">
        <is>
          <t>413348425:eng</t>
        </is>
      </c>
      <c r="AV534" t="inlineStr">
        <is>
          <t>4857637</t>
        </is>
      </c>
      <c r="AW534" t="inlineStr">
        <is>
          <t>991004735969702656</t>
        </is>
      </c>
      <c r="AX534" t="inlineStr">
        <is>
          <t>991004735969702656</t>
        </is>
      </c>
      <c r="AY534" t="inlineStr">
        <is>
          <t>2266664000002656</t>
        </is>
      </c>
      <c r="AZ534" t="inlineStr">
        <is>
          <t>BOOK</t>
        </is>
      </c>
      <c r="BC534" t="inlineStr">
        <is>
          <t>32285002694825</t>
        </is>
      </c>
      <c r="BD534" t="inlineStr">
        <is>
          <t>893436682</t>
        </is>
      </c>
    </row>
    <row r="535">
      <c r="A535" t="inlineStr">
        <is>
          <t>No</t>
        </is>
      </c>
      <c r="B535" t="inlineStr">
        <is>
          <t>GN27 .M95 1965</t>
        </is>
      </c>
      <c r="C535" t="inlineStr">
        <is>
          <t>0                      GN 0027000M  95          1965</t>
        </is>
      </c>
      <c r="D535" t="inlineStr">
        <is>
          <t>Social structure.</t>
        </is>
      </c>
      <c r="F535" t="inlineStr">
        <is>
          <t>No</t>
        </is>
      </c>
      <c r="G535" t="inlineStr">
        <is>
          <t>1</t>
        </is>
      </c>
      <c r="H535" t="inlineStr">
        <is>
          <t>No</t>
        </is>
      </c>
      <c r="I535" t="inlineStr">
        <is>
          <t>No</t>
        </is>
      </c>
      <c r="J535" t="inlineStr">
        <is>
          <t>0</t>
        </is>
      </c>
      <c r="K535" t="inlineStr">
        <is>
          <t>Murdock, George Peter, 1897-1985.</t>
        </is>
      </c>
      <c r="L535" t="inlineStr">
        <is>
          <t>New York : Free Press, [1965]</t>
        </is>
      </c>
      <c r="M535" t="inlineStr">
        <is>
          <t>1965</t>
        </is>
      </c>
      <c r="O535" t="inlineStr">
        <is>
          <t>eng</t>
        </is>
      </c>
      <c r="P535" t="inlineStr">
        <is>
          <t xml:space="preserve">xx </t>
        </is>
      </c>
      <c r="R535" t="inlineStr">
        <is>
          <t xml:space="preserve">GN </t>
        </is>
      </c>
      <c r="S535" t="n">
        <v>8</v>
      </c>
      <c r="T535" t="n">
        <v>8</v>
      </c>
      <c r="U535" t="inlineStr">
        <is>
          <t>2003-08-04</t>
        </is>
      </c>
      <c r="V535" t="inlineStr">
        <is>
          <t>2003-08-04</t>
        </is>
      </c>
      <c r="W535" t="inlineStr">
        <is>
          <t>1995-06-30</t>
        </is>
      </c>
      <c r="X535" t="inlineStr">
        <is>
          <t>1995-06-30</t>
        </is>
      </c>
      <c r="Y535" t="n">
        <v>408</v>
      </c>
      <c r="Z535" t="n">
        <v>288</v>
      </c>
      <c r="AA535" t="n">
        <v>1105</v>
      </c>
      <c r="AB535" t="n">
        <v>4</v>
      </c>
      <c r="AC535" t="n">
        <v>10</v>
      </c>
      <c r="AD535" t="n">
        <v>15</v>
      </c>
      <c r="AE535" t="n">
        <v>52</v>
      </c>
      <c r="AF535" t="n">
        <v>4</v>
      </c>
      <c r="AG535" t="n">
        <v>21</v>
      </c>
      <c r="AH535" t="n">
        <v>5</v>
      </c>
      <c r="AI535" t="n">
        <v>11</v>
      </c>
      <c r="AJ535" t="n">
        <v>7</v>
      </c>
      <c r="AK535" t="n">
        <v>20</v>
      </c>
      <c r="AL535" t="n">
        <v>3</v>
      </c>
      <c r="AM535" t="n">
        <v>9</v>
      </c>
      <c r="AN535" t="n">
        <v>1</v>
      </c>
      <c r="AO535" t="n">
        <v>1</v>
      </c>
      <c r="AP535" t="inlineStr">
        <is>
          <t>No</t>
        </is>
      </c>
      <c r="AQ535" t="inlineStr">
        <is>
          <t>Yes</t>
        </is>
      </c>
      <c r="AR535">
        <f>HYPERLINK("http://catalog.hathitrust.org/Record/004420036","HathiTrust Record")</f>
        <v/>
      </c>
      <c r="AS535">
        <f>HYPERLINK("https://creighton-primo.hosted.exlibrisgroup.com/primo-explore/search?tab=default_tab&amp;search_scope=EVERYTHING&amp;vid=01CRU&amp;lang=en_US&amp;offset=0&amp;query=any,contains,991002988459702656","Catalog Record")</f>
        <v/>
      </c>
      <c r="AT535">
        <f>HYPERLINK("http://www.worldcat.org/oclc/558925","WorldCat Record")</f>
        <v/>
      </c>
      <c r="AU535" t="inlineStr">
        <is>
          <t>149315089:eng</t>
        </is>
      </c>
      <c r="AV535" t="inlineStr">
        <is>
          <t>558925</t>
        </is>
      </c>
      <c r="AW535" t="inlineStr">
        <is>
          <t>991002988459702656</t>
        </is>
      </c>
      <c r="AX535" t="inlineStr">
        <is>
          <t>991002988459702656</t>
        </is>
      </c>
      <c r="AY535" t="inlineStr">
        <is>
          <t>2258479070002656</t>
        </is>
      </c>
      <c r="AZ535" t="inlineStr">
        <is>
          <t>BOOK</t>
        </is>
      </c>
      <c r="BC535" t="inlineStr">
        <is>
          <t>32285002021524</t>
        </is>
      </c>
      <c r="BD535" t="inlineStr">
        <is>
          <t>893227550</t>
        </is>
      </c>
    </row>
    <row r="536">
      <c r="A536" t="inlineStr">
        <is>
          <t>No</t>
        </is>
      </c>
      <c r="B536" t="inlineStr">
        <is>
          <t>GN27 .N39 1996</t>
        </is>
      </c>
      <c r="C536" t="inlineStr">
        <is>
          <t>0                      GN 0027000N  39          1996</t>
        </is>
      </c>
      <c r="D536" t="inlineStr">
        <is>
          <t>Culture and change : an introduction / Larry L. Naylor.</t>
        </is>
      </c>
      <c r="F536" t="inlineStr">
        <is>
          <t>No</t>
        </is>
      </c>
      <c r="G536" t="inlineStr">
        <is>
          <t>1</t>
        </is>
      </c>
      <c r="H536" t="inlineStr">
        <is>
          <t>No</t>
        </is>
      </c>
      <c r="I536" t="inlineStr">
        <is>
          <t>No</t>
        </is>
      </c>
      <c r="J536" t="inlineStr">
        <is>
          <t>0</t>
        </is>
      </c>
      <c r="K536" t="inlineStr">
        <is>
          <t>Naylor, Larry L.</t>
        </is>
      </c>
      <c r="L536" t="inlineStr">
        <is>
          <t>Westport, Conn. : Bergin &amp; Garvey, 1996.</t>
        </is>
      </c>
      <c r="M536" t="inlineStr">
        <is>
          <t>1996</t>
        </is>
      </c>
      <c r="O536" t="inlineStr">
        <is>
          <t>eng</t>
        </is>
      </c>
      <c r="P536" t="inlineStr">
        <is>
          <t>ctu</t>
        </is>
      </c>
      <c r="R536" t="inlineStr">
        <is>
          <t xml:space="preserve">GN </t>
        </is>
      </c>
      <c r="S536" t="n">
        <v>4</v>
      </c>
      <c r="T536" t="n">
        <v>4</v>
      </c>
      <c r="U536" t="inlineStr">
        <is>
          <t>1998-03-27</t>
        </is>
      </c>
      <c r="V536" t="inlineStr">
        <is>
          <t>1998-03-27</t>
        </is>
      </c>
      <c r="W536" t="inlineStr">
        <is>
          <t>1996-07-22</t>
        </is>
      </c>
      <c r="X536" t="inlineStr">
        <is>
          <t>1996-07-22</t>
        </is>
      </c>
      <c r="Y536" t="n">
        <v>278</v>
      </c>
      <c r="Z536" t="n">
        <v>223</v>
      </c>
      <c r="AA536" t="n">
        <v>576</v>
      </c>
      <c r="AB536" t="n">
        <v>3</v>
      </c>
      <c r="AC536" t="n">
        <v>6</v>
      </c>
      <c r="AD536" t="n">
        <v>11</v>
      </c>
      <c r="AE536" t="n">
        <v>17</v>
      </c>
      <c r="AF536" t="n">
        <v>2</v>
      </c>
      <c r="AG536" t="n">
        <v>5</v>
      </c>
      <c r="AH536" t="n">
        <v>3</v>
      </c>
      <c r="AI536" t="n">
        <v>3</v>
      </c>
      <c r="AJ536" t="n">
        <v>7</v>
      </c>
      <c r="AK536" t="n">
        <v>8</v>
      </c>
      <c r="AL536" t="n">
        <v>1</v>
      </c>
      <c r="AM536" t="n">
        <v>4</v>
      </c>
      <c r="AN536" t="n">
        <v>0</v>
      </c>
      <c r="AO536" t="n">
        <v>0</v>
      </c>
      <c r="AP536" t="inlineStr">
        <is>
          <t>No</t>
        </is>
      </c>
      <c r="AQ536" t="inlineStr">
        <is>
          <t>Yes</t>
        </is>
      </c>
      <c r="AR536">
        <f>HYPERLINK("http://catalog.hathitrust.org/Record/003049005","HathiTrust Record")</f>
        <v/>
      </c>
      <c r="AS536">
        <f>HYPERLINK("https://creighton-primo.hosted.exlibrisgroup.com/primo-explore/search?tab=default_tab&amp;search_scope=EVERYTHING&amp;vid=01CRU&amp;lang=en_US&amp;offset=0&amp;query=any,contains,991002536849702656","Catalog Record")</f>
        <v/>
      </c>
      <c r="AT536">
        <f>HYPERLINK("http://www.worldcat.org/oclc/32969589","WorldCat Record")</f>
        <v/>
      </c>
      <c r="AU536" t="inlineStr">
        <is>
          <t>797263206:eng</t>
        </is>
      </c>
      <c r="AV536" t="inlineStr">
        <is>
          <t>32969589</t>
        </is>
      </c>
      <c r="AW536" t="inlineStr">
        <is>
          <t>991002536849702656</t>
        </is>
      </c>
      <c r="AX536" t="inlineStr">
        <is>
          <t>991002536849702656</t>
        </is>
      </c>
      <c r="AY536" t="inlineStr">
        <is>
          <t>2265875370002656</t>
        </is>
      </c>
      <c r="AZ536" t="inlineStr">
        <is>
          <t>BOOK</t>
        </is>
      </c>
      <c r="BB536" t="inlineStr">
        <is>
          <t>9780897894647</t>
        </is>
      </c>
      <c r="BC536" t="inlineStr">
        <is>
          <t>32285002207453</t>
        </is>
      </c>
      <c r="BD536" t="inlineStr">
        <is>
          <t>893341560</t>
        </is>
      </c>
    </row>
    <row r="537">
      <c r="A537" t="inlineStr">
        <is>
          <t>No</t>
        </is>
      </c>
      <c r="B537" t="inlineStr">
        <is>
          <t>GN270 .C74</t>
        </is>
      </c>
      <c r="C537" t="inlineStr">
        <is>
          <t>0                      GN 0270000C  74</t>
        </is>
      </c>
      <c r="D537" t="inlineStr">
        <is>
          <t>Cross-cultural perspectives on learning / edited by Richard W. Brislin, Stephen Bochner, Walter J. Lonner.</t>
        </is>
      </c>
      <c r="F537" t="inlineStr">
        <is>
          <t>No</t>
        </is>
      </c>
      <c r="G537" t="inlineStr">
        <is>
          <t>1</t>
        </is>
      </c>
      <c r="H537" t="inlineStr">
        <is>
          <t>No</t>
        </is>
      </c>
      <c r="I537" t="inlineStr">
        <is>
          <t>No</t>
        </is>
      </c>
      <c r="J537" t="inlineStr">
        <is>
          <t>0</t>
        </is>
      </c>
      <c r="L537" t="inlineStr">
        <is>
          <t>Beverly Hills, Calif. : Sage Publications ; New York : distributed by Halsted Press, [1975]</t>
        </is>
      </c>
      <c r="M537" t="inlineStr">
        <is>
          <t>1975</t>
        </is>
      </c>
      <c r="O537" t="inlineStr">
        <is>
          <t>eng</t>
        </is>
      </c>
      <c r="P537" t="inlineStr">
        <is>
          <t>cau</t>
        </is>
      </c>
      <c r="Q537" t="inlineStr">
        <is>
          <t>Cross-cultural research and methodology series</t>
        </is>
      </c>
      <c r="R537" t="inlineStr">
        <is>
          <t xml:space="preserve">GN </t>
        </is>
      </c>
      <c r="S537" t="n">
        <v>3</v>
      </c>
      <c r="T537" t="n">
        <v>3</v>
      </c>
      <c r="U537" t="inlineStr">
        <is>
          <t>1997-11-06</t>
        </is>
      </c>
      <c r="V537" t="inlineStr">
        <is>
          <t>1997-11-06</t>
        </is>
      </c>
      <c r="W537" t="inlineStr">
        <is>
          <t>1997-05-28</t>
        </is>
      </c>
      <c r="X537" t="inlineStr">
        <is>
          <t>1997-05-28</t>
        </is>
      </c>
      <c r="Y537" t="n">
        <v>475</v>
      </c>
      <c r="Z537" t="n">
        <v>390</v>
      </c>
      <c r="AA537" t="n">
        <v>400</v>
      </c>
      <c r="AB537" t="n">
        <v>3</v>
      </c>
      <c r="AC537" t="n">
        <v>3</v>
      </c>
      <c r="AD537" t="n">
        <v>14</v>
      </c>
      <c r="AE537" t="n">
        <v>14</v>
      </c>
      <c r="AF537" t="n">
        <v>4</v>
      </c>
      <c r="AG537" t="n">
        <v>4</v>
      </c>
      <c r="AH537" t="n">
        <v>4</v>
      </c>
      <c r="AI537" t="n">
        <v>4</v>
      </c>
      <c r="AJ537" t="n">
        <v>6</v>
      </c>
      <c r="AK537" t="n">
        <v>6</v>
      </c>
      <c r="AL537" t="n">
        <v>2</v>
      </c>
      <c r="AM537" t="n">
        <v>2</v>
      </c>
      <c r="AN537" t="n">
        <v>0</v>
      </c>
      <c r="AO537" t="n">
        <v>0</v>
      </c>
      <c r="AP537" t="inlineStr">
        <is>
          <t>No</t>
        </is>
      </c>
      <c r="AQ537" t="inlineStr">
        <is>
          <t>Yes</t>
        </is>
      </c>
      <c r="AR537">
        <f>HYPERLINK("http://catalog.hathitrust.org/Record/001879045","HathiTrust Record")</f>
        <v/>
      </c>
      <c r="AS537">
        <f>HYPERLINK("https://creighton-primo.hosted.exlibrisgroup.com/primo-explore/search?tab=default_tab&amp;search_scope=EVERYTHING&amp;vid=01CRU&amp;lang=en_US&amp;offset=0&amp;query=any,contains,991003537379702656","Catalog Record")</f>
        <v/>
      </c>
      <c r="AT537">
        <f>HYPERLINK("http://www.worldcat.org/oclc/1102900","WorldCat Record")</f>
        <v/>
      </c>
      <c r="AU537" t="inlineStr">
        <is>
          <t>350498544:eng</t>
        </is>
      </c>
      <c r="AV537" t="inlineStr">
        <is>
          <t>1102900</t>
        </is>
      </c>
      <c r="AW537" t="inlineStr">
        <is>
          <t>991003537379702656</t>
        </is>
      </c>
      <c r="AX537" t="inlineStr">
        <is>
          <t>991003537379702656</t>
        </is>
      </c>
      <c r="AY537" t="inlineStr">
        <is>
          <t>2270131150002656</t>
        </is>
      </c>
      <c r="AZ537" t="inlineStr">
        <is>
          <t>BOOK</t>
        </is>
      </c>
      <c r="BB537" t="inlineStr">
        <is>
          <t>9780470104712</t>
        </is>
      </c>
      <c r="BC537" t="inlineStr">
        <is>
          <t>32285002694841</t>
        </is>
      </c>
      <c r="BD537" t="inlineStr">
        <is>
          <t>893623602</t>
        </is>
      </c>
    </row>
    <row r="538">
      <c r="A538" t="inlineStr">
        <is>
          <t>No</t>
        </is>
      </c>
      <c r="B538" t="inlineStr">
        <is>
          <t>GN280 .H5713 1973</t>
        </is>
      </c>
      <c r="C538" t="inlineStr">
        <is>
          <t>0                      GN 0280000H  5713        1973</t>
        </is>
      </c>
      <c r="D538" t="inlineStr">
        <is>
          <t>Racism / translated and edited by Eden and Cedar Paul.</t>
        </is>
      </c>
      <c r="F538" t="inlineStr">
        <is>
          <t>No</t>
        </is>
      </c>
      <c r="G538" t="inlineStr">
        <is>
          <t>1</t>
        </is>
      </c>
      <c r="H538" t="inlineStr">
        <is>
          <t>No</t>
        </is>
      </c>
      <c r="I538" t="inlineStr">
        <is>
          <t>No</t>
        </is>
      </c>
      <c r="J538" t="inlineStr">
        <is>
          <t>0</t>
        </is>
      </c>
      <c r="K538" t="inlineStr">
        <is>
          <t>Hirschfeld, Magnus, 1868-1935.</t>
        </is>
      </c>
      <c r="L538" t="inlineStr">
        <is>
          <t>Port Washington, N.Y. : Kennikat Press, [1973]</t>
        </is>
      </c>
      <c r="M538" t="inlineStr">
        <is>
          <t>1973</t>
        </is>
      </c>
      <c r="O538" t="inlineStr">
        <is>
          <t>eng</t>
        </is>
      </c>
      <c r="P538" t="inlineStr">
        <is>
          <t>nyu</t>
        </is>
      </c>
      <c r="R538" t="inlineStr">
        <is>
          <t xml:space="preserve">GN </t>
        </is>
      </c>
      <c r="S538" t="n">
        <v>1</v>
      </c>
      <c r="T538" t="n">
        <v>1</v>
      </c>
      <c r="U538" t="inlineStr">
        <is>
          <t>1997-02-25</t>
        </is>
      </c>
      <c r="V538" t="inlineStr">
        <is>
          <t>1997-02-25</t>
        </is>
      </c>
      <c r="W538" t="inlineStr">
        <is>
          <t>1990-11-30</t>
        </is>
      </c>
      <c r="X538" t="inlineStr">
        <is>
          <t>1990-11-30</t>
        </is>
      </c>
      <c r="Y538" t="n">
        <v>156</v>
      </c>
      <c r="Z538" t="n">
        <v>140</v>
      </c>
      <c r="AA538" t="n">
        <v>179</v>
      </c>
      <c r="AB538" t="n">
        <v>1</v>
      </c>
      <c r="AC538" t="n">
        <v>1</v>
      </c>
      <c r="AD538" t="n">
        <v>3</v>
      </c>
      <c r="AE538" t="n">
        <v>3</v>
      </c>
      <c r="AF538" t="n">
        <v>1</v>
      </c>
      <c r="AG538" t="n">
        <v>1</v>
      </c>
      <c r="AH538" t="n">
        <v>1</v>
      </c>
      <c r="AI538" t="n">
        <v>1</v>
      </c>
      <c r="AJ538" t="n">
        <v>1</v>
      </c>
      <c r="AK538" t="n">
        <v>1</v>
      </c>
      <c r="AL538" t="n">
        <v>0</v>
      </c>
      <c r="AM538" t="n">
        <v>0</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HYPERLINK("https://creighton-primo.hosted.exlibrisgroup.com/primo-explore/search?tab=default_tab&amp;search_scope=EVERYTHING&amp;vid=01CRU&amp;lang=en_US&amp;offset=0&amp;query=any,contains,991002951489702656","Catalog Record")</f>
        <v/>
      </c>
      <c r="AT538">
        <f>HYPERLINK("http://www.worldcat.org/oclc/539040","WorldCat Record")</f>
        <v/>
      </c>
      <c r="AU538" t="inlineStr">
        <is>
          <t>1563626:eng</t>
        </is>
      </c>
      <c r="AV538" t="inlineStr">
        <is>
          <t>539040</t>
        </is>
      </c>
      <c r="AW538" t="inlineStr">
        <is>
          <t>991002951489702656</t>
        </is>
      </c>
      <c r="AX538" t="inlineStr">
        <is>
          <t>991002951489702656</t>
        </is>
      </c>
      <c r="AY538" t="inlineStr">
        <is>
          <t>2264236960002656</t>
        </is>
      </c>
      <c r="AZ538" t="inlineStr">
        <is>
          <t>BOOK</t>
        </is>
      </c>
      <c r="BB538" t="inlineStr">
        <is>
          <t>9780804617550</t>
        </is>
      </c>
      <c r="BC538" t="inlineStr">
        <is>
          <t>32285000410786</t>
        </is>
      </c>
      <c r="BD538" t="inlineStr">
        <is>
          <t>893511401</t>
        </is>
      </c>
    </row>
    <row r="539">
      <c r="A539" t="inlineStr">
        <is>
          <t>No</t>
        </is>
      </c>
      <c r="B539" t="inlineStr">
        <is>
          <t>GN280 .R32</t>
        </is>
      </c>
      <c r="C539" t="inlineStr">
        <is>
          <t>0                      GN 0280000R  32</t>
        </is>
      </c>
      <c r="D539" t="inlineStr">
        <is>
          <t>Racial variation in man : proceedings of a symposium held at the Royal Geographical Society, London, on 19 and 20 September 1974 / edited by F. J. Ebling.</t>
        </is>
      </c>
      <c r="F539" t="inlineStr">
        <is>
          <t>No</t>
        </is>
      </c>
      <c r="G539" t="inlineStr">
        <is>
          <t>1</t>
        </is>
      </c>
      <c r="H539" t="inlineStr">
        <is>
          <t>No</t>
        </is>
      </c>
      <c r="I539" t="inlineStr">
        <is>
          <t>No</t>
        </is>
      </c>
      <c r="J539" t="inlineStr">
        <is>
          <t>0</t>
        </is>
      </c>
      <c r="L539" t="inlineStr">
        <is>
          <t>London : Institute of Biology ; New York : Wiley, 1975.</t>
        </is>
      </c>
      <c r="M539" t="inlineStr">
        <is>
          <t>1975</t>
        </is>
      </c>
      <c r="O539" t="inlineStr">
        <is>
          <t>eng</t>
        </is>
      </c>
      <c r="P539" t="inlineStr">
        <is>
          <t>nyu</t>
        </is>
      </c>
      <c r="Q539" t="inlineStr">
        <is>
          <t>Symposia of the Institute of Biology ; no. 22</t>
        </is>
      </c>
      <c r="R539" t="inlineStr">
        <is>
          <t xml:space="preserve">GN </t>
        </is>
      </c>
      <c r="S539" t="n">
        <v>13</v>
      </c>
      <c r="T539" t="n">
        <v>13</v>
      </c>
      <c r="U539" t="inlineStr">
        <is>
          <t>2006-05-03</t>
        </is>
      </c>
      <c r="V539" t="inlineStr">
        <is>
          <t>2006-05-03</t>
        </is>
      </c>
      <c r="W539" t="inlineStr">
        <is>
          <t>1990-11-30</t>
        </is>
      </c>
      <c r="X539" t="inlineStr">
        <is>
          <t>1990-11-30</t>
        </is>
      </c>
      <c r="Y539" t="n">
        <v>494</v>
      </c>
      <c r="Z539" t="n">
        <v>390</v>
      </c>
      <c r="AA539" t="n">
        <v>397</v>
      </c>
      <c r="AB539" t="n">
        <v>5</v>
      </c>
      <c r="AC539" t="n">
        <v>5</v>
      </c>
      <c r="AD539" t="n">
        <v>11</v>
      </c>
      <c r="AE539" t="n">
        <v>11</v>
      </c>
      <c r="AF539" t="n">
        <v>3</v>
      </c>
      <c r="AG539" t="n">
        <v>3</v>
      </c>
      <c r="AH539" t="n">
        <v>3</v>
      </c>
      <c r="AI539" t="n">
        <v>3</v>
      </c>
      <c r="AJ539" t="n">
        <v>2</v>
      </c>
      <c r="AK539" t="n">
        <v>2</v>
      </c>
      <c r="AL539" t="n">
        <v>4</v>
      </c>
      <c r="AM539" t="n">
        <v>4</v>
      </c>
      <c r="AN539" t="n">
        <v>0</v>
      </c>
      <c r="AO539" t="n">
        <v>0</v>
      </c>
      <c r="AP539" t="inlineStr">
        <is>
          <t>No</t>
        </is>
      </c>
      <c r="AQ539" t="inlineStr">
        <is>
          <t>Yes</t>
        </is>
      </c>
      <c r="AR539">
        <f>HYPERLINK("http://catalog.hathitrust.org/Record/000038834","HathiTrust Record")</f>
        <v/>
      </c>
      <c r="AS539">
        <f>HYPERLINK("https://creighton-primo.hosted.exlibrisgroup.com/primo-explore/search?tab=default_tab&amp;search_scope=EVERYTHING&amp;vid=01CRU&amp;lang=en_US&amp;offset=0&amp;query=any,contains,991003703439702656","Catalog Record")</f>
        <v/>
      </c>
      <c r="AT539">
        <f>HYPERLINK("http://www.worldcat.org/oclc/1339790","WorldCat Record")</f>
        <v/>
      </c>
      <c r="AU539" t="inlineStr">
        <is>
          <t>365678595:eng</t>
        </is>
      </c>
      <c r="AV539" t="inlineStr">
        <is>
          <t>1339790</t>
        </is>
      </c>
      <c r="AW539" t="inlineStr">
        <is>
          <t>991003703439702656</t>
        </is>
      </c>
      <c r="AX539" t="inlineStr">
        <is>
          <t>991003703439702656</t>
        </is>
      </c>
      <c r="AY539" t="inlineStr">
        <is>
          <t>2254724450002656</t>
        </is>
      </c>
      <c r="AZ539" t="inlineStr">
        <is>
          <t>BOOK</t>
        </is>
      </c>
      <c r="BB539" t="inlineStr">
        <is>
          <t>9780470229552</t>
        </is>
      </c>
      <c r="BC539" t="inlineStr">
        <is>
          <t>32285000410802</t>
        </is>
      </c>
      <c r="BD539" t="inlineStr">
        <is>
          <t>893705530</t>
        </is>
      </c>
    </row>
    <row r="540">
      <c r="A540" t="inlineStr">
        <is>
          <t>No</t>
        </is>
      </c>
      <c r="B540" t="inlineStr">
        <is>
          <t>GN280.7 .L36</t>
        </is>
      </c>
      <c r="C540" t="inlineStr">
        <is>
          <t>0                      GN 0280700L  36</t>
        </is>
      </c>
      <c r="D540" t="inlineStr">
        <is>
          <t>Primate behavior and the emergence of human culture / Jane Beckman Lancaster.</t>
        </is>
      </c>
      <c r="F540" t="inlineStr">
        <is>
          <t>No</t>
        </is>
      </c>
      <c r="G540" t="inlineStr">
        <is>
          <t>1</t>
        </is>
      </c>
      <c r="H540" t="inlineStr">
        <is>
          <t>No</t>
        </is>
      </c>
      <c r="I540" t="inlineStr">
        <is>
          <t>No</t>
        </is>
      </c>
      <c r="J540" t="inlineStr">
        <is>
          <t>0</t>
        </is>
      </c>
      <c r="K540" t="inlineStr">
        <is>
          <t>Lancaster, Jane Beckman, 1935-</t>
        </is>
      </c>
      <c r="L540" t="inlineStr">
        <is>
          <t>New York : Holt, Rinehart and Winston, [1975]</t>
        </is>
      </c>
      <c r="M540" t="inlineStr">
        <is>
          <t>1975</t>
        </is>
      </c>
      <c r="O540" t="inlineStr">
        <is>
          <t>eng</t>
        </is>
      </c>
      <c r="P540" t="inlineStr">
        <is>
          <t>nyu</t>
        </is>
      </c>
      <c r="Q540" t="inlineStr">
        <is>
          <t>Basic anthropology units</t>
        </is>
      </c>
      <c r="R540" t="inlineStr">
        <is>
          <t xml:space="preserve">GN </t>
        </is>
      </c>
      <c r="S540" t="n">
        <v>3</v>
      </c>
      <c r="T540" t="n">
        <v>3</v>
      </c>
      <c r="U540" t="inlineStr">
        <is>
          <t>1997-02-23</t>
        </is>
      </c>
      <c r="V540" t="inlineStr">
        <is>
          <t>1997-02-23</t>
        </is>
      </c>
      <c r="W540" t="inlineStr">
        <is>
          <t>1994-02-24</t>
        </is>
      </c>
      <c r="X540" t="inlineStr">
        <is>
          <t>1994-02-24</t>
        </is>
      </c>
      <c r="Y540" t="n">
        <v>646</v>
      </c>
      <c r="Z540" t="n">
        <v>507</v>
      </c>
      <c r="AA540" t="n">
        <v>507</v>
      </c>
      <c r="AB540" t="n">
        <v>3</v>
      </c>
      <c r="AC540" t="n">
        <v>3</v>
      </c>
      <c r="AD540" t="n">
        <v>21</v>
      </c>
      <c r="AE540" t="n">
        <v>21</v>
      </c>
      <c r="AF540" t="n">
        <v>9</v>
      </c>
      <c r="AG540" t="n">
        <v>9</v>
      </c>
      <c r="AH540" t="n">
        <v>4</v>
      </c>
      <c r="AI540" t="n">
        <v>4</v>
      </c>
      <c r="AJ540" t="n">
        <v>12</v>
      </c>
      <c r="AK540" t="n">
        <v>12</v>
      </c>
      <c r="AL540" t="n">
        <v>2</v>
      </c>
      <c r="AM540" t="n">
        <v>2</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HYPERLINK("https://creighton-primo.hosted.exlibrisgroup.com/primo-explore/search?tab=default_tab&amp;search_scope=EVERYTHING&amp;vid=01CRU&amp;lang=en_US&amp;offset=0&amp;query=any,contains,991003523769702656","Catalog Record")</f>
        <v/>
      </c>
      <c r="AT540">
        <f>HYPERLINK("http://www.worldcat.org/oclc/1085780","WorldCat Record")</f>
        <v/>
      </c>
      <c r="AU540" t="inlineStr">
        <is>
          <t>401843:eng</t>
        </is>
      </c>
      <c r="AV540" t="inlineStr">
        <is>
          <t>1085780</t>
        </is>
      </c>
      <c r="AW540" t="inlineStr">
        <is>
          <t>991003523769702656</t>
        </is>
      </c>
      <c r="AX540" t="inlineStr">
        <is>
          <t>991003523769702656</t>
        </is>
      </c>
      <c r="AY540" t="inlineStr">
        <is>
          <t>2269543040002656</t>
        </is>
      </c>
      <c r="AZ540" t="inlineStr">
        <is>
          <t>BOOK</t>
        </is>
      </c>
      <c r="BB540" t="inlineStr">
        <is>
          <t>9780030913112</t>
        </is>
      </c>
      <c r="BC540" t="inlineStr">
        <is>
          <t>32285001850253</t>
        </is>
      </c>
      <c r="BD540" t="inlineStr">
        <is>
          <t>893611140</t>
        </is>
      </c>
    </row>
    <row r="541">
      <c r="A541" t="inlineStr">
        <is>
          <t>No</t>
        </is>
      </c>
      <c r="B541" t="inlineStr">
        <is>
          <t>GN281 .B59 1984</t>
        </is>
      </c>
      <c r="C541" t="inlineStr">
        <is>
          <t>0                      GN 0281000B  59          1984</t>
        </is>
      </c>
      <c r="D541" t="inlineStr">
        <is>
          <t>Theories of evolution / by H. James Birx.</t>
        </is>
      </c>
      <c r="F541" t="inlineStr">
        <is>
          <t>No</t>
        </is>
      </c>
      <c r="G541" t="inlineStr">
        <is>
          <t>1</t>
        </is>
      </c>
      <c r="H541" t="inlineStr">
        <is>
          <t>No</t>
        </is>
      </c>
      <c r="I541" t="inlineStr">
        <is>
          <t>No</t>
        </is>
      </c>
      <c r="J541" t="inlineStr">
        <is>
          <t>0</t>
        </is>
      </c>
      <c r="K541" t="inlineStr">
        <is>
          <t>Birx, H. James.</t>
        </is>
      </c>
      <c r="L541" t="inlineStr">
        <is>
          <t>Springfield, Ill., U.S.A. : Thomas, c1984.</t>
        </is>
      </c>
      <c r="M541" t="inlineStr">
        <is>
          <t>1984</t>
        </is>
      </c>
      <c r="O541" t="inlineStr">
        <is>
          <t>eng</t>
        </is>
      </c>
      <c r="P541" t="inlineStr">
        <is>
          <t>ilu</t>
        </is>
      </c>
      <c r="R541" t="inlineStr">
        <is>
          <t xml:space="preserve">GN </t>
        </is>
      </c>
      <c r="S541" t="n">
        <v>6</v>
      </c>
      <c r="T541" t="n">
        <v>6</v>
      </c>
      <c r="U541" t="inlineStr">
        <is>
          <t>1995-02-18</t>
        </is>
      </c>
      <c r="V541" t="inlineStr">
        <is>
          <t>1995-02-18</t>
        </is>
      </c>
      <c r="W541" t="inlineStr">
        <is>
          <t>1990-09-20</t>
        </is>
      </c>
      <c r="X541" t="inlineStr">
        <is>
          <t>1990-09-20</t>
        </is>
      </c>
      <c r="Y541" t="n">
        <v>719</v>
      </c>
      <c r="Z541" t="n">
        <v>636</v>
      </c>
      <c r="AA541" t="n">
        <v>636</v>
      </c>
      <c r="AB541" t="n">
        <v>5</v>
      </c>
      <c r="AC541" t="n">
        <v>5</v>
      </c>
      <c r="AD541" t="n">
        <v>30</v>
      </c>
      <c r="AE541" t="n">
        <v>30</v>
      </c>
      <c r="AF541" t="n">
        <v>14</v>
      </c>
      <c r="AG541" t="n">
        <v>14</v>
      </c>
      <c r="AH541" t="n">
        <v>7</v>
      </c>
      <c r="AI541" t="n">
        <v>7</v>
      </c>
      <c r="AJ541" t="n">
        <v>14</v>
      </c>
      <c r="AK541" t="n">
        <v>14</v>
      </c>
      <c r="AL541" t="n">
        <v>4</v>
      </c>
      <c r="AM541" t="n">
        <v>4</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HYPERLINK("https://creighton-primo.hosted.exlibrisgroup.com/primo-explore/search?tab=default_tab&amp;search_scope=EVERYTHING&amp;vid=01CRU&amp;lang=en_US&amp;offset=0&amp;query=any,contains,991000231989702656","Catalog Record")</f>
        <v/>
      </c>
      <c r="AT541">
        <f>HYPERLINK("http://www.worldcat.org/oclc/9644337","WorldCat Record")</f>
        <v/>
      </c>
      <c r="AU541" t="inlineStr">
        <is>
          <t>19948362:eng</t>
        </is>
      </c>
      <c r="AV541" t="inlineStr">
        <is>
          <t>9644337</t>
        </is>
      </c>
      <c r="AW541" t="inlineStr">
        <is>
          <t>991000231989702656</t>
        </is>
      </c>
      <c r="AX541" t="inlineStr">
        <is>
          <t>991000231989702656</t>
        </is>
      </c>
      <c r="AY541" t="inlineStr">
        <is>
          <t>2267561790002656</t>
        </is>
      </c>
      <c r="AZ541" t="inlineStr">
        <is>
          <t>BOOK</t>
        </is>
      </c>
      <c r="BB541" t="inlineStr">
        <is>
          <t>9780398049027</t>
        </is>
      </c>
      <c r="BC541" t="inlineStr">
        <is>
          <t>32285000315043</t>
        </is>
      </c>
      <c r="BD541" t="inlineStr">
        <is>
          <t>893314791</t>
        </is>
      </c>
    </row>
    <row r="542">
      <c r="A542" t="inlineStr">
        <is>
          <t>No</t>
        </is>
      </c>
      <c r="B542" t="inlineStr">
        <is>
          <t>GN281 .B67 1979</t>
        </is>
      </c>
      <c r="C542" t="inlineStr">
        <is>
          <t>0                      GN 0281000B  67          1979</t>
        </is>
      </c>
      <c r="D542" t="inlineStr">
        <is>
          <t>The stages of human evolution : human and cultural origins / C. Loring Brace.</t>
        </is>
      </c>
      <c r="F542" t="inlineStr">
        <is>
          <t>No</t>
        </is>
      </c>
      <c r="G542" t="inlineStr">
        <is>
          <t>1</t>
        </is>
      </c>
      <c r="H542" t="inlineStr">
        <is>
          <t>No</t>
        </is>
      </c>
      <c r="I542" t="inlineStr">
        <is>
          <t>No</t>
        </is>
      </c>
      <c r="J542" t="inlineStr">
        <is>
          <t>0</t>
        </is>
      </c>
      <c r="K542" t="inlineStr">
        <is>
          <t>Brace, C. Loring.</t>
        </is>
      </c>
      <c r="L542" t="inlineStr">
        <is>
          <t>Englewood Cliffs, N.J. : Prentice-Hall, [c1979]</t>
        </is>
      </c>
      <c r="M542" t="inlineStr">
        <is>
          <t>1979</t>
        </is>
      </c>
      <c r="N542" t="inlineStr">
        <is>
          <t>2d ed.</t>
        </is>
      </c>
      <c r="O542" t="inlineStr">
        <is>
          <t>eng</t>
        </is>
      </c>
      <c r="P542" t="inlineStr">
        <is>
          <t>nju</t>
        </is>
      </c>
      <c r="Q542" t="inlineStr">
        <is>
          <t>Foundations of modern anthropology series</t>
        </is>
      </c>
      <c r="R542" t="inlineStr">
        <is>
          <t xml:space="preserve">GN </t>
        </is>
      </c>
      <c r="S542" t="n">
        <v>9</v>
      </c>
      <c r="T542" t="n">
        <v>9</v>
      </c>
      <c r="U542" t="inlineStr">
        <is>
          <t>1997-02-23</t>
        </is>
      </c>
      <c r="V542" t="inlineStr">
        <is>
          <t>1997-02-23</t>
        </is>
      </c>
      <c r="W542" t="inlineStr">
        <is>
          <t>1990-09-20</t>
        </is>
      </c>
      <c r="X542" t="inlineStr">
        <is>
          <t>1990-09-20</t>
        </is>
      </c>
      <c r="Y542" t="n">
        <v>461</v>
      </c>
      <c r="Z542" t="n">
        <v>387</v>
      </c>
      <c r="AA542" t="n">
        <v>1134</v>
      </c>
      <c r="AB542" t="n">
        <v>4</v>
      </c>
      <c r="AC542" t="n">
        <v>7</v>
      </c>
      <c r="AD542" t="n">
        <v>9</v>
      </c>
      <c r="AE542" t="n">
        <v>41</v>
      </c>
      <c r="AF542" t="n">
        <v>4</v>
      </c>
      <c r="AG542" t="n">
        <v>18</v>
      </c>
      <c r="AH542" t="n">
        <v>2</v>
      </c>
      <c r="AI542" t="n">
        <v>9</v>
      </c>
      <c r="AJ542" t="n">
        <v>4</v>
      </c>
      <c r="AK542" t="n">
        <v>20</v>
      </c>
      <c r="AL542" t="n">
        <v>2</v>
      </c>
      <c r="AM542" t="n">
        <v>5</v>
      </c>
      <c r="AN542" t="n">
        <v>0</v>
      </c>
      <c r="AO542" t="n">
        <v>0</v>
      </c>
      <c r="AP542" t="inlineStr">
        <is>
          <t>No</t>
        </is>
      </c>
      <c r="AQ542" t="inlineStr">
        <is>
          <t>Yes</t>
        </is>
      </c>
      <c r="AR542">
        <f>HYPERLINK("http://catalog.hathitrust.org/Record/000177764","HathiTrust Record")</f>
        <v/>
      </c>
      <c r="AS542">
        <f>HYPERLINK("https://creighton-primo.hosted.exlibrisgroup.com/primo-explore/search?tab=default_tab&amp;search_scope=EVERYTHING&amp;vid=01CRU&amp;lang=en_US&amp;offset=0&amp;query=any,contains,991004572369702656","Catalog Record")</f>
        <v/>
      </c>
      <c r="AT542">
        <f>HYPERLINK("http://www.worldcat.org/oclc/4036435","WorldCat Record")</f>
        <v/>
      </c>
      <c r="AU542" t="inlineStr">
        <is>
          <t>373089438:eng</t>
        </is>
      </c>
      <c r="AV542" t="inlineStr">
        <is>
          <t>4036435</t>
        </is>
      </c>
      <c r="AW542" t="inlineStr">
        <is>
          <t>991004572369702656</t>
        </is>
      </c>
      <c r="AX542" t="inlineStr">
        <is>
          <t>991004572369702656</t>
        </is>
      </c>
      <c r="AY542" t="inlineStr">
        <is>
          <t>2269519700002656</t>
        </is>
      </c>
      <c r="AZ542" t="inlineStr">
        <is>
          <t>BOOK</t>
        </is>
      </c>
      <c r="BB542" t="inlineStr">
        <is>
          <t>9780138401573</t>
        </is>
      </c>
      <c r="BC542" t="inlineStr">
        <is>
          <t>32285000315068</t>
        </is>
      </c>
      <c r="BD542" t="inlineStr">
        <is>
          <t>893706577</t>
        </is>
      </c>
    </row>
    <row r="543">
      <c r="A543" t="inlineStr">
        <is>
          <t>No</t>
        </is>
      </c>
      <c r="B543" t="inlineStr">
        <is>
          <t>GN281 .B69 1980</t>
        </is>
      </c>
      <c r="C543" t="inlineStr">
        <is>
          <t>0                      GN 0281000B  69          1980</t>
        </is>
      </c>
      <c r="D543" t="inlineStr">
        <is>
          <t>Man's place in evolution / British Museum (Natural History).</t>
        </is>
      </c>
      <c r="F543" t="inlineStr">
        <is>
          <t>No</t>
        </is>
      </c>
      <c r="G543" t="inlineStr">
        <is>
          <t>1</t>
        </is>
      </c>
      <c r="H543" t="inlineStr">
        <is>
          <t>No</t>
        </is>
      </c>
      <c r="I543" t="inlineStr">
        <is>
          <t>No</t>
        </is>
      </c>
      <c r="J543" t="inlineStr">
        <is>
          <t>0</t>
        </is>
      </c>
      <c r="K543" t="inlineStr">
        <is>
          <t>British Museum (Natural History)</t>
        </is>
      </c>
      <c r="L543" t="inlineStr">
        <is>
          <t>London : The Museum ; Cambridge [England] ; New York, N.Y. : Cambridge University Press, 1980.</t>
        </is>
      </c>
      <c r="M543" t="inlineStr">
        <is>
          <t>1980</t>
        </is>
      </c>
      <c r="O543" t="inlineStr">
        <is>
          <t>eng</t>
        </is>
      </c>
      <c r="P543" t="inlineStr">
        <is>
          <t>enk</t>
        </is>
      </c>
      <c r="R543" t="inlineStr">
        <is>
          <t xml:space="preserve">GN </t>
        </is>
      </c>
      <c r="S543" t="n">
        <v>14</v>
      </c>
      <c r="T543" t="n">
        <v>14</v>
      </c>
      <c r="U543" t="inlineStr">
        <is>
          <t>1999-09-20</t>
        </is>
      </c>
      <c r="V543" t="inlineStr">
        <is>
          <t>1999-09-20</t>
        </is>
      </c>
      <c r="W543" t="inlineStr">
        <is>
          <t>1990-09-20</t>
        </is>
      </c>
      <c r="X543" t="inlineStr">
        <is>
          <t>1990-09-20</t>
        </is>
      </c>
      <c r="Y543" t="n">
        <v>461</v>
      </c>
      <c r="Z543" t="n">
        <v>355</v>
      </c>
      <c r="AA543" t="n">
        <v>360</v>
      </c>
      <c r="AB543" t="n">
        <v>2</v>
      </c>
      <c r="AC543" t="n">
        <v>2</v>
      </c>
      <c r="AD543" t="n">
        <v>3</v>
      </c>
      <c r="AE543" t="n">
        <v>3</v>
      </c>
      <c r="AF543" t="n">
        <v>1</v>
      </c>
      <c r="AG543" t="n">
        <v>1</v>
      </c>
      <c r="AH543" t="n">
        <v>0</v>
      </c>
      <c r="AI543" t="n">
        <v>0</v>
      </c>
      <c r="AJ543" t="n">
        <v>2</v>
      </c>
      <c r="AK543" t="n">
        <v>2</v>
      </c>
      <c r="AL543" t="n">
        <v>1</v>
      </c>
      <c r="AM543" t="n">
        <v>1</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HYPERLINK("https://creighton-primo.hosted.exlibrisgroup.com/primo-explore/search?tab=default_tab&amp;search_scope=EVERYTHING&amp;vid=01CRU&amp;lang=en_US&amp;offset=0&amp;query=any,contains,991005123399702656","Catalog Record")</f>
        <v/>
      </c>
      <c r="AT543">
        <f>HYPERLINK("http://www.worldcat.org/oclc/7551067","WorldCat Record")</f>
        <v/>
      </c>
      <c r="AU543" t="inlineStr">
        <is>
          <t>25102756:eng</t>
        </is>
      </c>
      <c r="AV543" t="inlineStr">
        <is>
          <t>7551067</t>
        </is>
      </c>
      <c r="AW543" t="inlineStr">
        <is>
          <t>991005123399702656</t>
        </is>
      </c>
      <c r="AX543" t="inlineStr">
        <is>
          <t>991005123399702656</t>
        </is>
      </c>
      <c r="AY543" t="inlineStr">
        <is>
          <t>2268473010002656</t>
        </is>
      </c>
      <c r="AZ543" t="inlineStr">
        <is>
          <t>BOOK</t>
        </is>
      </c>
      <c r="BB543" t="inlineStr">
        <is>
          <t>9780521231770</t>
        </is>
      </c>
      <c r="BC543" t="inlineStr">
        <is>
          <t>32285000315076</t>
        </is>
      </c>
      <c r="BD543" t="inlineStr">
        <is>
          <t>893600657</t>
        </is>
      </c>
    </row>
    <row r="544">
      <c r="A544" t="inlineStr">
        <is>
          <t>No</t>
        </is>
      </c>
      <c r="B544" t="inlineStr">
        <is>
          <t>GN281 .C3813 1998</t>
        </is>
      </c>
      <c r="C544" t="inlineStr">
        <is>
          <t>0                      GN 0281000C  3813        1998</t>
        </is>
      </c>
      <c r="D544" t="inlineStr">
        <is>
          <t>The great human diasporas : the history of diversity and evolution / Luigi Luca Cavalli-Sforza and Francesco Cavalli-Sforza ; translated from the Italian by Sarah Thorne.</t>
        </is>
      </c>
      <c r="F544" t="inlineStr">
        <is>
          <t>No</t>
        </is>
      </c>
      <c r="G544" t="inlineStr">
        <is>
          <t>1</t>
        </is>
      </c>
      <c r="H544" t="inlineStr">
        <is>
          <t>No</t>
        </is>
      </c>
      <c r="I544" t="inlineStr">
        <is>
          <t>No</t>
        </is>
      </c>
      <c r="J544" t="inlineStr">
        <is>
          <t>0</t>
        </is>
      </c>
      <c r="K544" t="inlineStr">
        <is>
          <t>Cavalli-Sforza, L. L. (Luigi Luca), 1922-2018.</t>
        </is>
      </c>
      <c r="L544" t="inlineStr">
        <is>
          <t>Reading, Mass. : Perseus Books, [1998?], c1995.</t>
        </is>
      </c>
      <c r="M544" t="inlineStr">
        <is>
          <t>1998</t>
        </is>
      </c>
      <c r="O544" t="inlineStr">
        <is>
          <t>eng</t>
        </is>
      </c>
      <c r="P544" t="inlineStr">
        <is>
          <t>mau</t>
        </is>
      </c>
      <c r="R544" t="inlineStr">
        <is>
          <t xml:space="preserve">GN </t>
        </is>
      </c>
      <c r="S544" t="n">
        <v>5</v>
      </c>
      <c r="T544" t="n">
        <v>5</v>
      </c>
      <c r="U544" t="inlineStr">
        <is>
          <t>2007-02-05</t>
        </is>
      </c>
      <c r="V544" t="inlineStr">
        <is>
          <t>2007-02-05</t>
        </is>
      </c>
      <c r="W544" t="inlineStr">
        <is>
          <t>2000-09-26</t>
        </is>
      </c>
      <c r="X544" t="inlineStr">
        <is>
          <t>2000-09-26</t>
        </is>
      </c>
      <c r="Y544" t="n">
        <v>41</v>
      </c>
      <c r="Z544" t="n">
        <v>39</v>
      </c>
      <c r="AA544" t="n">
        <v>839</v>
      </c>
      <c r="AB544" t="n">
        <v>1</v>
      </c>
      <c r="AC544" t="n">
        <v>10</v>
      </c>
      <c r="AD544" t="n">
        <v>1</v>
      </c>
      <c r="AE544" t="n">
        <v>32</v>
      </c>
      <c r="AF544" t="n">
        <v>0</v>
      </c>
      <c r="AG544" t="n">
        <v>11</v>
      </c>
      <c r="AH544" t="n">
        <v>1</v>
      </c>
      <c r="AI544" t="n">
        <v>8</v>
      </c>
      <c r="AJ544" t="n">
        <v>0</v>
      </c>
      <c r="AK544" t="n">
        <v>16</v>
      </c>
      <c r="AL544" t="n">
        <v>0</v>
      </c>
      <c r="AM544" t="n">
        <v>6</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HYPERLINK("https://creighton-primo.hosted.exlibrisgroup.com/primo-explore/search?tab=default_tab&amp;search_scope=EVERYTHING&amp;vid=01CRU&amp;lang=en_US&amp;offset=0&amp;query=any,contains,991003260569702656","Catalog Record")</f>
        <v/>
      </c>
      <c r="AT544">
        <f>HYPERLINK("http://www.worldcat.org/oclc/41623285","WorldCat Record")</f>
        <v/>
      </c>
      <c r="AU544" t="inlineStr">
        <is>
          <t>2452848703:eng</t>
        </is>
      </c>
      <c r="AV544" t="inlineStr">
        <is>
          <t>41623285</t>
        </is>
      </c>
      <c r="AW544" t="inlineStr">
        <is>
          <t>991003260569702656</t>
        </is>
      </c>
      <c r="AX544" t="inlineStr">
        <is>
          <t>991003260569702656</t>
        </is>
      </c>
      <c r="AY544" t="inlineStr">
        <is>
          <t>2260151250002656</t>
        </is>
      </c>
      <c r="AZ544" t="inlineStr">
        <is>
          <t>BOOK</t>
        </is>
      </c>
      <c r="BB544" t="inlineStr">
        <is>
          <t>9780201442311</t>
        </is>
      </c>
      <c r="BC544" t="inlineStr">
        <is>
          <t>32285003764841</t>
        </is>
      </c>
      <c r="BD544" t="inlineStr">
        <is>
          <t>893698825</t>
        </is>
      </c>
    </row>
    <row r="545">
      <c r="A545" t="inlineStr">
        <is>
          <t>No</t>
        </is>
      </c>
      <c r="B545" t="inlineStr">
        <is>
          <t>GN281 .C47</t>
        </is>
      </c>
      <c r="C545" t="inlineStr">
        <is>
          <t>0                      GN 0281000C  47</t>
        </is>
      </c>
      <c r="D545" t="inlineStr">
        <is>
          <t>Evolution of the primates : an introduction to the biology of man / [by] A. B. Chiarelli.</t>
        </is>
      </c>
      <c r="F545" t="inlineStr">
        <is>
          <t>No</t>
        </is>
      </c>
      <c r="G545" t="inlineStr">
        <is>
          <t>1</t>
        </is>
      </c>
      <c r="H545" t="inlineStr">
        <is>
          <t>No</t>
        </is>
      </c>
      <c r="I545" t="inlineStr">
        <is>
          <t>No</t>
        </is>
      </c>
      <c r="J545" t="inlineStr">
        <is>
          <t>0</t>
        </is>
      </c>
      <c r="K545" t="inlineStr">
        <is>
          <t>Chiarelli, Brunetto, 1934-</t>
        </is>
      </c>
      <c r="L545" t="inlineStr">
        <is>
          <t>London ; New York : Academic Press, 1973.</t>
        </is>
      </c>
      <c r="M545" t="inlineStr">
        <is>
          <t>1973</t>
        </is>
      </c>
      <c r="O545" t="inlineStr">
        <is>
          <t>eng</t>
        </is>
      </c>
      <c r="P545" t="inlineStr">
        <is>
          <t>enk</t>
        </is>
      </c>
      <c r="R545" t="inlineStr">
        <is>
          <t xml:space="preserve">GN </t>
        </is>
      </c>
      <c r="S545" t="n">
        <v>9</v>
      </c>
      <c r="T545" t="n">
        <v>9</v>
      </c>
      <c r="U545" t="inlineStr">
        <is>
          <t>1997-02-10</t>
        </is>
      </c>
      <c r="V545" t="inlineStr">
        <is>
          <t>1997-02-10</t>
        </is>
      </c>
      <c r="W545" t="inlineStr">
        <is>
          <t>1994-02-03</t>
        </is>
      </c>
      <c r="X545" t="inlineStr">
        <is>
          <t>1994-02-03</t>
        </is>
      </c>
      <c r="Y545" t="n">
        <v>513</v>
      </c>
      <c r="Z545" t="n">
        <v>361</v>
      </c>
      <c r="AA545" t="n">
        <v>366</v>
      </c>
      <c r="AB545" t="n">
        <v>2</v>
      </c>
      <c r="AC545" t="n">
        <v>2</v>
      </c>
      <c r="AD545" t="n">
        <v>9</v>
      </c>
      <c r="AE545" t="n">
        <v>9</v>
      </c>
      <c r="AF545" t="n">
        <v>2</v>
      </c>
      <c r="AG545" t="n">
        <v>2</v>
      </c>
      <c r="AH545" t="n">
        <v>2</v>
      </c>
      <c r="AI545" t="n">
        <v>2</v>
      </c>
      <c r="AJ545" t="n">
        <v>6</v>
      </c>
      <c r="AK545" t="n">
        <v>6</v>
      </c>
      <c r="AL545" t="n">
        <v>1</v>
      </c>
      <c r="AM545" t="n">
        <v>1</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HYPERLINK("https://creighton-primo.hosted.exlibrisgroup.com/primo-explore/search?tab=default_tab&amp;search_scope=EVERYTHING&amp;vid=01CRU&amp;lang=en_US&amp;offset=0&amp;query=any,contains,991003162489702656","Catalog Record")</f>
        <v/>
      </c>
      <c r="AT545">
        <f>HYPERLINK("http://www.worldcat.org/oclc/701069","WorldCat Record")</f>
        <v/>
      </c>
      <c r="AU545" t="inlineStr">
        <is>
          <t>308756522:eng</t>
        </is>
      </c>
      <c r="AV545" t="inlineStr">
        <is>
          <t>701069</t>
        </is>
      </c>
      <c r="AW545" t="inlineStr">
        <is>
          <t>991003162489702656</t>
        </is>
      </c>
      <c r="AX545" t="inlineStr">
        <is>
          <t>991003162489702656</t>
        </is>
      </c>
      <c r="AY545" t="inlineStr">
        <is>
          <t>2255369490002656</t>
        </is>
      </c>
      <c r="AZ545" t="inlineStr">
        <is>
          <t>BOOK</t>
        </is>
      </c>
      <c r="BB545" t="inlineStr">
        <is>
          <t>9780121725402</t>
        </is>
      </c>
      <c r="BC545" t="inlineStr">
        <is>
          <t>32285001837011</t>
        </is>
      </c>
      <c r="BD545" t="inlineStr">
        <is>
          <t>893239934</t>
        </is>
      </c>
    </row>
    <row r="546">
      <c r="A546" t="inlineStr">
        <is>
          <t>No</t>
        </is>
      </c>
      <c r="B546" t="inlineStr">
        <is>
          <t>GN281 .E4 1982</t>
        </is>
      </c>
      <c r="C546" t="inlineStr">
        <is>
          <t>0                      GN 0281000E  4           1982</t>
        </is>
      </c>
      <c r="D546" t="inlineStr">
        <is>
          <t>The myths of human evolution / Niles Eldredge, Ian Tattersall.</t>
        </is>
      </c>
      <c r="F546" t="inlineStr">
        <is>
          <t>No</t>
        </is>
      </c>
      <c r="G546" t="inlineStr">
        <is>
          <t>1</t>
        </is>
      </c>
      <c r="H546" t="inlineStr">
        <is>
          <t>No</t>
        </is>
      </c>
      <c r="I546" t="inlineStr">
        <is>
          <t>No</t>
        </is>
      </c>
      <c r="J546" t="inlineStr">
        <is>
          <t>0</t>
        </is>
      </c>
      <c r="K546" t="inlineStr">
        <is>
          <t>Eldredge, Niles.</t>
        </is>
      </c>
      <c r="L546" t="inlineStr">
        <is>
          <t>New York : Columbia University Press, 1982.</t>
        </is>
      </c>
      <c r="M546" t="inlineStr">
        <is>
          <t>1982</t>
        </is>
      </c>
      <c r="O546" t="inlineStr">
        <is>
          <t>eng</t>
        </is>
      </c>
      <c r="P546" t="inlineStr">
        <is>
          <t>nyu</t>
        </is>
      </c>
      <c r="R546" t="inlineStr">
        <is>
          <t xml:space="preserve">GN </t>
        </is>
      </c>
      <c r="S546" t="n">
        <v>13</v>
      </c>
      <c r="T546" t="n">
        <v>13</v>
      </c>
      <c r="U546" t="inlineStr">
        <is>
          <t>1997-04-03</t>
        </is>
      </c>
      <c r="V546" t="inlineStr">
        <is>
          <t>1997-04-03</t>
        </is>
      </c>
      <c r="W546" t="inlineStr">
        <is>
          <t>1990-09-20</t>
        </is>
      </c>
      <c r="X546" t="inlineStr">
        <is>
          <t>1990-09-20</t>
        </is>
      </c>
      <c r="Y546" t="n">
        <v>1031</v>
      </c>
      <c r="Z546" t="n">
        <v>901</v>
      </c>
      <c r="AA546" t="n">
        <v>909</v>
      </c>
      <c r="AB546" t="n">
        <v>6</v>
      </c>
      <c r="AC546" t="n">
        <v>6</v>
      </c>
      <c r="AD546" t="n">
        <v>28</v>
      </c>
      <c r="AE546" t="n">
        <v>28</v>
      </c>
      <c r="AF546" t="n">
        <v>11</v>
      </c>
      <c r="AG546" t="n">
        <v>11</v>
      </c>
      <c r="AH546" t="n">
        <v>5</v>
      </c>
      <c r="AI546" t="n">
        <v>5</v>
      </c>
      <c r="AJ546" t="n">
        <v>14</v>
      </c>
      <c r="AK546" t="n">
        <v>14</v>
      </c>
      <c r="AL546" t="n">
        <v>4</v>
      </c>
      <c r="AM546" t="n">
        <v>4</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HYPERLINK("https://creighton-primo.hosted.exlibrisgroup.com/primo-explore/search?tab=default_tab&amp;search_scope=EVERYTHING&amp;vid=01CRU&amp;lang=en_US&amp;offset=0&amp;query=any,contains,991005212489702656","Catalog Record")</f>
        <v/>
      </c>
      <c r="AT546">
        <f>HYPERLINK("http://www.worldcat.org/oclc/8170502","WorldCat Record")</f>
        <v/>
      </c>
      <c r="AU546" t="inlineStr">
        <is>
          <t>20492119:eng</t>
        </is>
      </c>
      <c r="AV546" t="inlineStr">
        <is>
          <t>8170502</t>
        </is>
      </c>
      <c r="AW546" t="inlineStr">
        <is>
          <t>991005212489702656</t>
        </is>
      </c>
      <c r="AX546" t="inlineStr">
        <is>
          <t>991005212489702656</t>
        </is>
      </c>
      <c r="AY546" t="inlineStr">
        <is>
          <t>2256442260002656</t>
        </is>
      </c>
      <c r="AZ546" t="inlineStr">
        <is>
          <t>BOOK</t>
        </is>
      </c>
      <c r="BB546" t="inlineStr">
        <is>
          <t>9780231051446</t>
        </is>
      </c>
      <c r="BC546" t="inlineStr">
        <is>
          <t>32285000315084</t>
        </is>
      </c>
      <c r="BD546" t="inlineStr">
        <is>
          <t>893628622</t>
        </is>
      </c>
    </row>
    <row r="547">
      <c r="A547" t="inlineStr">
        <is>
          <t>No</t>
        </is>
      </c>
      <c r="B547" t="inlineStr">
        <is>
          <t>GN281 .F474 1983</t>
        </is>
      </c>
      <c r="C547" t="inlineStr">
        <is>
          <t>0                      GN 0281000F  474         1983</t>
        </is>
      </c>
      <c r="D547" t="inlineStr">
        <is>
          <t>The human legacy / Leon Festinger.</t>
        </is>
      </c>
      <c r="F547" t="inlineStr">
        <is>
          <t>No</t>
        </is>
      </c>
      <c r="G547" t="inlineStr">
        <is>
          <t>1</t>
        </is>
      </c>
      <c r="H547" t="inlineStr">
        <is>
          <t>No</t>
        </is>
      </c>
      <c r="I547" t="inlineStr">
        <is>
          <t>No</t>
        </is>
      </c>
      <c r="J547" t="inlineStr">
        <is>
          <t>0</t>
        </is>
      </c>
      <c r="K547" t="inlineStr">
        <is>
          <t>Festinger, Leon, 1919-1989.</t>
        </is>
      </c>
      <c r="L547" t="inlineStr">
        <is>
          <t>New York : Columbia University Press, 1983.</t>
        </is>
      </c>
      <c r="M547" t="inlineStr">
        <is>
          <t>1983</t>
        </is>
      </c>
      <c r="O547" t="inlineStr">
        <is>
          <t>eng</t>
        </is>
      </c>
      <c r="P547" t="inlineStr">
        <is>
          <t>nyu</t>
        </is>
      </c>
      <c r="R547" t="inlineStr">
        <is>
          <t xml:space="preserve">GN </t>
        </is>
      </c>
      <c r="S547" t="n">
        <v>11</v>
      </c>
      <c r="T547" t="n">
        <v>11</v>
      </c>
      <c r="U547" t="inlineStr">
        <is>
          <t>1997-02-23</t>
        </is>
      </c>
      <c r="V547" t="inlineStr">
        <is>
          <t>1997-02-23</t>
        </is>
      </c>
      <c r="W547" t="inlineStr">
        <is>
          <t>1990-09-20</t>
        </is>
      </c>
      <c r="X547" t="inlineStr">
        <is>
          <t>1990-09-20</t>
        </is>
      </c>
      <c r="Y547" t="n">
        <v>681</v>
      </c>
      <c r="Z547" t="n">
        <v>577</v>
      </c>
      <c r="AA547" t="n">
        <v>583</v>
      </c>
      <c r="AB547" t="n">
        <v>3</v>
      </c>
      <c r="AC547" t="n">
        <v>3</v>
      </c>
      <c r="AD547" t="n">
        <v>23</v>
      </c>
      <c r="AE547" t="n">
        <v>23</v>
      </c>
      <c r="AF547" t="n">
        <v>12</v>
      </c>
      <c r="AG547" t="n">
        <v>12</v>
      </c>
      <c r="AH547" t="n">
        <v>5</v>
      </c>
      <c r="AI547" t="n">
        <v>5</v>
      </c>
      <c r="AJ547" t="n">
        <v>10</v>
      </c>
      <c r="AK547" t="n">
        <v>10</v>
      </c>
      <c r="AL547" t="n">
        <v>2</v>
      </c>
      <c r="AM547" t="n">
        <v>2</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HYPERLINK("https://creighton-primo.hosted.exlibrisgroup.com/primo-explore/search?tab=default_tab&amp;search_scope=EVERYTHING&amp;vid=01CRU&amp;lang=en_US&amp;offset=0&amp;query=any,contains,991000121389702656","Catalog Record")</f>
        <v/>
      </c>
      <c r="AT547">
        <f>HYPERLINK("http://www.worldcat.org/oclc/9066864","WorldCat Record")</f>
        <v/>
      </c>
      <c r="AU547" t="inlineStr">
        <is>
          <t>1152278517:eng</t>
        </is>
      </c>
      <c r="AV547" t="inlineStr">
        <is>
          <t>9066864</t>
        </is>
      </c>
      <c r="AW547" t="inlineStr">
        <is>
          <t>991000121389702656</t>
        </is>
      </c>
      <c r="AX547" t="inlineStr">
        <is>
          <t>991000121389702656</t>
        </is>
      </c>
      <c r="AY547" t="inlineStr">
        <is>
          <t>2269729720002656</t>
        </is>
      </c>
      <c r="AZ547" t="inlineStr">
        <is>
          <t>BOOK</t>
        </is>
      </c>
      <c r="BB547" t="inlineStr">
        <is>
          <t>9780231056731</t>
        </is>
      </c>
      <c r="BC547" t="inlineStr">
        <is>
          <t>32285000315092</t>
        </is>
      </c>
      <c r="BD547" t="inlineStr">
        <is>
          <t>893601474</t>
        </is>
      </c>
    </row>
    <row r="548">
      <c r="A548" t="inlineStr">
        <is>
          <t>No</t>
        </is>
      </c>
      <c r="B548" t="inlineStr">
        <is>
          <t>GN281 .F58 1984</t>
        </is>
      </c>
      <c r="C548" t="inlineStr">
        <is>
          <t>0                      GN 0281000F  58          1984</t>
        </is>
      </c>
      <c r="D548" t="inlineStr">
        <is>
          <t>The bone peddlers : selling evolution / Wm. R. Fix.</t>
        </is>
      </c>
      <c r="F548" t="inlineStr">
        <is>
          <t>No</t>
        </is>
      </c>
      <c r="G548" t="inlineStr">
        <is>
          <t>1</t>
        </is>
      </c>
      <c r="H548" t="inlineStr">
        <is>
          <t>No</t>
        </is>
      </c>
      <c r="I548" t="inlineStr">
        <is>
          <t>No</t>
        </is>
      </c>
      <c r="J548" t="inlineStr">
        <is>
          <t>0</t>
        </is>
      </c>
      <c r="K548" t="inlineStr">
        <is>
          <t>Fix, William R., 1941-</t>
        </is>
      </c>
      <c r="L548" t="inlineStr">
        <is>
          <t>New York : Macmillan, c1984.</t>
        </is>
      </c>
      <c r="M548" t="inlineStr">
        <is>
          <t>1984</t>
        </is>
      </c>
      <c r="O548" t="inlineStr">
        <is>
          <t>eng</t>
        </is>
      </c>
      <c r="P548" t="inlineStr">
        <is>
          <t>nyu</t>
        </is>
      </c>
      <c r="R548" t="inlineStr">
        <is>
          <t xml:space="preserve">GN </t>
        </is>
      </c>
      <c r="S548" t="n">
        <v>7</v>
      </c>
      <c r="T548" t="n">
        <v>7</v>
      </c>
      <c r="U548" t="inlineStr">
        <is>
          <t>1996-09-28</t>
        </is>
      </c>
      <c r="V548" t="inlineStr">
        <is>
          <t>1996-09-28</t>
        </is>
      </c>
      <c r="W548" t="inlineStr">
        <is>
          <t>1990-06-22</t>
        </is>
      </c>
      <c r="X548" t="inlineStr">
        <is>
          <t>1990-06-22</t>
        </is>
      </c>
      <c r="Y548" t="n">
        <v>419</v>
      </c>
      <c r="Z548" t="n">
        <v>388</v>
      </c>
      <c r="AA548" t="n">
        <v>395</v>
      </c>
      <c r="AB548" t="n">
        <v>2</v>
      </c>
      <c r="AC548" t="n">
        <v>2</v>
      </c>
      <c r="AD548" t="n">
        <v>3</v>
      </c>
      <c r="AE548" t="n">
        <v>3</v>
      </c>
      <c r="AF548" t="n">
        <v>1</v>
      </c>
      <c r="AG548" t="n">
        <v>1</v>
      </c>
      <c r="AH548" t="n">
        <v>0</v>
      </c>
      <c r="AI548" t="n">
        <v>0</v>
      </c>
      <c r="AJ548" t="n">
        <v>2</v>
      </c>
      <c r="AK548" t="n">
        <v>2</v>
      </c>
      <c r="AL548" t="n">
        <v>0</v>
      </c>
      <c r="AM548" t="n">
        <v>0</v>
      </c>
      <c r="AN548" t="n">
        <v>0</v>
      </c>
      <c r="AO548" t="n">
        <v>0</v>
      </c>
      <c r="AP548" t="inlineStr">
        <is>
          <t>No</t>
        </is>
      </c>
      <c r="AQ548" t="inlineStr">
        <is>
          <t>Yes</t>
        </is>
      </c>
      <c r="AR548">
        <f>HYPERLINK("http://catalog.hathitrust.org/Record/000458646","HathiTrust Record")</f>
        <v/>
      </c>
      <c r="AS548">
        <f>HYPERLINK("https://creighton-primo.hosted.exlibrisgroup.com/primo-explore/search?tab=default_tab&amp;search_scope=EVERYTHING&amp;vid=01CRU&amp;lang=en_US&amp;offset=0&amp;query=any,contains,991000300789702656","Catalog Record")</f>
        <v/>
      </c>
      <c r="AT548">
        <f>HYPERLINK("http://www.worldcat.org/oclc/10021859","WorldCat Record")</f>
        <v/>
      </c>
      <c r="AU548" t="inlineStr">
        <is>
          <t>3391577:eng</t>
        </is>
      </c>
      <c r="AV548" t="inlineStr">
        <is>
          <t>10021859</t>
        </is>
      </c>
      <c r="AW548" t="inlineStr">
        <is>
          <t>991000300789702656</t>
        </is>
      </c>
      <c r="AX548" t="inlineStr">
        <is>
          <t>991000300789702656</t>
        </is>
      </c>
      <c r="AY548" t="inlineStr">
        <is>
          <t>2266497540002656</t>
        </is>
      </c>
      <c r="AZ548" t="inlineStr">
        <is>
          <t>BOOK</t>
        </is>
      </c>
      <c r="BC548" t="inlineStr">
        <is>
          <t>32285000212562</t>
        </is>
      </c>
      <c r="BD548" t="inlineStr">
        <is>
          <t>893796550</t>
        </is>
      </c>
    </row>
    <row r="549">
      <c r="A549" t="inlineStr">
        <is>
          <t>No</t>
        </is>
      </c>
      <c r="B549" t="inlineStr">
        <is>
          <t>GN281 .G739 1990</t>
        </is>
      </c>
      <c r="C549" t="inlineStr">
        <is>
          <t>0                      GN 0281000G  739         1990</t>
        </is>
      </c>
      <c r="D549" t="inlineStr">
        <is>
          <t>Children of the ice : climate and human origins / John and Mary Gribbin.</t>
        </is>
      </c>
      <c r="F549" t="inlineStr">
        <is>
          <t>No</t>
        </is>
      </c>
      <c r="G549" t="inlineStr">
        <is>
          <t>1</t>
        </is>
      </c>
      <c r="H549" t="inlineStr">
        <is>
          <t>No</t>
        </is>
      </c>
      <c r="I549" t="inlineStr">
        <is>
          <t>No</t>
        </is>
      </c>
      <c r="J549" t="inlineStr">
        <is>
          <t>0</t>
        </is>
      </c>
      <c r="K549" t="inlineStr">
        <is>
          <t>Gribbin, John, 1946-</t>
        </is>
      </c>
      <c r="L549" t="inlineStr">
        <is>
          <t>Oxford, UK ; Cambridge, Mass., USA : Basil Blackwell, c1990.</t>
        </is>
      </c>
      <c r="M549" t="inlineStr">
        <is>
          <t>1990</t>
        </is>
      </c>
      <c r="O549" t="inlineStr">
        <is>
          <t>eng</t>
        </is>
      </c>
      <c r="P549" t="inlineStr">
        <is>
          <t>enk</t>
        </is>
      </c>
      <c r="R549" t="inlineStr">
        <is>
          <t xml:space="preserve">GN </t>
        </is>
      </c>
      <c r="S549" t="n">
        <v>5</v>
      </c>
      <c r="T549" t="n">
        <v>5</v>
      </c>
      <c r="U549" t="inlineStr">
        <is>
          <t>2010-07-21</t>
        </is>
      </c>
      <c r="V549" t="inlineStr">
        <is>
          <t>2010-07-21</t>
        </is>
      </c>
      <c r="W549" t="inlineStr">
        <is>
          <t>1991-08-13</t>
        </is>
      </c>
      <c r="X549" t="inlineStr">
        <is>
          <t>1991-08-13</t>
        </is>
      </c>
      <c r="Y549" t="n">
        <v>496</v>
      </c>
      <c r="Z549" t="n">
        <v>417</v>
      </c>
      <c r="AA549" t="n">
        <v>418</v>
      </c>
      <c r="AB549" t="n">
        <v>4</v>
      </c>
      <c r="AC549" t="n">
        <v>4</v>
      </c>
      <c r="AD549" t="n">
        <v>16</v>
      </c>
      <c r="AE549" t="n">
        <v>16</v>
      </c>
      <c r="AF549" t="n">
        <v>6</v>
      </c>
      <c r="AG549" t="n">
        <v>6</v>
      </c>
      <c r="AH549" t="n">
        <v>5</v>
      </c>
      <c r="AI549" t="n">
        <v>5</v>
      </c>
      <c r="AJ549" t="n">
        <v>6</v>
      </c>
      <c r="AK549" t="n">
        <v>6</v>
      </c>
      <c r="AL549" t="n">
        <v>3</v>
      </c>
      <c r="AM549" t="n">
        <v>3</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HYPERLINK("https://creighton-primo.hosted.exlibrisgroup.com/primo-explore/search?tab=default_tab&amp;search_scope=EVERYTHING&amp;vid=01CRU&amp;lang=en_US&amp;offset=0&amp;query=any,contains,991001535049702656","Catalog Record")</f>
        <v/>
      </c>
      <c r="AT549">
        <f>HYPERLINK("http://www.worldcat.org/oclc/20057484","WorldCat Record")</f>
        <v/>
      </c>
      <c r="AU549" t="inlineStr">
        <is>
          <t>836715495:eng</t>
        </is>
      </c>
      <c r="AV549" t="inlineStr">
        <is>
          <t>20057484</t>
        </is>
      </c>
      <c r="AW549" t="inlineStr">
        <is>
          <t>991001535049702656</t>
        </is>
      </c>
      <c r="AX549" t="inlineStr">
        <is>
          <t>991001535049702656</t>
        </is>
      </c>
      <c r="AY549" t="inlineStr">
        <is>
          <t>2269744330002656</t>
        </is>
      </c>
      <c r="AZ549" t="inlineStr">
        <is>
          <t>BOOK</t>
        </is>
      </c>
      <c r="BB549" t="inlineStr">
        <is>
          <t>9780631168171</t>
        </is>
      </c>
      <c r="BC549" t="inlineStr">
        <is>
          <t>32285000700426</t>
        </is>
      </c>
      <c r="BD549" t="inlineStr">
        <is>
          <t>893602661</t>
        </is>
      </c>
    </row>
    <row r="550">
      <c r="A550" t="inlineStr">
        <is>
          <t>No</t>
        </is>
      </c>
      <c r="B550" t="inlineStr">
        <is>
          <t>GN281 .H848 1989</t>
        </is>
      </c>
      <c r="C550" t="inlineStr">
        <is>
          <t>0                      GN 0281000H  848         1989</t>
        </is>
      </c>
      <c r="D550" t="inlineStr">
        <is>
          <t>Human origins / edited by John R. Durant.</t>
        </is>
      </c>
      <c r="F550" t="inlineStr">
        <is>
          <t>No</t>
        </is>
      </c>
      <c r="G550" t="inlineStr">
        <is>
          <t>1</t>
        </is>
      </c>
      <c r="H550" t="inlineStr">
        <is>
          <t>No</t>
        </is>
      </c>
      <c r="I550" t="inlineStr">
        <is>
          <t>No</t>
        </is>
      </c>
      <c r="J550" t="inlineStr">
        <is>
          <t>0</t>
        </is>
      </c>
      <c r="L550" t="inlineStr">
        <is>
          <t>Oxford [Oxfordshire] : Clarendon Press ; New York : Oxford University Press, 1989.</t>
        </is>
      </c>
      <c r="M550" t="inlineStr">
        <is>
          <t>1989</t>
        </is>
      </c>
      <c r="O550" t="inlineStr">
        <is>
          <t>eng</t>
        </is>
      </c>
      <c r="P550" t="inlineStr">
        <is>
          <t>enk</t>
        </is>
      </c>
      <c r="R550" t="inlineStr">
        <is>
          <t xml:space="preserve">GN </t>
        </is>
      </c>
      <c r="S550" t="n">
        <v>9</v>
      </c>
      <c r="T550" t="n">
        <v>9</v>
      </c>
      <c r="U550" t="inlineStr">
        <is>
          <t>1998-04-07</t>
        </is>
      </c>
      <c r="V550" t="inlineStr">
        <is>
          <t>1998-04-07</t>
        </is>
      </c>
      <c r="W550" t="inlineStr">
        <is>
          <t>1989-12-29</t>
        </is>
      </c>
      <c r="X550" t="inlineStr">
        <is>
          <t>1989-12-29</t>
        </is>
      </c>
      <c r="Y550" t="n">
        <v>301</v>
      </c>
      <c r="Z550" t="n">
        <v>227</v>
      </c>
      <c r="AA550" t="n">
        <v>241</v>
      </c>
      <c r="AB550" t="n">
        <v>4</v>
      </c>
      <c r="AC550" t="n">
        <v>4</v>
      </c>
      <c r="AD550" t="n">
        <v>13</v>
      </c>
      <c r="AE550" t="n">
        <v>13</v>
      </c>
      <c r="AF550" t="n">
        <v>2</v>
      </c>
      <c r="AG550" t="n">
        <v>2</v>
      </c>
      <c r="AH550" t="n">
        <v>3</v>
      </c>
      <c r="AI550" t="n">
        <v>3</v>
      </c>
      <c r="AJ550" t="n">
        <v>7</v>
      </c>
      <c r="AK550" t="n">
        <v>7</v>
      </c>
      <c r="AL550" t="n">
        <v>3</v>
      </c>
      <c r="AM550" t="n">
        <v>3</v>
      </c>
      <c r="AN550" t="n">
        <v>0</v>
      </c>
      <c r="AO550" t="n">
        <v>0</v>
      </c>
      <c r="AP550" t="inlineStr">
        <is>
          <t>No</t>
        </is>
      </c>
      <c r="AQ550" t="inlineStr">
        <is>
          <t>Yes</t>
        </is>
      </c>
      <c r="AR550">
        <f>HYPERLINK("http://catalog.hathitrust.org/Record/001542014","HathiTrust Record")</f>
        <v/>
      </c>
      <c r="AS550">
        <f>HYPERLINK("https://creighton-primo.hosted.exlibrisgroup.com/primo-explore/search?tab=default_tab&amp;search_scope=EVERYTHING&amp;vid=01CRU&amp;lang=en_US&amp;offset=0&amp;query=any,contains,991001277199702656","Catalog Record")</f>
        <v/>
      </c>
      <c r="AT550">
        <f>HYPERLINK("http://www.worldcat.org/oclc/17877080","WorldCat Record")</f>
        <v/>
      </c>
      <c r="AU550" t="inlineStr">
        <is>
          <t>3943423687:eng</t>
        </is>
      </c>
      <c r="AV550" t="inlineStr">
        <is>
          <t>17877080</t>
        </is>
      </c>
      <c r="AW550" t="inlineStr">
        <is>
          <t>991001277199702656</t>
        </is>
      </c>
      <c r="AX550" t="inlineStr">
        <is>
          <t>991001277199702656</t>
        </is>
      </c>
      <c r="AY550" t="inlineStr">
        <is>
          <t>2266792920002656</t>
        </is>
      </c>
      <c r="AZ550" t="inlineStr">
        <is>
          <t>BOOK</t>
        </is>
      </c>
      <c r="BB550" t="inlineStr">
        <is>
          <t>9780198576129</t>
        </is>
      </c>
      <c r="BC550" t="inlineStr">
        <is>
          <t>32285000025576</t>
        </is>
      </c>
      <c r="BD550" t="inlineStr">
        <is>
          <t>893709158</t>
        </is>
      </c>
    </row>
    <row r="551">
      <c r="A551" t="inlineStr">
        <is>
          <t>No</t>
        </is>
      </c>
      <c r="B551" t="inlineStr">
        <is>
          <t>GN281 .H849 1989</t>
        </is>
      </c>
      <c r="C551" t="inlineStr">
        <is>
          <t>0                      GN 0281000H  849         1989</t>
        </is>
      </c>
      <c r="D551" t="inlineStr">
        <is>
          <t>The Human revolution : behavioural and biological perspectives on the origins of modern humans / Paul Mellars and Chris Stringer, editors.</t>
        </is>
      </c>
      <c r="F551" t="inlineStr">
        <is>
          <t>No</t>
        </is>
      </c>
      <c r="G551" t="inlineStr">
        <is>
          <t>1</t>
        </is>
      </c>
      <c r="H551" t="inlineStr">
        <is>
          <t>No</t>
        </is>
      </c>
      <c r="I551" t="inlineStr">
        <is>
          <t>No</t>
        </is>
      </c>
      <c r="J551" t="inlineStr">
        <is>
          <t>0</t>
        </is>
      </c>
      <c r="L551" t="inlineStr">
        <is>
          <t>Princeton, N.J. : Princeton University Press, 1989.</t>
        </is>
      </c>
      <c r="M551" t="inlineStr">
        <is>
          <t>1989</t>
        </is>
      </c>
      <c r="O551" t="inlineStr">
        <is>
          <t>eng</t>
        </is>
      </c>
      <c r="P551" t="inlineStr">
        <is>
          <t>nju</t>
        </is>
      </c>
      <c r="R551" t="inlineStr">
        <is>
          <t xml:space="preserve">GN </t>
        </is>
      </c>
      <c r="S551" t="n">
        <v>5</v>
      </c>
      <c r="T551" t="n">
        <v>5</v>
      </c>
      <c r="U551" t="inlineStr">
        <is>
          <t>1995-02-11</t>
        </is>
      </c>
      <c r="V551" t="inlineStr">
        <is>
          <t>1995-02-11</t>
        </is>
      </c>
      <c r="W551" t="inlineStr">
        <is>
          <t>1990-05-10</t>
        </is>
      </c>
      <c r="X551" t="inlineStr">
        <is>
          <t>1990-05-10</t>
        </is>
      </c>
      <c r="Y551" t="n">
        <v>553</v>
      </c>
      <c r="Z551" t="n">
        <v>489</v>
      </c>
      <c r="AA551" t="n">
        <v>494</v>
      </c>
      <c r="AB551" t="n">
        <v>2</v>
      </c>
      <c r="AC551" t="n">
        <v>2</v>
      </c>
      <c r="AD551" t="n">
        <v>22</v>
      </c>
      <c r="AE551" t="n">
        <v>22</v>
      </c>
      <c r="AF551" t="n">
        <v>9</v>
      </c>
      <c r="AG551" t="n">
        <v>9</v>
      </c>
      <c r="AH551" t="n">
        <v>7</v>
      </c>
      <c r="AI551" t="n">
        <v>7</v>
      </c>
      <c r="AJ551" t="n">
        <v>11</v>
      </c>
      <c r="AK551" t="n">
        <v>11</v>
      </c>
      <c r="AL551" t="n">
        <v>1</v>
      </c>
      <c r="AM551" t="n">
        <v>1</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HYPERLINK("https://creighton-primo.hosted.exlibrisgroup.com/primo-explore/search?tab=default_tab&amp;search_scope=EVERYTHING&amp;vid=01CRU&amp;lang=en_US&amp;offset=0&amp;query=any,contains,991001516079702656","Catalog Record")</f>
        <v/>
      </c>
      <c r="AT551">
        <f>HYPERLINK("http://www.worldcat.org/oclc/19922325","WorldCat Record")</f>
        <v/>
      </c>
      <c r="AU551" t="inlineStr">
        <is>
          <t>557876760:eng</t>
        </is>
      </c>
      <c r="AV551" t="inlineStr">
        <is>
          <t>19922325</t>
        </is>
      </c>
      <c r="AW551" t="inlineStr">
        <is>
          <t>991001516079702656</t>
        </is>
      </c>
      <c r="AX551" t="inlineStr">
        <is>
          <t>991001516079702656</t>
        </is>
      </c>
      <c r="AY551" t="inlineStr">
        <is>
          <t>2267078970002656</t>
        </is>
      </c>
      <c r="AZ551" t="inlineStr">
        <is>
          <t>BOOK</t>
        </is>
      </c>
      <c r="BB551" t="inlineStr">
        <is>
          <t>9780691085395</t>
        </is>
      </c>
      <c r="BC551" t="inlineStr">
        <is>
          <t>32285000136308</t>
        </is>
      </c>
      <c r="BD551" t="inlineStr">
        <is>
          <t>893238161</t>
        </is>
      </c>
    </row>
    <row r="552">
      <c r="A552" t="inlineStr">
        <is>
          <t>No</t>
        </is>
      </c>
      <c r="B552" t="inlineStr">
        <is>
          <t>GN281 .I87 1987</t>
        </is>
      </c>
      <c r="C552" t="inlineStr">
        <is>
          <t>0                      GN 0281000I  87          1987</t>
        </is>
      </c>
      <c r="D552" t="inlineStr">
        <is>
          <t>Why humans vary in intelligence / Seymour W. Itzkoff.</t>
        </is>
      </c>
      <c r="F552" t="inlineStr">
        <is>
          <t>No</t>
        </is>
      </c>
      <c r="G552" t="inlineStr">
        <is>
          <t>1</t>
        </is>
      </c>
      <c r="H552" t="inlineStr">
        <is>
          <t>No</t>
        </is>
      </c>
      <c r="I552" t="inlineStr">
        <is>
          <t>No</t>
        </is>
      </c>
      <c r="J552" t="inlineStr">
        <is>
          <t>0</t>
        </is>
      </c>
      <c r="K552" t="inlineStr">
        <is>
          <t>Itzkoff, Seymour W.</t>
        </is>
      </c>
      <c r="L552" t="inlineStr">
        <is>
          <t>Ashfield, Mass. : Paideia, c1987.</t>
        </is>
      </c>
      <c r="M552" t="inlineStr">
        <is>
          <t>1987</t>
        </is>
      </c>
      <c r="O552" t="inlineStr">
        <is>
          <t>eng</t>
        </is>
      </c>
      <c r="P552" t="inlineStr">
        <is>
          <t>mau</t>
        </is>
      </c>
      <c r="Q552" t="inlineStr">
        <is>
          <t>The Evolution of human intelligence ; 3</t>
        </is>
      </c>
      <c r="R552" t="inlineStr">
        <is>
          <t xml:space="preserve">GN </t>
        </is>
      </c>
      <c r="S552" t="n">
        <v>10</v>
      </c>
      <c r="T552" t="n">
        <v>10</v>
      </c>
      <c r="U552" t="inlineStr">
        <is>
          <t>1998-03-04</t>
        </is>
      </c>
      <c r="V552" t="inlineStr">
        <is>
          <t>1998-03-04</t>
        </is>
      </c>
      <c r="W552" t="inlineStr">
        <is>
          <t>1990-09-20</t>
        </is>
      </c>
      <c r="X552" t="inlineStr">
        <is>
          <t>1990-09-20</t>
        </is>
      </c>
      <c r="Y552" t="n">
        <v>291</v>
      </c>
      <c r="Z552" t="n">
        <v>250</v>
      </c>
      <c r="AA552" t="n">
        <v>253</v>
      </c>
      <c r="AB552" t="n">
        <v>2</v>
      </c>
      <c r="AC552" t="n">
        <v>2</v>
      </c>
      <c r="AD552" t="n">
        <v>9</v>
      </c>
      <c r="AE552" t="n">
        <v>9</v>
      </c>
      <c r="AF552" t="n">
        <v>2</v>
      </c>
      <c r="AG552" t="n">
        <v>2</v>
      </c>
      <c r="AH552" t="n">
        <v>2</v>
      </c>
      <c r="AI552" t="n">
        <v>2</v>
      </c>
      <c r="AJ552" t="n">
        <v>7</v>
      </c>
      <c r="AK552" t="n">
        <v>7</v>
      </c>
      <c r="AL552" t="n">
        <v>1</v>
      </c>
      <c r="AM552" t="n">
        <v>1</v>
      </c>
      <c r="AN552" t="n">
        <v>0</v>
      </c>
      <c r="AO552" t="n">
        <v>0</v>
      </c>
      <c r="AP552" t="inlineStr">
        <is>
          <t>No</t>
        </is>
      </c>
      <c r="AQ552" t="inlineStr">
        <is>
          <t>Yes</t>
        </is>
      </c>
      <c r="AR552">
        <f>HYPERLINK("http://catalog.hathitrust.org/Record/000878692","HathiTrust Record")</f>
        <v/>
      </c>
      <c r="AS552">
        <f>HYPERLINK("https://creighton-primo.hosted.exlibrisgroup.com/primo-explore/search?tab=default_tab&amp;search_scope=EVERYTHING&amp;vid=01CRU&amp;lang=en_US&amp;offset=0&amp;query=any,contains,991001029539702656","Catalog Record")</f>
        <v/>
      </c>
      <c r="AT552">
        <f>HYPERLINK("http://www.worldcat.org/oclc/15489804","WorldCat Record")</f>
        <v/>
      </c>
      <c r="AU552" t="inlineStr">
        <is>
          <t>10566631:eng</t>
        </is>
      </c>
      <c r="AV552" t="inlineStr">
        <is>
          <t>15489804</t>
        </is>
      </c>
      <c r="AW552" t="inlineStr">
        <is>
          <t>991001029539702656</t>
        </is>
      </c>
      <c r="AX552" t="inlineStr">
        <is>
          <t>991001029539702656</t>
        </is>
      </c>
      <c r="AY552" t="inlineStr">
        <is>
          <t>2272543430002656</t>
        </is>
      </c>
      <c r="AZ552" t="inlineStr">
        <is>
          <t>BOOK</t>
        </is>
      </c>
      <c r="BB552" t="inlineStr">
        <is>
          <t>9780913993095</t>
        </is>
      </c>
      <c r="BC552" t="inlineStr">
        <is>
          <t>32285000315118</t>
        </is>
      </c>
      <c r="BD552" t="inlineStr">
        <is>
          <t>893690256</t>
        </is>
      </c>
    </row>
    <row r="553">
      <c r="A553" t="inlineStr">
        <is>
          <t>No</t>
        </is>
      </c>
      <c r="B553" t="inlineStr">
        <is>
          <t>GN281 .J67 1999</t>
        </is>
      </c>
      <c r="C553" t="inlineStr">
        <is>
          <t>0                      GN 0281000J  67          1999</t>
        </is>
      </c>
      <c r="D553" t="inlineStr">
        <is>
          <t>Early man / Paul Jordan.</t>
        </is>
      </c>
      <c r="F553" t="inlineStr">
        <is>
          <t>No</t>
        </is>
      </c>
      <c r="G553" t="inlineStr">
        <is>
          <t>1</t>
        </is>
      </c>
      <c r="H553" t="inlineStr">
        <is>
          <t>No</t>
        </is>
      </c>
      <c r="I553" t="inlineStr">
        <is>
          <t>No</t>
        </is>
      </c>
      <c r="J553" t="inlineStr">
        <is>
          <t>0</t>
        </is>
      </c>
      <c r="K553" t="inlineStr">
        <is>
          <t>Jordan, Paul, 1941-</t>
        </is>
      </c>
      <c r="L553" t="inlineStr">
        <is>
          <t>Stroud : Sutton, 1999.</t>
        </is>
      </c>
      <c r="M553" t="inlineStr">
        <is>
          <t>1999</t>
        </is>
      </c>
      <c r="O553" t="inlineStr">
        <is>
          <t>eng</t>
        </is>
      </c>
      <c r="P553" t="inlineStr">
        <is>
          <t>enk</t>
        </is>
      </c>
      <c r="Q553" t="inlineStr">
        <is>
          <t>Sutton pocket histories</t>
        </is>
      </c>
      <c r="R553" t="inlineStr">
        <is>
          <t xml:space="preserve">GN </t>
        </is>
      </c>
      <c r="S553" t="n">
        <v>5</v>
      </c>
      <c r="T553" t="n">
        <v>5</v>
      </c>
      <c r="U553" t="inlineStr">
        <is>
          <t>2000-06-14</t>
        </is>
      </c>
      <c r="V553" t="inlineStr">
        <is>
          <t>2000-06-14</t>
        </is>
      </c>
      <c r="W553" t="inlineStr">
        <is>
          <t>2000-01-06</t>
        </is>
      </c>
      <c r="X553" t="inlineStr">
        <is>
          <t>2000-01-06</t>
        </is>
      </c>
      <c r="Y553" t="n">
        <v>73</v>
      </c>
      <c r="Z553" t="n">
        <v>45</v>
      </c>
      <c r="AA553" t="n">
        <v>51</v>
      </c>
      <c r="AB553" t="n">
        <v>1</v>
      </c>
      <c r="AC553" t="n">
        <v>1</v>
      </c>
      <c r="AD553" t="n">
        <v>0</v>
      </c>
      <c r="AE553" t="n">
        <v>0</v>
      </c>
      <c r="AF553" t="n">
        <v>0</v>
      </c>
      <c r="AG553" t="n">
        <v>0</v>
      </c>
      <c r="AH553" t="n">
        <v>0</v>
      </c>
      <c r="AI553" t="n">
        <v>0</v>
      </c>
      <c r="AJ553" t="n">
        <v>0</v>
      </c>
      <c r="AK553" t="n">
        <v>0</v>
      </c>
      <c r="AL553" t="n">
        <v>0</v>
      </c>
      <c r="AM553" t="n">
        <v>0</v>
      </c>
      <c r="AN553" t="n">
        <v>0</v>
      </c>
      <c r="AO553" t="n">
        <v>0</v>
      </c>
      <c r="AP553" t="inlineStr">
        <is>
          <t>No</t>
        </is>
      </c>
      <c r="AQ553" t="inlineStr">
        <is>
          <t>Yes</t>
        </is>
      </c>
      <c r="AR553">
        <f>HYPERLINK("http://catalog.hathitrust.org/Record/007138291","HathiTrust Record")</f>
        <v/>
      </c>
      <c r="AS553">
        <f>HYPERLINK("https://creighton-primo.hosted.exlibrisgroup.com/primo-explore/search?tab=default_tab&amp;search_scope=EVERYTHING&amp;vid=01CRU&amp;lang=en_US&amp;offset=0&amp;query=any,contains,991003020969702656","Catalog Record")</f>
        <v/>
      </c>
      <c r="AT553">
        <f>HYPERLINK("http://www.worldcat.org/oclc/41157769","WorldCat Record")</f>
        <v/>
      </c>
      <c r="AU553" t="inlineStr">
        <is>
          <t>26430203:eng</t>
        </is>
      </c>
      <c r="AV553" t="inlineStr">
        <is>
          <t>41157769</t>
        </is>
      </c>
      <c r="AW553" t="inlineStr">
        <is>
          <t>991003020969702656</t>
        </is>
      </c>
      <c r="AX553" t="inlineStr">
        <is>
          <t>991003020969702656</t>
        </is>
      </c>
      <c r="AY553" t="inlineStr">
        <is>
          <t>2258362820002656</t>
        </is>
      </c>
      <c r="AZ553" t="inlineStr">
        <is>
          <t>BOOK</t>
        </is>
      </c>
      <c r="BB553" t="inlineStr">
        <is>
          <t>9780750922210</t>
        </is>
      </c>
      <c r="BC553" t="inlineStr">
        <is>
          <t>32285003638755</t>
        </is>
      </c>
      <c r="BD553" t="inlineStr">
        <is>
          <t>893440837</t>
        </is>
      </c>
    </row>
    <row r="554">
      <c r="A554" t="inlineStr">
        <is>
          <t>No</t>
        </is>
      </c>
      <c r="B554" t="inlineStr">
        <is>
          <t>GN281 .K548 2002</t>
        </is>
      </c>
      <c r="C554" t="inlineStr">
        <is>
          <t>0                      GN 0281000K  548         2002</t>
        </is>
      </c>
      <c r="D554" t="inlineStr">
        <is>
          <t>The dawn of human culture / Richard G. Klein with Blake Edgar.</t>
        </is>
      </c>
      <c r="F554" t="inlineStr">
        <is>
          <t>No</t>
        </is>
      </c>
      <c r="G554" t="inlineStr">
        <is>
          <t>1</t>
        </is>
      </c>
      <c r="H554" t="inlineStr">
        <is>
          <t>No</t>
        </is>
      </c>
      <c r="I554" t="inlineStr">
        <is>
          <t>No</t>
        </is>
      </c>
      <c r="J554" t="inlineStr">
        <is>
          <t>0</t>
        </is>
      </c>
      <c r="K554" t="inlineStr">
        <is>
          <t>Klein, Richard G.</t>
        </is>
      </c>
      <c r="L554" t="inlineStr">
        <is>
          <t>New York : Wiley, c2002.</t>
        </is>
      </c>
      <c r="M554" t="inlineStr">
        <is>
          <t>2002</t>
        </is>
      </c>
      <c r="O554" t="inlineStr">
        <is>
          <t>eng</t>
        </is>
      </c>
      <c r="P554" t="inlineStr">
        <is>
          <t>nyu</t>
        </is>
      </c>
      <c r="R554" t="inlineStr">
        <is>
          <t xml:space="preserve">GN </t>
        </is>
      </c>
      <c r="S554" t="n">
        <v>2</v>
      </c>
      <c r="T554" t="n">
        <v>2</v>
      </c>
      <c r="U554" t="inlineStr">
        <is>
          <t>2009-06-11</t>
        </is>
      </c>
      <c r="V554" t="inlineStr">
        <is>
          <t>2009-06-11</t>
        </is>
      </c>
      <c r="W554" t="inlineStr">
        <is>
          <t>2009-06-11</t>
        </is>
      </c>
      <c r="X554" t="inlineStr">
        <is>
          <t>2009-06-11</t>
        </is>
      </c>
      <c r="Y554" t="n">
        <v>924</v>
      </c>
      <c r="Z554" t="n">
        <v>781</v>
      </c>
      <c r="AA554" t="n">
        <v>1219</v>
      </c>
      <c r="AB554" t="n">
        <v>3</v>
      </c>
      <c r="AC554" t="n">
        <v>28</v>
      </c>
      <c r="AD554" t="n">
        <v>28</v>
      </c>
      <c r="AE554" t="n">
        <v>47</v>
      </c>
      <c r="AF554" t="n">
        <v>16</v>
      </c>
      <c r="AG554" t="n">
        <v>19</v>
      </c>
      <c r="AH554" t="n">
        <v>8</v>
      </c>
      <c r="AI554" t="n">
        <v>9</v>
      </c>
      <c r="AJ554" t="n">
        <v>10</v>
      </c>
      <c r="AK554" t="n">
        <v>15</v>
      </c>
      <c r="AL554" t="n">
        <v>1</v>
      </c>
      <c r="AM554" t="n">
        <v>13</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HYPERLINK("https://creighton-primo.hosted.exlibrisgroup.com/primo-explore/search?tab=default_tab&amp;search_scope=EVERYTHING&amp;vid=01CRU&amp;lang=en_US&amp;offset=0&amp;query=any,contains,991005321549702656","Catalog Record")</f>
        <v/>
      </c>
      <c r="AT554">
        <f>HYPERLINK("http://www.worldcat.org/oclc/59421642","WorldCat Record")</f>
        <v/>
      </c>
      <c r="AU554" t="inlineStr">
        <is>
          <t>8199795:eng</t>
        </is>
      </c>
      <c r="AV554" t="inlineStr">
        <is>
          <t>59421642</t>
        </is>
      </c>
      <c r="AW554" t="inlineStr">
        <is>
          <t>991005321549702656</t>
        </is>
      </c>
      <c r="AX554" t="inlineStr">
        <is>
          <t>991005321549702656</t>
        </is>
      </c>
      <c r="AY554" t="inlineStr">
        <is>
          <t>2256733250002656</t>
        </is>
      </c>
      <c r="AZ554" t="inlineStr">
        <is>
          <t>BOOK</t>
        </is>
      </c>
      <c r="BB554" t="inlineStr">
        <is>
          <t>9780471252528</t>
        </is>
      </c>
      <c r="BC554" t="inlineStr">
        <is>
          <t>32285005534168</t>
        </is>
      </c>
      <c r="BD554" t="inlineStr">
        <is>
          <t>893501689</t>
        </is>
      </c>
    </row>
    <row r="555">
      <c r="A555" t="inlineStr">
        <is>
          <t>No</t>
        </is>
      </c>
      <c r="B555" t="inlineStr">
        <is>
          <t>GN281 .K813 1972</t>
        </is>
      </c>
      <c r="C555" t="inlineStr">
        <is>
          <t>0                      GN 0281000K  813         1972</t>
        </is>
      </c>
      <c r="D555" t="inlineStr">
        <is>
          <t>Not from the apes.</t>
        </is>
      </c>
      <c r="F555" t="inlineStr">
        <is>
          <t>No</t>
        </is>
      </c>
      <c r="G555" t="inlineStr">
        <is>
          <t>1</t>
        </is>
      </c>
      <c r="H555" t="inlineStr">
        <is>
          <t>No</t>
        </is>
      </c>
      <c r="I555" t="inlineStr">
        <is>
          <t>No</t>
        </is>
      </c>
      <c r="J555" t="inlineStr">
        <is>
          <t>0</t>
        </is>
      </c>
      <c r="K555" t="inlineStr">
        <is>
          <t>Kurtén, Björn.</t>
        </is>
      </c>
      <c r="L555" t="inlineStr">
        <is>
          <t>New York : Pantheon Books, [1971, c1972]</t>
        </is>
      </c>
      <c r="M555" t="inlineStr">
        <is>
          <t>1971</t>
        </is>
      </c>
      <c r="N555" t="inlineStr">
        <is>
          <t>[1st American ed.]</t>
        </is>
      </c>
      <c r="O555" t="inlineStr">
        <is>
          <t>eng</t>
        </is>
      </c>
      <c r="P555" t="inlineStr">
        <is>
          <t>nyu</t>
        </is>
      </c>
      <c r="R555" t="inlineStr">
        <is>
          <t xml:space="preserve">GN </t>
        </is>
      </c>
      <c r="S555" t="n">
        <v>6</v>
      </c>
      <c r="T555" t="n">
        <v>6</v>
      </c>
      <c r="U555" t="inlineStr">
        <is>
          <t>2000-05-04</t>
        </is>
      </c>
      <c r="V555" t="inlineStr">
        <is>
          <t>2000-05-04</t>
        </is>
      </c>
      <c r="W555" t="inlineStr">
        <is>
          <t>1995-03-21</t>
        </is>
      </c>
      <c r="X555" t="inlineStr">
        <is>
          <t>1995-03-21</t>
        </is>
      </c>
      <c r="Y555" t="n">
        <v>606</v>
      </c>
      <c r="Z555" t="n">
        <v>568</v>
      </c>
      <c r="AA555" t="n">
        <v>808</v>
      </c>
      <c r="AB555" t="n">
        <v>5</v>
      </c>
      <c r="AC555" t="n">
        <v>7</v>
      </c>
      <c r="AD555" t="n">
        <v>19</v>
      </c>
      <c r="AE555" t="n">
        <v>28</v>
      </c>
      <c r="AF555" t="n">
        <v>5</v>
      </c>
      <c r="AG555" t="n">
        <v>10</v>
      </c>
      <c r="AH555" t="n">
        <v>3</v>
      </c>
      <c r="AI555" t="n">
        <v>4</v>
      </c>
      <c r="AJ555" t="n">
        <v>10</v>
      </c>
      <c r="AK555" t="n">
        <v>16</v>
      </c>
      <c r="AL555" t="n">
        <v>4</v>
      </c>
      <c r="AM555" t="n">
        <v>5</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HYPERLINK("https://creighton-primo.hosted.exlibrisgroup.com/primo-explore/search?tab=default_tab&amp;search_scope=EVERYTHING&amp;vid=01CRU&amp;lang=en_US&amp;offset=0&amp;query=any,contains,991001926659702656","Catalog Record")</f>
        <v/>
      </c>
      <c r="AT555">
        <f>HYPERLINK("http://www.worldcat.org/oclc/246911","WorldCat Record")</f>
        <v/>
      </c>
      <c r="AU555" t="inlineStr">
        <is>
          <t>1061240:eng</t>
        </is>
      </c>
      <c r="AV555" t="inlineStr">
        <is>
          <t>246911</t>
        </is>
      </c>
      <c r="AW555" t="inlineStr">
        <is>
          <t>991001926659702656</t>
        </is>
      </c>
      <c r="AX555" t="inlineStr">
        <is>
          <t>991001926659702656</t>
        </is>
      </c>
      <c r="AY555" t="inlineStr">
        <is>
          <t>2257504680002656</t>
        </is>
      </c>
      <c r="AZ555" t="inlineStr">
        <is>
          <t>BOOK</t>
        </is>
      </c>
      <c r="BB555" t="inlineStr">
        <is>
          <t>9780394471235</t>
        </is>
      </c>
      <c r="BC555" t="inlineStr">
        <is>
          <t>32285002013000</t>
        </is>
      </c>
      <c r="BD555" t="inlineStr">
        <is>
          <t>893522982</t>
        </is>
      </c>
    </row>
    <row r="556">
      <c r="A556" t="inlineStr">
        <is>
          <t>No</t>
        </is>
      </c>
      <c r="B556" t="inlineStr">
        <is>
          <t>GN281 .L487 1987</t>
        </is>
      </c>
      <c r="C556" t="inlineStr">
        <is>
          <t>0                      GN 0281000L  487         1987</t>
        </is>
      </c>
      <c r="D556" t="inlineStr">
        <is>
          <t>Bones of contention : controversies in the search for human origins / Roger Lewin.</t>
        </is>
      </c>
      <c r="F556" t="inlineStr">
        <is>
          <t>No</t>
        </is>
      </c>
      <c r="G556" t="inlineStr">
        <is>
          <t>1</t>
        </is>
      </c>
      <c r="H556" t="inlineStr">
        <is>
          <t>No</t>
        </is>
      </c>
      <c r="I556" t="inlineStr">
        <is>
          <t>No</t>
        </is>
      </c>
      <c r="J556" t="inlineStr">
        <is>
          <t>0</t>
        </is>
      </c>
      <c r="K556" t="inlineStr">
        <is>
          <t>Lewin, Roger.</t>
        </is>
      </c>
      <c r="L556" t="inlineStr">
        <is>
          <t>New York : Simon and Schuster, c1987.</t>
        </is>
      </c>
      <c r="M556" t="inlineStr">
        <is>
          <t>1987</t>
        </is>
      </c>
      <c r="O556" t="inlineStr">
        <is>
          <t>eng</t>
        </is>
      </c>
      <c r="P556" t="inlineStr">
        <is>
          <t>nyu</t>
        </is>
      </c>
      <c r="R556" t="inlineStr">
        <is>
          <t xml:space="preserve">GN </t>
        </is>
      </c>
      <c r="S556" t="n">
        <v>7</v>
      </c>
      <c r="T556" t="n">
        <v>7</v>
      </c>
      <c r="U556" t="inlineStr">
        <is>
          <t>1996-03-24</t>
        </is>
      </c>
      <c r="V556" t="inlineStr">
        <is>
          <t>1996-03-24</t>
        </is>
      </c>
      <c r="W556" t="inlineStr">
        <is>
          <t>1990-06-22</t>
        </is>
      </c>
      <c r="X556" t="inlineStr">
        <is>
          <t>1990-06-22</t>
        </is>
      </c>
      <c r="Y556" t="n">
        <v>1449</v>
      </c>
      <c r="Z556" t="n">
        <v>1284</v>
      </c>
      <c r="AA556" t="n">
        <v>1468</v>
      </c>
      <c r="AB556" t="n">
        <v>5</v>
      </c>
      <c r="AC556" t="n">
        <v>7</v>
      </c>
      <c r="AD556" t="n">
        <v>35</v>
      </c>
      <c r="AE556" t="n">
        <v>41</v>
      </c>
      <c r="AF556" t="n">
        <v>17</v>
      </c>
      <c r="AG556" t="n">
        <v>19</v>
      </c>
      <c r="AH556" t="n">
        <v>7</v>
      </c>
      <c r="AI556" t="n">
        <v>8</v>
      </c>
      <c r="AJ556" t="n">
        <v>17</v>
      </c>
      <c r="AK556" t="n">
        <v>19</v>
      </c>
      <c r="AL556" t="n">
        <v>3</v>
      </c>
      <c r="AM556" t="n">
        <v>4</v>
      </c>
      <c r="AN556" t="n">
        <v>0</v>
      </c>
      <c r="AO556" t="n">
        <v>0</v>
      </c>
      <c r="AP556" t="inlineStr">
        <is>
          <t>No</t>
        </is>
      </c>
      <c r="AQ556" t="inlineStr">
        <is>
          <t>Yes</t>
        </is>
      </c>
      <c r="AR556">
        <f>HYPERLINK("http://catalog.hathitrust.org/Record/000855375","HathiTrust Record")</f>
        <v/>
      </c>
      <c r="AS556">
        <f>HYPERLINK("https://creighton-primo.hosted.exlibrisgroup.com/primo-explore/search?tab=default_tab&amp;search_scope=EVERYTHING&amp;vid=01CRU&amp;lang=en_US&amp;offset=0&amp;query=any,contains,991001032989702656","Catalog Record")</f>
        <v/>
      </c>
      <c r="AT556">
        <f>HYPERLINK("http://www.worldcat.org/oclc/15520593","WorldCat Record")</f>
        <v/>
      </c>
      <c r="AU556" t="inlineStr">
        <is>
          <t>601742:eng</t>
        </is>
      </c>
      <c r="AV556" t="inlineStr">
        <is>
          <t>15520593</t>
        </is>
      </c>
      <c r="AW556" t="inlineStr">
        <is>
          <t>991001032989702656</t>
        </is>
      </c>
      <c r="AX556" t="inlineStr">
        <is>
          <t>991001032989702656</t>
        </is>
      </c>
      <c r="AY556" t="inlineStr">
        <is>
          <t>2270868030002656</t>
        </is>
      </c>
      <c r="AZ556" t="inlineStr">
        <is>
          <t>BOOK</t>
        </is>
      </c>
      <c r="BB556" t="inlineStr">
        <is>
          <t>9780671526887</t>
        </is>
      </c>
      <c r="BC556" t="inlineStr">
        <is>
          <t>32285000212588</t>
        </is>
      </c>
      <c r="BD556" t="inlineStr">
        <is>
          <t>893808919</t>
        </is>
      </c>
    </row>
    <row r="557">
      <c r="A557" t="inlineStr">
        <is>
          <t>No</t>
        </is>
      </c>
      <c r="B557" t="inlineStr">
        <is>
          <t>GN281 .P42 v.5</t>
        </is>
      </c>
      <c r="C557" t="inlineStr">
        <is>
          <t>0                      GN 0281000P  42                                                      v.5</t>
        </is>
      </c>
      <c r="D557" t="inlineStr">
        <is>
          <t>The Great apes / edited by David A. Hamburg and Elizabeth R. McCown.</t>
        </is>
      </c>
      <c r="E557" t="inlineStr">
        <is>
          <t>V. 5</t>
        </is>
      </c>
      <c r="F557" t="inlineStr">
        <is>
          <t>No</t>
        </is>
      </c>
      <c r="G557" t="inlineStr">
        <is>
          <t>1</t>
        </is>
      </c>
      <c r="H557" t="inlineStr">
        <is>
          <t>No</t>
        </is>
      </c>
      <c r="I557" t="inlineStr">
        <is>
          <t>No</t>
        </is>
      </c>
      <c r="J557" t="inlineStr">
        <is>
          <t>0</t>
        </is>
      </c>
      <c r="L557" t="inlineStr">
        <is>
          <t>Menlo Park, Calif. : Benjamin/Cummings Pub. Co., c1979.</t>
        </is>
      </c>
      <c r="M557" t="inlineStr">
        <is>
          <t>1979</t>
        </is>
      </c>
      <c r="O557" t="inlineStr">
        <is>
          <t>eng</t>
        </is>
      </c>
      <c r="P557" t="inlineStr">
        <is>
          <t>cau</t>
        </is>
      </c>
      <c r="Q557" t="inlineStr">
        <is>
          <t>Benjamin/Cummings series in anthropology</t>
        </is>
      </c>
      <c r="R557" t="inlineStr">
        <is>
          <t xml:space="preserve">GN </t>
        </is>
      </c>
      <c r="S557" t="n">
        <v>1</v>
      </c>
      <c r="T557" t="n">
        <v>1</v>
      </c>
      <c r="U557" t="inlineStr">
        <is>
          <t>2004-03-02</t>
        </is>
      </c>
      <c r="V557" t="inlineStr">
        <is>
          <t>2004-03-02</t>
        </is>
      </c>
      <c r="W557" t="inlineStr">
        <is>
          <t>1991-01-23</t>
        </is>
      </c>
      <c r="X557" t="inlineStr">
        <is>
          <t>1991-01-23</t>
        </is>
      </c>
      <c r="Y557" t="n">
        <v>484</v>
      </c>
      <c r="Z557" t="n">
        <v>392</v>
      </c>
      <c r="AA557" t="n">
        <v>398</v>
      </c>
      <c r="AB557" t="n">
        <v>2</v>
      </c>
      <c r="AC557" t="n">
        <v>2</v>
      </c>
      <c r="AD557" t="n">
        <v>9</v>
      </c>
      <c r="AE557" t="n">
        <v>9</v>
      </c>
      <c r="AF557" t="n">
        <v>5</v>
      </c>
      <c r="AG557" t="n">
        <v>5</v>
      </c>
      <c r="AH557" t="n">
        <v>2</v>
      </c>
      <c r="AI557" t="n">
        <v>2</v>
      </c>
      <c r="AJ557" t="n">
        <v>2</v>
      </c>
      <c r="AK557" t="n">
        <v>2</v>
      </c>
      <c r="AL557" t="n">
        <v>1</v>
      </c>
      <c r="AM557" t="n">
        <v>1</v>
      </c>
      <c r="AN557" t="n">
        <v>0</v>
      </c>
      <c r="AO557" t="n">
        <v>0</v>
      </c>
      <c r="AP557" t="inlineStr">
        <is>
          <t>No</t>
        </is>
      </c>
      <c r="AQ557" t="inlineStr">
        <is>
          <t>Yes</t>
        </is>
      </c>
      <c r="AR557">
        <f>HYPERLINK("http://catalog.hathitrust.org/Record/000707169","HathiTrust Record")</f>
        <v/>
      </c>
      <c r="AS557">
        <f>HYPERLINK("https://creighton-primo.hosted.exlibrisgroup.com/primo-explore/search?tab=default_tab&amp;search_scope=EVERYTHING&amp;vid=01CRU&amp;lang=en_US&amp;offset=0&amp;query=any,contains,991004712229702656","Catalog Record")</f>
        <v/>
      </c>
      <c r="AT557">
        <f>HYPERLINK("http://www.worldcat.org/oclc/4774580","WorldCat Record")</f>
        <v/>
      </c>
      <c r="AU557" t="inlineStr">
        <is>
          <t>283853693:eng</t>
        </is>
      </c>
      <c r="AV557" t="inlineStr">
        <is>
          <t>4774580</t>
        </is>
      </c>
      <c r="AW557" t="inlineStr">
        <is>
          <t>991004712229702656</t>
        </is>
      </c>
      <c r="AX557" t="inlineStr">
        <is>
          <t>991004712229702656</t>
        </is>
      </c>
      <c r="AY557" t="inlineStr">
        <is>
          <t>2257149950002656</t>
        </is>
      </c>
      <c r="AZ557" t="inlineStr">
        <is>
          <t>BOOK</t>
        </is>
      </c>
      <c r="BB557" t="inlineStr">
        <is>
          <t>9780805336696</t>
        </is>
      </c>
      <c r="BC557" t="inlineStr">
        <is>
          <t>32285000315159</t>
        </is>
      </c>
      <c r="BD557" t="inlineStr">
        <is>
          <t>893417931</t>
        </is>
      </c>
    </row>
    <row r="558">
      <c r="A558" t="inlineStr">
        <is>
          <t>No</t>
        </is>
      </c>
      <c r="B558" t="inlineStr">
        <is>
          <t>GN281 .P5</t>
        </is>
      </c>
      <c r="C558" t="inlineStr">
        <is>
          <t>0                      GN 0281000P  5</t>
        </is>
      </c>
      <c r="D558" t="inlineStr">
        <is>
          <t>The ascent of man : an introduction to human evolution / [by] David Pilbeam.</t>
        </is>
      </c>
      <c r="F558" t="inlineStr">
        <is>
          <t>No</t>
        </is>
      </c>
      <c r="G558" t="inlineStr">
        <is>
          <t>1</t>
        </is>
      </c>
      <c r="H558" t="inlineStr">
        <is>
          <t>No</t>
        </is>
      </c>
      <c r="I558" t="inlineStr">
        <is>
          <t>No</t>
        </is>
      </c>
      <c r="J558" t="inlineStr">
        <is>
          <t>0</t>
        </is>
      </c>
      <c r="K558" t="inlineStr">
        <is>
          <t>Pilbeam, David R.</t>
        </is>
      </c>
      <c r="L558" t="inlineStr">
        <is>
          <t>New York : Macmillan, [1972]</t>
        </is>
      </c>
      <c r="M558" t="inlineStr">
        <is>
          <t>1972</t>
        </is>
      </c>
      <c r="O558" t="inlineStr">
        <is>
          <t>eng</t>
        </is>
      </c>
      <c r="P558" t="inlineStr">
        <is>
          <t>nyu</t>
        </is>
      </c>
      <c r="Q558" t="inlineStr">
        <is>
          <t>Macmillan series in physical anthropology</t>
        </is>
      </c>
      <c r="R558" t="inlineStr">
        <is>
          <t xml:space="preserve">GN </t>
        </is>
      </c>
      <c r="S558" t="n">
        <v>10</v>
      </c>
      <c r="T558" t="n">
        <v>10</v>
      </c>
      <c r="U558" t="inlineStr">
        <is>
          <t>1997-03-07</t>
        </is>
      </c>
      <c r="V558" t="inlineStr">
        <is>
          <t>1997-03-07</t>
        </is>
      </c>
      <c r="W558" t="inlineStr">
        <is>
          <t>1994-03-01</t>
        </is>
      </c>
      <c r="X558" t="inlineStr">
        <is>
          <t>1994-03-01</t>
        </is>
      </c>
      <c r="Y558" t="n">
        <v>666</v>
      </c>
      <c r="Z558" t="n">
        <v>499</v>
      </c>
      <c r="AA558" t="n">
        <v>508</v>
      </c>
      <c r="AB558" t="n">
        <v>3</v>
      </c>
      <c r="AC558" t="n">
        <v>3</v>
      </c>
      <c r="AD558" t="n">
        <v>18</v>
      </c>
      <c r="AE558" t="n">
        <v>18</v>
      </c>
      <c r="AF558" t="n">
        <v>7</v>
      </c>
      <c r="AG558" t="n">
        <v>7</v>
      </c>
      <c r="AH558" t="n">
        <v>4</v>
      </c>
      <c r="AI558" t="n">
        <v>4</v>
      </c>
      <c r="AJ558" t="n">
        <v>9</v>
      </c>
      <c r="AK558" t="n">
        <v>9</v>
      </c>
      <c r="AL558" t="n">
        <v>2</v>
      </c>
      <c r="AM558" t="n">
        <v>2</v>
      </c>
      <c r="AN558" t="n">
        <v>0</v>
      </c>
      <c r="AO558" t="n">
        <v>0</v>
      </c>
      <c r="AP558" t="inlineStr">
        <is>
          <t>No</t>
        </is>
      </c>
      <c r="AQ558" t="inlineStr">
        <is>
          <t>Yes</t>
        </is>
      </c>
      <c r="AR558">
        <f>HYPERLINK("http://catalog.hathitrust.org/Record/001274414","HathiTrust Record")</f>
        <v/>
      </c>
      <c r="AS558">
        <f>HYPERLINK("https://creighton-primo.hosted.exlibrisgroup.com/primo-explore/search?tab=default_tab&amp;search_scope=EVERYTHING&amp;vid=01CRU&amp;lang=en_US&amp;offset=0&amp;query=any,contains,991002207369702656","Catalog Record")</f>
        <v/>
      </c>
      <c r="AT558">
        <f>HYPERLINK("http://www.worldcat.org/oclc/286232","WorldCat Record")</f>
        <v/>
      </c>
      <c r="AU558" t="inlineStr">
        <is>
          <t>1452335:eng</t>
        </is>
      </c>
      <c r="AV558" t="inlineStr">
        <is>
          <t>286232</t>
        </is>
      </c>
      <c r="AW558" t="inlineStr">
        <is>
          <t>991002207369702656</t>
        </is>
      </c>
      <c r="AX558" t="inlineStr">
        <is>
          <t>991002207369702656</t>
        </is>
      </c>
      <c r="AY558" t="inlineStr">
        <is>
          <t>2260888060002656</t>
        </is>
      </c>
      <c r="AZ558" t="inlineStr">
        <is>
          <t>BOOK</t>
        </is>
      </c>
      <c r="BC558" t="inlineStr">
        <is>
          <t>32285001851020</t>
        </is>
      </c>
      <c r="BD558" t="inlineStr">
        <is>
          <t>893798305</t>
        </is>
      </c>
    </row>
    <row r="559">
      <c r="A559" t="inlineStr">
        <is>
          <t>No</t>
        </is>
      </c>
      <c r="B559" t="inlineStr">
        <is>
          <t>GN281 .P52 1970</t>
        </is>
      </c>
      <c r="C559" t="inlineStr">
        <is>
          <t>0                      GN 0281000P  52          1970</t>
        </is>
      </c>
      <c r="D559" t="inlineStr">
        <is>
          <t>The evolution of man.</t>
        </is>
      </c>
      <c r="F559" t="inlineStr">
        <is>
          <t>No</t>
        </is>
      </c>
      <c r="G559" t="inlineStr">
        <is>
          <t>1</t>
        </is>
      </c>
      <c r="H559" t="inlineStr">
        <is>
          <t>No</t>
        </is>
      </c>
      <c r="I559" t="inlineStr">
        <is>
          <t>No</t>
        </is>
      </c>
      <c r="J559" t="inlineStr">
        <is>
          <t>0</t>
        </is>
      </c>
      <c r="K559" t="inlineStr">
        <is>
          <t>Pilbeam, David R.</t>
        </is>
      </c>
      <c r="L559" t="inlineStr">
        <is>
          <t>New York : Funk and Wagnalls, [1970]</t>
        </is>
      </c>
      <c r="M559" t="inlineStr">
        <is>
          <t>1970</t>
        </is>
      </c>
      <c r="N559" t="inlineStr">
        <is>
          <t>[1st American ed.]</t>
        </is>
      </c>
      <c r="O559" t="inlineStr">
        <is>
          <t>eng</t>
        </is>
      </c>
      <c r="P559" t="inlineStr">
        <is>
          <t>nyu</t>
        </is>
      </c>
      <c r="Q559" t="inlineStr">
        <is>
          <t>The World of science library</t>
        </is>
      </c>
      <c r="R559" t="inlineStr">
        <is>
          <t xml:space="preserve">GN </t>
        </is>
      </c>
      <c r="S559" t="n">
        <v>15</v>
      </c>
      <c r="T559" t="n">
        <v>15</v>
      </c>
      <c r="U559" t="inlineStr">
        <is>
          <t>1998-12-16</t>
        </is>
      </c>
      <c r="V559" t="inlineStr">
        <is>
          <t>1998-12-16</t>
        </is>
      </c>
      <c r="W559" t="inlineStr">
        <is>
          <t>1994-03-01</t>
        </is>
      </c>
      <c r="X559" t="inlineStr">
        <is>
          <t>1994-03-01</t>
        </is>
      </c>
      <c r="Y559" t="n">
        <v>358</v>
      </c>
      <c r="Z559" t="n">
        <v>322</v>
      </c>
      <c r="AA559" t="n">
        <v>369</v>
      </c>
      <c r="AB559" t="n">
        <v>3</v>
      </c>
      <c r="AC559" t="n">
        <v>3</v>
      </c>
      <c r="AD559" t="n">
        <v>6</v>
      </c>
      <c r="AE559" t="n">
        <v>9</v>
      </c>
      <c r="AF559" t="n">
        <v>2</v>
      </c>
      <c r="AG559" t="n">
        <v>2</v>
      </c>
      <c r="AH559" t="n">
        <v>2</v>
      </c>
      <c r="AI559" t="n">
        <v>3</v>
      </c>
      <c r="AJ559" t="n">
        <v>3</v>
      </c>
      <c r="AK559" t="n">
        <v>5</v>
      </c>
      <c r="AL559" t="n">
        <v>1</v>
      </c>
      <c r="AM559" t="n">
        <v>1</v>
      </c>
      <c r="AN559" t="n">
        <v>0</v>
      </c>
      <c r="AO559" t="n">
        <v>0</v>
      </c>
      <c r="AP559" t="inlineStr">
        <is>
          <t>No</t>
        </is>
      </c>
      <c r="AQ559" t="inlineStr">
        <is>
          <t>Yes</t>
        </is>
      </c>
      <c r="AR559">
        <f>HYPERLINK("http://catalog.hathitrust.org/Record/001491881","HathiTrust Record")</f>
        <v/>
      </c>
      <c r="AS559">
        <f>HYPERLINK("https://creighton-primo.hosted.exlibrisgroup.com/primo-explore/search?tab=default_tab&amp;search_scope=EVERYTHING&amp;vid=01CRU&amp;lang=en_US&amp;offset=0&amp;query=any,contains,991000569299702656","Catalog Record")</f>
        <v/>
      </c>
      <c r="AT559">
        <f>HYPERLINK("http://www.worldcat.org/oclc/94687","WorldCat Record")</f>
        <v/>
      </c>
      <c r="AU559" t="inlineStr">
        <is>
          <t>484650:eng</t>
        </is>
      </c>
      <c r="AV559" t="inlineStr">
        <is>
          <t>94687</t>
        </is>
      </c>
      <c r="AW559" t="inlineStr">
        <is>
          <t>991000569299702656</t>
        </is>
      </c>
      <c r="AX559" t="inlineStr">
        <is>
          <t>991000569299702656</t>
        </is>
      </c>
      <c r="AY559" t="inlineStr">
        <is>
          <t>2266085630002656</t>
        </is>
      </c>
      <c r="AZ559" t="inlineStr">
        <is>
          <t>BOOK</t>
        </is>
      </c>
      <c r="BC559" t="inlineStr">
        <is>
          <t>32285001851012</t>
        </is>
      </c>
      <c r="BD559" t="inlineStr">
        <is>
          <t>893496362</t>
        </is>
      </c>
    </row>
    <row r="560">
      <c r="A560" t="inlineStr">
        <is>
          <t>No</t>
        </is>
      </c>
      <c r="B560" t="inlineStr">
        <is>
          <t>GN281 .R88 1993</t>
        </is>
      </c>
      <c r="C560" t="inlineStr">
        <is>
          <t>0                      GN 0281000R  88          1993</t>
        </is>
      </c>
      <c r="D560" t="inlineStr">
        <is>
          <t>The lemurs' legacy : the evolution of power, sex, and love / Robert Jay Russell.</t>
        </is>
      </c>
      <c r="F560" t="inlineStr">
        <is>
          <t>No</t>
        </is>
      </c>
      <c r="G560" t="inlineStr">
        <is>
          <t>1</t>
        </is>
      </c>
      <c r="H560" t="inlineStr">
        <is>
          <t>No</t>
        </is>
      </c>
      <c r="I560" t="inlineStr">
        <is>
          <t>No</t>
        </is>
      </c>
      <c r="J560" t="inlineStr">
        <is>
          <t>0</t>
        </is>
      </c>
      <c r="K560" t="inlineStr">
        <is>
          <t>Russell, Robert Jay.</t>
        </is>
      </c>
      <c r="L560" t="inlineStr">
        <is>
          <t>New York : Putnam, 1993.</t>
        </is>
      </c>
      <c r="M560" t="inlineStr">
        <is>
          <t>1993</t>
        </is>
      </c>
      <c r="N560" t="inlineStr">
        <is>
          <t>1st American ed.</t>
        </is>
      </c>
      <c r="O560" t="inlineStr">
        <is>
          <t>eng</t>
        </is>
      </c>
      <c r="P560" t="inlineStr">
        <is>
          <t>nyu</t>
        </is>
      </c>
      <c r="R560" t="inlineStr">
        <is>
          <t xml:space="preserve">GN </t>
        </is>
      </c>
      <c r="S560" t="n">
        <v>4</v>
      </c>
      <c r="T560" t="n">
        <v>4</v>
      </c>
      <c r="U560" t="inlineStr">
        <is>
          <t>2007-07-27</t>
        </is>
      </c>
      <c r="V560" t="inlineStr">
        <is>
          <t>2007-07-27</t>
        </is>
      </c>
      <c r="W560" t="inlineStr">
        <is>
          <t>1993-06-16</t>
        </is>
      </c>
      <c r="X560" t="inlineStr">
        <is>
          <t>1993-06-16</t>
        </is>
      </c>
      <c r="Y560" t="n">
        <v>493</v>
      </c>
      <c r="Z560" t="n">
        <v>460</v>
      </c>
      <c r="AA560" t="n">
        <v>466</v>
      </c>
      <c r="AB560" t="n">
        <v>2</v>
      </c>
      <c r="AC560" t="n">
        <v>2</v>
      </c>
      <c r="AD560" t="n">
        <v>16</v>
      </c>
      <c r="AE560" t="n">
        <v>16</v>
      </c>
      <c r="AF560" t="n">
        <v>4</v>
      </c>
      <c r="AG560" t="n">
        <v>4</v>
      </c>
      <c r="AH560" t="n">
        <v>5</v>
      </c>
      <c r="AI560" t="n">
        <v>5</v>
      </c>
      <c r="AJ560" t="n">
        <v>10</v>
      </c>
      <c r="AK560" t="n">
        <v>10</v>
      </c>
      <c r="AL560" t="n">
        <v>1</v>
      </c>
      <c r="AM560" t="n">
        <v>1</v>
      </c>
      <c r="AN560" t="n">
        <v>0</v>
      </c>
      <c r="AO560" t="n">
        <v>0</v>
      </c>
      <c r="AP560" t="inlineStr">
        <is>
          <t>No</t>
        </is>
      </c>
      <c r="AQ560" t="inlineStr">
        <is>
          <t>Yes</t>
        </is>
      </c>
      <c r="AR560">
        <f>HYPERLINK("http://catalog.hathitrust.org/Record/007110863","HathiTrust Record")</f>
        <v/>
      </c>
      <c r="AS560">
        <f>HYPERLINK("https://creighton-primo.hosted.exlibrisgroup.com/primo-explore/search?tab=default_tab&amp;search_scope=EVERYTHING&amp;vid=01CRU&amp;lang=en_US&amp;offset=0&amp;query=any,contains,991002089009702656","Catalog Record")</f>
        <v/>
      </c>
      <c r="AT560">
        <f>HYPERLINK("http://www.worldcat.org/oclc/26806580","WorldCat Record")</f>
        <v/>
      </c>
      <c r="AU560" t="inlineStr">
        <is>
          <t>20998526:eng</t>
        </is>
      </c>
      <c r="AV560" t="inlineStr">
        <is>
          <t>26806580</t>
        </is>
      </c>
      <c r="AW560" t="inlineStr">
        <is>
          <t>991002089009702656</t>
        </is>
      </c>
      <c r="AX560" t="inlineStr">
        <is>
          <t>991002089009702656</t>
        </is>
      </c>
      <c r="AY560" t="inlineStr">
        <is>
          <t>2254752720002656</t>
        </is>
      </c>
      <c r="AZ560" t="inlineStr">
        <is>
          <t>BOOK</t>
        </is>
      </c>
      <c r="BB560" t="inlineStr">
        <is>
          <t>9780874777147</t>
        </is>
      </c>
      <c r="BC560" t="inlineStr">
        <is>
          <t>32285001694602</t>
        </is>
      </c>
      <c r="BD560" t="inlineStr">
        <is>
          <t>893497709</t>
        </is>
      </c>
    </row>
    <row r="561">
      <c r="A561" t="inlineStr">
        <is>
          <t>No</t>
        </is>
      </c>
      <c r="B561" t="inlineStr">
        <is>
          <t>GN281 .W33 2006</t>
        </is>
      </c>
      <c r="C561" t="inlineStr">
        <is>
          <t>0                      GN 0281000W  33          2006</t>
        </is>
      </c>
      <c r="D561" t="inlineStr">
        <is>
          <t>Before the dawn : recovering the lost history of our ancestors / Nicholas Wade.</t>
        </is>
      </c>
      <c r="F561" t="inlineStr">
        <is>
          <t>No</t>
        </is>
      </c>
      <c r="G561" t="inlineStr">
        <is>
          <t>1</t>
        </is>
      </c>
      <c r="H561" t="inlineStr">
        <is>
          <t>No</t>
        </is>
      </c>
      <c r="I561" t="inlineStr">
        <is>
          <t>No</t>
        </is>
      </c>
      <c r="J561" t="inlineStr">
        <is>
          <t>0</t>
        </is>
      </c>
      <c r="K561" t="inlineStr">
        <is>
          <t>Wade, Nicholas.</t>
        </is>
      </c>
      <c r="L561" t="inlineStr">
        <is>
          <t>New York : Penguin Press, 2006.</t>
        </is>
      </c>
      <c r="M561" t="inlineStr">
        <is>
          <t>2006</t>
        </is>
      </c>
      <c r="O561" t="inlineStr">
        <is>
          <t>eng</t>
        </is>
      </c>
      <c r="P561" t="inlineStr">
        <is>
          <t>nyu</t>
        </is>
      </c>
      <c r="R561" t="inlineStr">
        <is>
          <t xml:space="preserve">GN </t>
        </is>
      </c>
      <c r="S561" t="n">
        <v>1</v>
      </c>
      <c r="T561" t="n">
        <v>1</v>
      </c>
      <c r="U561" t="inlineStr">
        <is>
          <t>2006-05-11</t>
        </is>
      </c>
      <c r="V561" t="inlineStr">
        <is>
          <t>2006-05-11</t>
        </is>
      </c>
      <c r="W561" t="inlineStr">
        <is>
          <t>2006-05-11</t>
        </is>
      </c>
      <c r="X561" t="inlineStr">
        <is>
          <t>2006-05-11</t>
        </is>
      </c>
      <c r="Y561" t="n">
        <v>1398</v>
      </c>
      <c r="Z561" t="n">
        <v>1299</v>
      </c>
      <c r="AA561" t="n">
        <v>1542</v>
      </c>
      <c r="AB561" t="n">
        <v>7</v>
      </c>
      <c r="AC561" t="n">
        <v>7</v>
      </c>
      <c r="AD561" t="n">
        <v>27</v>
      </c>
      <c r="AE561" t="n">
        <v>31</v>
      </c>
      <c r="AF561" t="n">
        <v>11</v>
      </c>
      <c r="AG561" t="n">
        <v>14</v>
      </c>
      <c r="AH561" t="n">
        <v>6</v>
      </c>
      <c r="AI561" t="n">
        <v>6</v>
      </c>
      <c r="AJ561" t="n">
        <v>11</v>
      </c>
      <c r="AK561" t="n">
        <v>13</v>
      </c>
      <c r="AL561" t="n">
        <v>5</v>
      </c>
      <c r="AM561" t="n">
        <v>5</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HYPERLINK("https://creighton-primo.hosted.exlibrisgroup.com/primo-explore/search?tab=default_tab&amp;search_scope=EVERYTHING&amp;vid=01CRU&amp;lang=en_US&amp;offset=0&amp;query=any,contains,991004814899702656","Catalog Record")</f>
        <v/>
      </c>
      <c r="AT561">
        <f>HYPERLINK("http://www.worldcat.org/oclc/62282400","WorldCat Record")</f>
        <v/>
      </c>
      <c r="AU561" t="inlineStr">
        <is>
          <t>793904459:eng</t>
        </is>
      </c>
      <c r="AV561" t="inlineStr">
        <is>
          <t>62282400</t>
        </is>
      </c>
      <c r="AW561" t="inlineStr">
        <is>
          <t>991004814899702656</t>
        </is>
      </c>
      <c r="AX561" t="inlineStr">
        <is>
          <t>991004814899702656</t>
        </is>
      </c>
      <c r="AY561" t="inlineStr">
        <is>
          <t>2262294450002656</t>
        </is>
      </c>
      <c r="AZ561" t="inlineStr">
        <is>
          <t>BOOK</t>
        </is>
      </c>
      <c r="BB561" t="inlineStr">
        <is>
          <t>9781594200793</t>
        </is>
      </c>
      <c r="BC561" t="inlineStr">
        <is>
          <t>32285005186811</t>
        </is>
      </c>
      <c r="BD561" t="inlineStr">
        <is>
          <t>893344295</t>
        </is>
      </c>
    </row>
    <row r="562">
      <c r="A562" t="inlineStr">
        <is>
          <t>No</t>
        </is>
      </c>
      <c r="B562" t="inlineStr">
        <is>
          <t>GN281 .W53</t>
        </is>
      </c>
      <c r="C562" t="inlineStr">
        <is>
          <t>0                      GN 0281000W  53</t>
        </is>
      </c>
      <c r="D562" t="inlineStr">
        <is>
          <t>Up from Eden : a transpersonal view of human evolution / Ken Wilber.</t>
        </is>
      </c>
      <c r="F562" t="inlineStr">
        <is>
          <t>No</t>
        </is>
      </c>
      <c r="G562" t="inlineStr">
        <is>
          <t>1</t>
        </is>
      </c>
      <c r="H562" t="inlineStr">
        <is>
          <t>No</t>
        </is>
      </c>
      <c r="I562" t="inlineStr">
        <is>
          <t>No</t>
        </is>
      </c>
      <c r="J562" t="inlineStr">
        <is>
          <t>0</t>
        </is>
      </c>
      <c r="K562" t="inlineStr">
        <is>
          <t>Wilber, Ken.</t>
        </is>
      </c>
      <c r="L562" t="inlineStr">
        <is>
          <t>Garden City, N.Y. : Anchor Books, 1981.</t>
        </is>
      </c>
      <c r="M562" t="inlineStr">
        <is>
          <t>1981</t>
        </is>
      </c>
      <c r="N562" t="inlineStr">
        <is>
          <t>1st ed.</t>
        </is>
      </c>
      <c r="O562" t="inlineStr">
        <is>
          <t>eng</t>
        </is>
      </c>
      <c r="P562" t="inlineStr">
        <is>
          <t>nyu</t>
        </is>
      </c>
      <c r="R562" t="inlineStr">
        <is>
          <t xml:space="preserve">GN </t>
        </is>
      </c>
      <c r="S562" t="n">
        <v>4</v>
      </c>
      <c r="T562" t="n">
        <v>4</v>
      </c>
      <c r="U562" t="inlineStr">
        <is>
          <t>2003-08-26</t>
        </is>
      </c>
      <c r="V562" t="inlineStr">
        <is>
          <t>2003-08-26</t>
        </is>
      </c>
      <c r="W562" t="inlineStr">
        <is>
          <t>1990-09-20</t>
        </is>
      </c>
      <c r="X562" t="inlineStr">
        <is>
          <t>1990-09-20</t>
        </is>
      </c>
      <c r="Y562" t="n">
        <v>526</v>
      </c>
      <c r="Z562" t="n">
        <v>481</v>
      </c>
      <c r="AA562" t="n">
        <v>669</v>
      </c>
      <c r="AB562" t="n">
        <v>4</v>
      </c>
      <c r="AC562" t="n">
        <v>5</v>
      </c>
      <c r="AD562" t="n">
        <v>19</v>
      </c>
      <c r="AE562" t="n">
        <v>28</v>
      </c>
      <c r="AF562" t="n">
        <v>8</v>
      </c>
      <c r="AG562" t="n">
        <v>13</v>
      </c>
      <c r="AH562" t="n">
        <v>4</v>
      </c>
      <c r="AI562" t="n">
        <v>6</v>
      </c>
      <c r="AJ562" t="n">
        <v>7</v>
      </c>
      <c r="AK562" t="n">
        <v>12</v>
      </c>
      <c r="AL562" t="n">
        <v>2</v>
      </c>
      <c r="AM562" t="n">
        <v>3</v>
      </c>
      <c r="AN562" t="n">
        <v>1</v>
      </c>
      <c r="AO562" t="n">
        <v>1</v>
      </c>
      <c r="AP562" t="inlineStr">
        <is>
          <t>No</t>
        </is>
      </c>
      <c r="AQ562" t="inlineStr">
        <is>
          <t>No</t>
        </is>
      </c>
      <c r="AS562">
        <f>HYPERLINK("https://creighton-primo.hosted.exlibrisgroup.com/primo-explore/search?tab=default_tab&amp;search_scope=EVERYTHING&amp;vid=01CRU&amp;lang=en_US&amp;offset=0&amp;query=any,contains,991005095069702656","Catalog Record")</f>
        <v/>
      </c>
      <c r="AT562">
        <f>HYPERLINK("http://www.worldcat.org/oclc/7272139","WorldCat Record")</f>
        <v/>
      </c>
      <c r="AU562" t="inlineStr">
        <is>
          <t>4046446321:eng</t>
        </is>
      </c>
      <c r="AV562" t="inlineStr">
        <is>
          <t>7272139</t>
        </is>
      </c>
      <c r="AW562" t="inlineStr">
        <is>
          <t>991005095069702656</t>
        </is>
      </c>
      <c r="AX562" t="inlineStr">
        <is>
          <t>991005095069702656</t>
        </is>
      </c>
      <c r="AY562" t="inlineStr">
        <is>
          <t>2261469630002656</t>
        </is>
      </c>
      <c r="AZ562" t="inlineStr">
        <is>
          <t>BOOK</t>
        </is>
      </c>
      <c r="BB562" t="inlineStr">
        <is>
          <t>9780385173636</t>
        </is>
      </c>
      <c r="BC562" t="inlineStr">
        <is>
          <t>32285000315183</t>
        </is>
      </c>
      <c r="BD562" t="inlineStr">
        <is>
          <t>893795597</t>
        </is>
      </c>
    </row>
    <row r="563">
      <c r="A563" t="inlineStr">
        <is>
          <t>No</t>
        </is>
      </c>
      <c r="B563" t="inlineStr">
        <is>
          <t>GN281.4 .A53 1996</t>
        </is>
      </c>
      <c r="C563" t="inlineStr">
        <is>
          <t>0                      GN 0281400A  53          1996</t>
        </is>
      </c>
      <c r="D563" t="inlineStr">
        <is>
          <t>Evolution isn't what it used to be : the augmented animal and the whole wired world / Walter Truett Anderson.</t>
        </is>
      </c>
      <c r="F563" t="inlineStr">
        <is>
          <t>No</t>
        </is>
      </c>
      <c r="G563" t="inlineStr">
        <is>
          <t>1</t>
        </is>
      </c>
      <c r="H563" t="inlineStr">
        <is>
          <t>No</t>
        </is>
      </c>
      <c r="I563" t="inlineStr">
        <is>
          <t>No</t>
        </is>
      </c>
      <c r="J563" t="inlineStr">
        <is>
          <t>0</t>
        </is>
      </c>
      <c r="K563" t="inlineStr">
        <is>
          <t>Anderson, Walt, 1933-</t>
        </is>
      </c>
      <c r="L563" t="inlineStr">
        <is>
          <t>New York : W.H. Freeman, c1996.</t>
        </is>
      </c>
      <c r="M563" t="inlineStr">
        <is>
          <t>1996</t>
        </is>
      </c>
      <c r="O563" t="inlineStr">
        <is>
          <t>eng</t>
        </is>
      </c>
      <c r="P563" t="inlineStr">
        <is>
          <t>nyu</t>
        </is>
      </c>
      <c r="R563" t="inlineStr">
        <is>
          <t xml:space="preserve">GN </t>
        </is>
      </c>
      <c r="S563" t="n">
        <v>13</v>
      </c>
      <c r="T563" t="n">
        <v>13</v>
      </c>
      <c r="U563" t="inlineStr">
        <is>
          <t>2003-04-29</t>
        </is>
      </c>
      <c r="V563" t="inlineStr">
        <is>
          <t>2003-04-29</t>
        </is>
      </c>
      <c r="W563" t="inlineStr">
        <is>
          <t>1996-07-10</t>
        </is>
      </c>
      <c r="X563" t="inlineStr">
        <is>
          <t>1996-07-10</t>
        </is>
      </c>
      <c r="Y563" t="n">
        <v>520</v>
      </c>
      <c r="Z563" t="n">
        <v>428</v>
      </c>
      <c r="AA563" t="n">
        <v>432</v>
      </c>
      <c r="AB563" t="n">
        <v>3</v>
      </c>
      <c r="AC563" t="n">
        <v>3</v>
      </c>
      <c r="AD563" t="n">
        <v>11</v>
      </c>
      <c r="AE563" t="n">
        <v>11</v>
      </c>
      <c r="AF563" t="n">
        <v>2</v>
      </c>
      <c r="AG563" t="n">
        <v>2</v>
      </c>
      <c r="AH563" t="n">
        <v>2</v>
      </c>
      <c r="AI563" t="n">
        <v>2</v>
      </c>
      <c r="AJ563" t="n">
        <v>7</v>
      </c>
      <c r="AK563" t="n">
        <v>7</v>
      </c>
      <c r="AL563" t="n">
        <v>2</v>
      </c>
      <c r="AM563" t="n">
        <v>2</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HYPERLINK("https://creighton-primo.hosted.exlibrisgroup.com/primo-explore/search?tab=default_tab&amp;search_scope=EVERYTHING&amp;vid=01CRU&amp;lang=en_US&amp;offset=0&amp;query=any,contains,991002577109702656","Catalog Record")</f>
        <v/>
      </c>
      <c r="AT563">
        <f>HYPERLINK("http://www.worldcat.org/oclc/33665463","WorldCat Record")</f>
        <v/>
      </c>
      <c r="AU563" t="inlineStr">
        <is>
          <t>581085:eng</t>
        </is>
      </c>
      <c r="AV563" t="inlineStr">
        <is>
          <t>33665463</t>
        </is>
      </c>
      <c r="AW563" t="inlineStr">
        <is>
          <t>991002577109702656</t>
        </is>
      </c>
      <c r="AX563" t="inlineStr">
        <is>
          <t>991002577109702656</t>
        </is>
      </c>
      <c r="AY563" t="inlineStr">
        <is>
          <t>2257265840002656</t>
        </is>
      </c>
      <c r="AZ563" t="inlineStr">
        <is>
          <t>BOOK</t>
        </is>
      </c>
      <c r="BB563" t="inlineStr">
        <is>
          <t>9780716729983</t>
        </is>
      </c>
      <c r="BC563" t="inlineStr">
        <is>
          <t>32285002211299</t>
        </is>
      </c>
      <c r="BD563" t="inlineStr">
        <is>
          <t>893427751</t>
        </is>
      </c>
    </row>
    <row r="564">
      <c r="A564" t="inlineStr">
        <is>
          <t>No</t>
        </is>
      </c>
      <c r="B564" t="inlineStr">
        <is>
          <t>GN281.4 .W54 1977</t>
        </is>
      </c>
      <c r="C564" t="inlineStr">
        <is>
          <t>0                      GN 0281400W  54          1977</t>
        </is>
      </c>
      <c r="D564" t="inlineStr">
        <is>
          <t>Challenge to survival / Leonard Williams.</t>
        </is>
      </c>
      <c r="F564" t="inlineStr">
        <is>
          <t>No</t>
        </is>
      </c>
      <c r="G564" t="inlineStr">
        <is>
          <t>1</t>
        </is>
      </c>
      <c r="H564" t="inlineStr">
        <is>
          <t>No</t>
        </is>
      </c>
      <c r="I564" t="inlineStr">
        <is>
          <t>No</t>
        </is>
      </c>
      <c r="J564" t="inlineStr">
        <is>
          <t>0</t>
        </is>
      </c>
      <c r="K564" t="inlineStr">
        <is>
          <t>Williams, Leonard.</t>
        </is>
      </c>
      <c r="L564" t="inlineStr">
        <is>
          <t>New York : Harper &amp; Row, 1977.</t>
        </is>
      </c>
      <c r="M564" t="inlineStr">
        <is>
          <t>1977</t>
        </is>
      </c>
      <c r="N564" t="inlineStr">
        <is>
          <t>Rev. ed.</t>
        </is>
      </c>
      <c r="O564" t="inlineStr">
        <is>
          <t>eng</t>
        </is>
      </c>
      <c r="P564" t="inlineStr">
        <is>
          <t>nyu</t>
        </is>
      </c>
      <c r="Q564" t="inlineStr">
        <is>
          <t>Harper colophon books ; CN 555</t>
        </is>
      </c>
      <c r="R564" t="inlineStr">
        <is>
          <t xml:space="preserve">GN </t>
        </is>
      </c>
      <c r="S564" t="n">
        <v>2</v>
      </c>
      <c r="T564" t="n">
        <v>2</v>
      </c>
      <c r="U564" t="inlineStr">
        <is>
          <t>1998-04-29</t>
        </is>
      </c>
      <c r="V564" t="inlineStr">
        <is>
          <t>1998-04-29</t>
        </is>
      </c>
      <c r="W564" t="inlineStr">
        <is>
          <t>1990-09-20</t>
        </is>
      </c>
      <c r="X564" t="inlineStr">
        <is>
          <t>1990-09-20</t>
        </is>
      </c>
      <c r="Y564" t="n">
        <v>111</v>
      </c>
      <c r="Z564" t="n">
        <v>101</v>
      </c>
      <c r="AA564" t="n">
        <v>359</v>
      </c>
      <c r="AB564" t="n">
        <v>1</v>
      </c>
      <c r="AC564" t="n">
        <v>3</v>
      </c>
      <c r="AD564" t="n">
        <v>3</v>
      </c>
      <c r="AE564" t="n">
        <v>13</v>
      </c>
      <c r="AF564" t="n">
        <v>1</v>
      </c>
      <c r="AG564" t="n">
        <v>5</v>
      </c>
      <c r="AH564" t="n">
        <v>0</v>
      </c>
      <c r="AI564" t="n">
        <v>5</v>
      </c>
      <c r="AJ564" t="n">
        <v>2</v>
      </c>
      <c r="AK564" t="n">
        <v>6</v>
      </c>
      <c r="AL564" t="n">
        <v>0</v>
      </c>
      <c r="AM564" t="n">
        <v>2</v>
      </c>
      <c r="AN564" t="n">
        <v>0</v>
      </c>
      <c r="AO564" t="n">
        <v>0</v>
      </c>
      <c r="AP564" t="inlineStr">
        <is>
          <t>No</t>
        </is>
      </c>
      <c r="AQ564" t="inlineStr">
        <is>
          <t>Yes</t>
        </is>
      </c>
      <c r="AR564">
        <f>HYPERLINK("http://catalog.hathitrust.org/Record/005997724","HathiTrust Record")</f>
        <v/>
      </c>
      <c r="AS564">
        <f>HYPERLINK("https://creighton-primo.hosted.exlibrisgroup.com/primo-explore/search?tab=default_tab&amp;search_scope=EVERYTHING&amp;vid=01CRU&amp;lang=en_US&amp;offset=0&amp;query=any,contains,991004366229702656","Catalog Record")</f>
        <v/>
      </c>
      <c r="AT564">
        <f>HYPERLINK("http://www.worldcat.org/oclc/3169681","WorldCat Record")</f>
        <v/>
      </c>
      <c r="AU564" t="inlineStr">
        <is>
          <t>6990870:eng</t>
        </is>
      </c>
      <c r="AV564" t="inlineStr">
        <is>
          <t>3169681</t>
        </is>
      </c>
      <c r="AW564" t="inlineStr">
        <is>
          <t>991004366229702656</t>
        </is>
      </c>
      <c r="AX564" t="inlineStr">
        <is>
          <t>991004366229702656</t>
        </is>
      </c>
      <c r="AY564" t="inlineStr">
        <is>
          <t>2263221530002656</t>
        </is>
      </c>
      <c r="AZ564" t="inlineStr">
        <is>
          <t>BOOK</t>
        </is>
      </c>
      <c r="BB564" t="inlineStr">
        <is>
          <t>9780060905552</t>
        </is>
      </c>
      <c r="BC564" t="inlineStr">
        <is>
          <t>32285000315217</t>
        </is>
      </c>
      <c r="BD564" t="inlineStr">
        <is>
          <t>893235402</t>
        </is>
      </c>
    </row>
    <row r="565">
      <c r="A565" t="inlineStr">
        <is>
          <t>No</t>
        </is>
      </c>
      <c r="B565" t="inlineStr">
        <is>
          <t>GN282 .D48 2000</t>
        </is>
      </c>
      <c r="C565" t="inlineStr">
        <is>
          <t>0                      GN 0282000D  48          2000</t>
        </is>
      </c>
      <c r="D565" t="inlineStr">
        <is>
          <t>Development, growth, and evolution : implications for the study of the hominid skeleton / edited by Paul O'Higgins and Martin J. Cohn.</t>
        </is>
      </c>
      <c r="F565" t="inlineStr">
        <is>
          <t>No</t>
        </is>
      </c>
      <c r="G565" t="inlineStr">
        <is>
          <t>1</t>
        </is>
      </c>
      <c r="H565" t="inlineStr">
        <is>
          <t>No</t>
        </is>
      </c>
      <c r="I565" t="inlineStr">
        <is>
          <t>No</t>
        </is>
      </c>
      <c r="J565" t="inlineStr">
        <is>
          <t>0</t>
        </is>
      </c>
      <c r="L565" t="inlineStr">
        <is>
          <t>San Diego, Calif. : Academic Press, 2000.</t>
        </is>
      </c>
      <c r="M565" t="inlineStr">
        <is>
          <t>2000</t>
        </is>
      </c>
      <c r="O565" t="inlineStr">
        <is>
          <t>eng</t>
        </is>
      </c>
      <c r="P565" t="inlineStr">
        <is>
          <t>cau</t>
        </is>
      </c>
      <c r="Q565" t="inlineStr">
        <is>
          <t>Linnean Society symposium series ; no. 20</t>
        </is>
      </c>
      <c r="R565" t="inlineStr">
        <is>
          <t xml:space="preserve">GN </t>
        </is>
      </c>
      <c r="S565" t="n">
        <v>4</v>
      </c>
      <c r="T565" t="n">
        <v>4</v>
      </c>
      <c r="U565" t="inlineStr">
        <is>
          <t>2009-09-08</t>
        </is>
      </c>
      <c r="V565" t="inlineStr">
        <is>
          <t>2009-09-08</t>
        </is>
      </c>
      <c r="W565" t="inlineStr">
        <is>
          <t>2000-12-20</t>
        </is>
      </c>
      <c r="X565" t="inlineStr">
        <is>
          <t>2000-12-20</t>
        </is>
      </c>
      <c r="Y565" t="n">
        <v>210</v>
      </c>
      <c r="Z565" t="n">
        <v>159</v>
      </c>
      <c r="AA565" t="n">
        <v>159</v>
      </c>
      <c r="AB565" t="n">
        <v>1</v>
      </c>
      <c r="AC565" t="n">
        <v>1</v>
      </c>
      <c r="AD565" t="n">
        <v>6</v>
      </c>
      <c r="AE565" t="n">
        <v>6</v>
      </c>
      <c r="AF565" t="n">
        <v>0</v>
      </c>
      <c r="AG565" t="n">
        <v>0</v>
      </c>
      <c r="AH565" t="n">
        <v>2</v>
      </c>
      <c r="AI565" t="n">
        <v>2</v>
      </c>
      <c r="AJ565" t="n">
        <v>6</v>
      </c>
      <c r="AK565" t="n">
        <v>6</v>
      </c>
      <c r="AL565" t="n">
        <v>0</v>
      </c>
      <c r="AM565" t="n">
        <v>0</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HYPERLINK("https://creighton-primo.hosted.exlibrisgroup.com/primo-explore/search?tab=default_tab&amp;search_scope=EVERYTHING&amp;vid=01CRU&amp;lang=en_US&amp;offset=0&amp;query=any,contains,991003333929702656","Catalog Record")</f>
        <v/>
      </c>
      <c r="AT565">
        <f>HYPERLINK("http://www.worldcat.org/oclc/43541820","WorldCat Record")</f>
        <v/>
      </c>
      <c r="AU565" t="inlineStr">
        <is>
          <t>837078691:eng</t>
        </is>
      </c>
      <c r="AV565" t="inlineStr">
        <is>
          <t>43541820</t>
        </is>
      </c>
      <c r="AW565" t="inlineStr">
        <is>
          <t>991003333929702656</t>
        </is>
      </c>
      <c r="AX565" t="inlineStr">
        <is>
          <t>991003333929702656</t>
        </is>
      </c>
      <c r="AY565" t="inlineStr">
        <is>
          <t>2256530570002656</t>
        </is>
      </c>
      <c r="AZ565" t="inlineStr">
        <is>
          <t>BOOK</t>
        </is>
      </c>
      <c r="BB565" t="inlineStr">
        <is>
          <t>9780125249652</t>
        </is>
      </c>
      <c r="BC565" t="inlineStr">
        <is>
          <t>32285004277777</t>
        </is>
      </c>
      <c r="BD565" t="inlineStr">
        <is>
          <t>893604692</t>
        </is>
      </c>
    </row>
    <row r="566">
      <c r="A566" t="inlineStr">
        <is>
          <t>No</t>
        </is>
      </c>
      <c r="B566" t="inlineStr">
        <is>
          <t>GN282.5 .B55 1986</t>
        </is>
      </c>
      <c r="C566" t="inlineStr">
        <is>
          <t>0                      GN 0282500B  55          1986</t>
        </is>
      </c>
      <c r="D566" t="inlineStr">
        <is>
          <t>The Piltdown inquest / Charles Blinderman.</t>
        </is>
      </c>
      <c r="F566" t="inlineStr">
        <is>
          <t>No</t>
        </is>
      </c>
      <c r="G566" t="inlineStr">
        <is>
          <t>1</t>
        </is>
      </c>
      <c r="H566" t="inlineStr">
        <is>
          <t>No</t>
        </is>
      </c>
      <c r="I566" t="inlineStr">
        <is>
          <t>No</t>
        </is>
      </c>
      <c r="J566" t="inlineStr">
        <is>
          <t>0</t>
        </is>
      </c>
      <c r="K566" t="inlineStr">
        <is>
          <t>Blinderman, Charles, 1931-</t>
        </is>
      </c>
      <c r="L566" t="inlineStr">
        <is>
          <t>Buffalo, N.Y. : Prometheus Books, c1986.</t>
        </is>
      </c>
      <c r="M566" t="inlineStr">
        <is>
          <t>1986</t>
        </is>
      </c>
      <c r="O566" t="inlineStr">
        <is>
          <t>eng</t>
        </is>
      </c>
      <c r="P566" t="inlineStr">
        <is>
          <t>nyu</t>
        </is>
      </c>
      <c r="R566" t="inlineStr">
        <is>
          <t xml:space="preserve">GN </t>
        </is>
      </c>
      <c r="S566" t="n">
        <v>2</v>
      </c>
      <c r="T566" t="n">
        <v>2</v>
      </c>
      <c r="U566" t="inlineStr">
        <is>
          <t>1996-02-03</t>
        </is>
      </c>
      <c r="V566" t="inlineStr">
        <is>
          <t>1996-02-03</t>
        </is>
      </c>
      <c r="W566" t="inlineStr">
        <is>
          <t>1990-09-20</t>
        </is>
      </c>
      <c r="X566" t="inlineStr">
        <is>
          <t>1990-09-20</t>
        </is>
      </c>
      <c r="Y566" t="n">
        <v>500</v>
      </c>
      <c r="Z566" t="n">
        <v>449</v>
      </c>
      <c r="AA566" t="n">
        <v>455</v>
      </c>
      <c r="AB566" t="n">
        <v>3</v>
      </c>
      <c r="AC566" t="n">
        <v>3</v>
      </c>
      <c r="AD566" t="n">
        <v>12</v>
      </c>
      <c r="AE566" t="n">
        <v>12</v>
      </c>
      <c r="AF566" t="n">
        <v>4</v>
      </c>
      <c r="AG566" t="n">
        <v>4</v>
      </c>
      <c r="AH566" t="n">
        <v>2</v>
      </c>
      <c r="AI566" t="n">
        <v>2</v>
      </c>
      <c r="AJ566" t="n">
        <v>6</v>
      </c>
      <c r="AK566" t="n">
        <v>6</v>
      </c>
      <c r="AL566" t="n">
        <v>2</v>
      </c>
      <c r="AM566" t="n">
        <v>2</v>
      </c>
      <c r="AN566" t="n">
        <v>0</v>
      </c>
      <c r="AO566" t="n">
        <v>0</v>
      </c>
      <c r="AP566" t="inlineStr">
        <is>
          <t>No</t>
        </is>
      </c>
      <c r="AQ566" t="inlineStr">
        <is>
          <t>Yes</t>
        </is>
      </c>
      <c r="AR566">
        <f>HYPERLINK("http://catalog.hathitrust.org/Record/000592504","HathiTrust Record")</f>
        <v/>
      </c>
      <c r="AS566">
        <f>HYPERLINK("https://creighton-primo.hosted.exlibrisgroup.com/primo-explore/search?tab=default_tab&amp;search_scope=EVERYTHING&amp;vid=01CRU&amp;lang=en_US&amp;offset=0&amp;query=any,contains,991000906599702656","Catalog Record")</f>
        <v/>
      </c>
      <c r="AT566">
        <f>HYPERLINK("http://www.worldcat.org/oclc/14098757","WorldCat Record")</f>
        <v/>
      </c>
      <c r="AU566" t="inlineStr">
        <is>
          <t>8073838:eng</t>
        </is>
      </c>
      <c r="AV566" t="inlineStr">
        <is>
          <t>14098757</t>
        </is>
      </c>
      <c r="AW566" t="inlineStr">
        <is>
          <t>991000906599702656</t>
        </is>
      </c>
      <c r="AX566" t="inlineStr">
        <is>
          <t>991000906599702656</t>
        </is>
      </c>
      <c r="AY566" t="inlineStr">
        <is>
          <t>2264590380002656</t>
        </is>
      </c>
      <c r="AZ566" t="inlineStr">
        <is>
          <t>BOOK</t>
        </is>
      </c>
      <c r="BB566" t="inlineStr">
        <is>
          <t>9780879753597</t>
        </is>
      </c>
      <c r="BC566" t="inlineStr">
        <is>
          <t>32285000315266</t>
        </is>
      </c>
      <c r="BD566" t="inlineStr">
        <is>
          <t>893772093</t>
        </is>
      </c>
    </row>
    <row r="567">
      <c r="A567" t="inlineStr">
        <is>
          <t>No</t>
        </is>
      </c>
      <c r="B567" t="inlineStr">
        <is>
          <t>GN283 .O96</t>
        </is>
      </c>
      <c r="C567" t="inlineStr">
        <is>
          <t>0                      GN 0283000O  96</t>
        </is>
      </c>
      <c r="D567" t="inlineStr">
        <is>
          <t>Uniqueness and diversity in human evolution : morphometric studies of australopithecines / Charles E. Oxnard.</t>
        </is>
      </c>
      <c r="F567" t="inlineStr">
        <is>
          <t>No</t>
        </is>
      </c>
      <c r="G567" t="inlineStr">
        <is>
          <t>1</t>
        </is>
      </c>
      <c r="H567" t="inlineStr">
        <is>
          <t>No</t>
        </is>
      </c>
      <c r="I567" t="inlineStr">
        <is>
          <t>No</t>
        </is>
      </c>
      <c r="J567" t="inlineStr">
        <is>
          <t>0</t>
        </is>
      </c>
      <c r="K567" t="inlineStr">
        <is>
          <t>Oxnard, Charles E., 1933-</t>
        </is>
      </c>
      <c r="L567" t="inlineStr">
        <is>
          <t>Chicago : University of Chicago Press, 1975.</t>
        </is>
      </c>
      <c r="M567" t="inlineStr">
        <is>
          <t>1975</t>
        </is>
      </c>
      <c r="O567" t="inlineStr">
        <is>
          <t>eng</t>
        </is>
      </c>
      <c r="P567" t="inlineStr">
        <is>
          <t>ilu</t>
        </is>
      </c>
      <c r="R567" t="inlineStr">
        <is>
          <t xml:space="preserve">GN </t>
        </is>
      </c>
      <c r="S567" t="n">
        <v>8</v>
      </c>
      <c r="T567" t="n">
        <v>8</v>
      </c>
      <c r="U567" t="inlineStr">
        <is>
          <t>1996-03-22</t>
        </is>
      </c>
      <c r="V567" t="inlineStr">
        <is>
          <t>1996-03-22</t>
        </is>
      </c>
      <c r="W567" t="inlineStr">
        <is>
          <t>1992-12-11</t>
        </is>
      </c>
      <c r="X567" t="inlineStr">
        <is>
          <t>1992-12-11</t>
        </is>
      </c>
      <c r="Y567" t="n">
        <v>384</v>
      </c>
      <c r="Z567" t="n">
        <v>298</v>
      </c>
      <c r="AA567" t="n">
        <v>303</v>
      </c>
      <c r="AB567" t="n">
        <v>3</v>
      </c>
      <c r="AC567" t="n">
        <v>3</v>
      </c>
      <c r="AD567" t="n">
        <v>12</v>
      </c>
      <c r="AE567" t="n">
        <v>12</v>
      </c>
      <c r="AF567" t="n">
        <v>4</v>
      </c>
      <c r="AG567" t="n">
        <v>4</v>
      </c>
      <c r="AH567" t="n">
        <v>2</v>
      </c>
      <c r="AI567" t="n">
        <v>2</v>
      </c>
      <c r="AJ567" t="n">
        <v>5</v>
      </c>
      <c r="AK567" t="n">
        <v>5</v>
      </c>
      <c r="AL567" t="n">
        <v>2</v>
      </c>
      <c r="AM567" t="n">
        <v>2</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HYPERLINK("https://creighton-primo.hosted.exlibrisgroup.com/primo-explore/search?tab=default_tab&amp;search_scope=EVERYTHING&amp;vid=01CRU&amp;lang=en_US&amp;offset=0&amp;query=any,contains,991003537629702656","Catalog Record")</f>
        <v/>
      </c>
      <c r="AT567">
        <f>HYPERLINK("http://www.worldcat.org/oclc/1103016","WorldCat Record")</f>
        <v/>
      </c>
      <c r="AU567" t="inlineStr">
        <is>
          <t>1968271:eng</t>
        </is>
      </c>
      <c r="AV567" t="inlineStr">
        <is>
          <t>1103016</t>
        </is>
      </c>
      <c r="AW567" t="inlineStr">
        <is>
          <t>991003537629702656</t>
        </is>
      </c>
      <c r="AX567" t="inlineStr">
        <is>
          <t>991003537629702656</t>
        </is>
      </c>
      <c r="AY567" t="inlineStr">
        <is>
          <t>2267361360002656</t>
        </is>
      </c>
      <c r="AZ567" t="inlineStr">
        <is>
          <t>BOOK</t>
        </is>
      </c>
      <c r="BB567" t="inlineStr">
        <is>
          <t>9780226642536</t>
        </is>
      </c>
      <c r="BC567" t="inlineStr">
        <is>
          <t>32285001440931</t>
        </is>
      </c>
      <c r="BD567" t="inlineStr">
        <is>
          <t>893592608</t>
        </is>
      </c>
    </row>
    <row r="568">
      <c r="A568" t="inlineStr">
        <is>
          <t>No</t>
        </is>
      </c>
      <c r="B568" t="inlineStr">
        <is>
          <t>GN284.6 .S55 2001</t>
        </is>
      </c>
      <c r="C568" t="inlineStr">
        <is>
          <t>0                      GN 0284600S  55          2001</t>
        </is>
      </c>
      <c r="D568" t="inlineStr">
        <is>
          <t>The man who found the missing link : Eugène Dubois and his lifelong quest to prove Darwin right / Pat Shipman.</t>
        </is>
      </c>
      <c r="F568" t="inlineStr">
        <is>
          <t>No</t>
        </is>
      </c>
      <c r="G568" t="inlineStr">
        <is>
          <t>1</t>
        </is>
      </c>
      <c r="H568" t="inlineStr">
        <is>
          <t>No</t>
        </is>
      </c>
      <c r="I568" t="inlineStr">
        <is>
          <t>No</t>
        </is>
      </c>
      <c r="J568" t="inlineStr">
        <is>
          <t>0</t>
        </is>
      </c>
      <c r="K568" t="inlineStr">
        <is>
          <t>Shipman, Pat, 1949-</t>
        </is>
      </c>
      <c r="L568" t="inlineStr">
        <is>
          <t>New York : Simon &amp; Schuster, c2001.</t>
        </is>
      </c>
      <c r="M568" t="inlineStr">
        <is>
          <t>2001</t>
        </is>
      </c>
      <c r="O568" t="inlineStr">
        <is>
          <t>eng</t>
        </is>
      </c>
      <c r="P568" t="inlineStr">
        <is>
          <t>nyu</t>
        </is>
      </c>
      <c r="R568" t="inlineStr">
        <is>
          <t xml:space="preserve">GN </t>
        </is>
      </c>
      <c r="S568" t="n">
        <v>2</v>
      </c>
      <c r="T568" t="n">
        <v>2</v>
      </c>
      <c r="U568" t="inlineStr">
        <is>
          <t>2001-10-31</t>
        </is>
      </c>
      <c r="V568" t="inlineStr">
        <is>
          <t>2001-10-31</t>
        </is>
      </c>
      <c r="W568" t="inlineStr">
        <is>
          <t>2001-10-22</t>
        </is>
      </c>
      <c r="X568" t="inlineStr">
        <is>
          <t>2001-10-22</t>
        </is>
      </c>
      <c r="Y568" t="n">
        <v>976</v>
      </c>
      <c r="Z568" t="n">
        <v>902</v>
      </c>
      <c r="AA568" t="n">
        <v>942</v>
      </c>
      <c r="AB568" t="n">
        <v>8</v>
      </c>
      <c r="AC568" t="n">
        <v>8</v>
      </c>
      <c r="AD568" t="n">
        <v>27</v>
      </c>
      <c r="AE568" t="n">
        <v>28</v>
      </c>
      <c r="AF568" t="n">
        <v>9</v>
      </c>
      <c r="AG568" t="n">
        <v>10</v>
      </c>
      <c r="AH568" t="n">
        <v>8</v>
      </c>
      <c r="AI568" t="n">
        <v>8</v>
      </c>
      <c r="AJ568" t="n">
        <v>10</v>
      </c>
      <c r="AK568" t="n">
        <v>10</v>
      </c>
      <c r="AL568" t="n">
        <v>6</v>
      </c>
      <c r="AM568" t="n">
        <v>6</v>
      </c>
      <c r="AN568" t="n">
        <v>0</v>
      </c>
      <c r="AO568" t="n">
        <v>0</v>
      </c>
      <c r="AP568" t="inlineStr">
        <is>
          <t>No</t>
        </is>
      </c>
      <c r="AQ568" t="inlineStr">
        <is>
          <t>Yes</t>
        </is>
      </c>
      <c r="AR568">
        <f>HYPERLINK("http://catalog.hathitrust.org/Record/004140866","HathiTrust Record")</f>
        <v/>
      </c>
      <c r="AS568">
        <f>HYPERLINK("https://creighton-primo.hosted.exlibrisgroup.com/primo-explore/search?tab=default_tab&amp;search_scope=EVERYTHING&amp;vid=01CRU&amp;lang=en_US&amp;offset=0&amp;query=any,contains,991003641399702656","Catalog Record")</f>
        <v/>
      </c>
      <c r="AT568">
        <f>HYPERLINK("http://www.worldcat.org/oclc/44391624","WorldCat Record")</f>
        <v/>
      </c>
      <c r="AU568" t="inlineStr">
        <is>
          <t>2676898:eng</t>
        </is>
      </c>
      <c r="AV568" t="inlineStr">
        <is>
          <t>44391624</t>
        </is>
      </c>
      <c r="AW568" t="inlineStr">
        <is>
          <t>991003641399702656</t>
        </is>
      </c>
      <c r="AX568" t="inlineStr">
        <is>
          <t>991003641399702656</t>
        </is>
      </c>
      <c r="AY568" t="inlineStr">
        <is>
          <t>2264087880002656</t>
        </is>
      </c>
      <c r="AZ568" t="inlineStr">
        <is>
          <t>BOOK</t>
        </is>
      </c>
      <c r="BB568" t="inlineStr">
        <is>
          <t>9780684855813</t>
        </is>
      </c>
      <c r="BC568" t="inlineStr">
        <is>
          <t>32285004398961</t>
        </is>
      </c>
      <c r="BD568" t="inlineStr">
        <is>
          <t>893874993</t>
        </is>
      </c>
    </row>
    <row r="569">
      <c r="A569" t="inlineStr">
        <is>
          <t>No</t>
        </is>
      </c>
      <c r="B569" t="inlineStr">
        <is>
          <t>GN284.6 .T48 1989</t>
        </is>
      </c>
      <c r="C569" t="inlineStr">
        <is>
          <t>0                      GN 0284600T  48          1989</t>
        </is>
      </c>
      <c r="D569" t="inlineStr">
        <is>
          <t>Eugène Dubois and the ape-man from Java : the history of the first missing link and its discoverer / Bert Theunissen.</t>
        </is>
      </c>
      <c r="F569" t="inlineStr">
        <is>
          <t>No</t>
        </is>
      </c>
      <c r="G569" t="inlineStr">
        <is>
          <t>1</t>
        </is>
      </c>
      <c r="H569" t="inlineStr">
        <is>
          <t>No</t>
        </is>
      </c>
      <c r="I569" t="inlineStr">
        <is>
          <t>No</t>
        </is>
      </c>
      <c r="J569" t="inlineStr">
        <is>
          <t>0</t>
        </is>
      </c>
      <c r="K569" t="inlineStr">
        <is>
          <t>Theunissen, Bert, 1955-</t>
        </is>
      </c>
      <c r="L569" t="inlineStr">
        <is>
          <t>Dordrecht ; Boston : Kluwer Academic Publishers, c1989.</t>
        </is>
      </c>
      <c r="M569" t="inlineStr">
        <is>
          <t>1989</t>
        </is>
      </c>
      <c r="O569" t="inlineStr">
        <is>
          <t>eng</t>
        </is>
      </c>
      <c r="P569" t="inlineStr">
        <is>
          <t xml:space="preserve">ne </t>
        </is>
      </c>
      <c r="R569" t="inlineStr">
        <is>
          <t xml:space="preserve">GN </t>
        </is>
      </c>
      <c r="S569" t="n">
        <v>8</v>
      </c>
      <c r="T569" t="n">
        <v>8</v>
      </c>
      <c r="U569" t="inlineStr">
        <is>
          <t>1996-03-20</t>
        </is>
      </c>
      <c r="V569" t="inlineStr">
        <is>
          <t>1996-03-20</t>
        </is>
      </c>
      <c r="W569" t="inlineStr">
        <is>
          <t>1989-10-23</t>
        </is>
      </c>
      <c r="X569" t="inlineStr">
        <is>
          <t>1989-10-23</t>
        </is>
      </c>
      <c r="Y569" t="n">
        <v>226</v>
      </c>
      <c r="Z569" t="n">
        <v>157</v>
      </c>
      <c r="AA569" t="n">
        <v>166</v>
      </c>
      <c r="AB569" t="n">
        <v>2</v>
      </c>
      <c r="AC569" t="n">
        <v>2</v>
      </c>
      <c r="AD569" t="n">
        <v>3</v>
      </c>
      <c r="AE569" t="n">
        <v>4</v>
      </c>
      <c r="AF569" t="n">
        <v>0</v>
      </c>
      <c r="AG569" t="n">
        <v>1</v>
      </c>
      <c r="AH569" t="n">
        <v>0</v>
      </c>
      <c r="AI569" t="n">
        <v>0</v>
      </c>
      <c r="AJ569" t="n">
        <v>2</v>
      </c>
      <c r="AK569" t="n">
        <v>3</v>
      </c>
      <c r="AL569" t="n">
        <v>1</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HYPERLINK("https://creighton-primo.hosted.exlibrisgroup.com/primo-explore/search?tab=default_tab&amp;search_scope=EVERYTHING&amp;vid=01CRU&amp;lang=en_US&amp;offset=0&amp;query=any,contains,991001310859702656","Catalog Record")</f>
        <v/>
      </c>
      <c r="AT569">
        <f>HYPERLINK("http://www.worldcat.org/oclc/18136728","WorldCat Record")</f>
        <v/>
      </c>
      <c r="AU569" t="inlineStr">
        <is>
          <t>1151240488:eng</t>
        </is>
      </c>
      <c r="AV569" t="inlineStr">
        <is>
          <t>18136728</t>
        </is>
      </c>
      <c r="AW569" t="inlineStr">
        <is>
          <t>991001310859702656</t>
        </is>
      </c>
      <c r="AX569" t="inlineStr">
        <is>
          <t>991001310859702656</t>
        </is>
      </c>
      <c r="AY569" t="inlineStr">
        <is>
          <t>2268021600002656</t>
        </is>
      </c>
      <c r="AZ569" t="inlineStr">
        <is>
          <t>BOOK</t>
        </is>
      </c>
      <c r="BB569" t="inlineStr">
        <is>
          <t>9781556080821</t>
        </is>
      </c>
      <c r="BC569" t="inlineStr">
        <is>
          <t>32285000003649</t>
        </is>
      </c>
      <c r="BD569" t="inlineStr">
        <is>
          <t>893791366</t>
        </is>
      </c>
    </row>
    <row r="570">
      <c r="A570" t="inlineStr">
        <is>
          <t>No</t>
        </is>
      </c>
      <c r="B570" t="inlineStr">
        <is>
          <t>GN284.7 .S48 1975</t>
        </is>
      </c>
      <c r="C570" t="inlineStr">
        <is>
          <t>0                      GN 0284700S  48          1975</t>
        </is>
      </c>
      <c r="D570" t="inlineStr">
        <is>
          <t>Peking man / Harry L. Shapiro.</t>
        </is>
      </c>
      <c r="F570" t="inlineStr">
        <is>
          <t>No</t>
        </is>
      </c>
      <c r="G570" t="inlineStr">
        <is>
          <t>1</t>
        </is>
      </c>
      <c r="H570" t="inlineStr">
        <is>
          <t>No</t>
        </is>
      </c>
      <c r="I570" t="inlineStr">
        <is>
          <t>No</t>
        </is>
      </c>
      <c r="J570" t="inlineStr">
        <is>
          <t>0</t>
        </is>
      </c>
      <c r="K570" t="inlineStr">
        <is>
          <t>Shapiro, Harry L. (Harry Lionel), 1902-1990.</t>
        </is>
      </c>
      <c r="L570" t="inlineStr">
        <is>
          <t>New York : Simon and Schuster, [1975] c1974.</t>
        </is>
      </c>
      <c r="M570" t="inlineStr">
        <is>
          <t>1975</t>
        </is>
      </c>
      <c r="O570" t="inlineStr">
        <is>
          <t>eng</t>
        </is>
      </c>
      <c r="P570" t="inlineStr">
        <is>
          <t>nyu</t>
        </is>
      </c>
      <c r="R570" t="inlineStr">
        <is>
          <t xml:space="preserve">GN </t>
        </is>
      </c>
      <c r="S570" t="n">
        <v>5</v>
      </c>
      <c r="T570" t="n">
        <v>5</v>
      </c>
      <c r="U570" t="inlineStr">
        <is>
          <t>1998-02-23</t>
        </is>
      </c>
      <c r="V570" t="inlineStr">
        <is>
          <t>1998-02-23</t>
        </is>
      </c>
      <c r="W570" t="inlineStr">
        <is>
          <t>1994-03-08</t>
        </is>
      </c>
      <c r="X570" t="inlineStr">
        <is>
          <t>1994-03-08</t>
        </is>
      </c>
      <c r="Y570" t="n">
        <v>1010</v>
      </c>
      <c r="Z570" t="n">
        <v>939</v>
      </c>
      <c r="AA570" t="n">
        <v>983</v>
      </c>
      <c r="AB570" t="n">
        <v>7</v>
      </c>
      <c r="AC570" t="n">
        <v>7</v>
      </c>
      <c r="AD570" t="n">
        <v>18</v>
      </c>
      <c r="AE570" t="n">
        <v>20</v>
      </c>
      <c r="AF570" t="n">
        <v>6</v>
      </c>
      <c r="AG570" t="n">
        <v>8</v>
      </c>
      <c r="AH570" t="n">
        <v>4</v>
      </c>
      <c r="AI570" t="n">
        <v>5</v>
      </c>
      <c r="AJ570" t="n">
        <v>11</v>
      </c>
      <c r="AK570" t="n">
        <v>11</v>
      </c>
      <c r="AL570" t="n">
        <v>2</v>
      </c>
      <c r="AM570" t="n">
        <v>2</v>
      </c>
      <c r="AN570" t="n">
        <v>1</v>
      </c>
      <c r="AO570" t="n">
        <v>1</v>
      </c>
      <c r="AP570" t="inlineStr">
        <is>
          <t>No</t>
        </is>
      </c>
      <c r="AQ570" t="inlineStr">
        <is>
          <t>Yes</t>
        </is>
      </c>
      <c r="AR570">
        <f>HYPERLINK("http://catalog.hathitrust.org/Record/001879057","HathiTrust Record")</f>
        <v/>
      </c>
      <c r="AS570">
        <f>HYPERLINK("https://creighton-primo.hosted.exlibrisgroup.com/primo-explore/search?tab=default_tab&amp;search_scope=EVERYTHING&amp;vid=01CRU&amp;lang=en_US&amp;offset=0&amp;query=any,contains,991003502349702656","Catalog Record")</f>
        <v/>
      </c>
      <c r="AT570">
        <f>HYPERLINK("http://www.worldcat.org/oclc/1054342","WorldCat Record")</f>
        <v/>
      </c>
      <c r="AU570" t="inlineStr">
        <is>
          <t>69914230:eng</t>
        </is>
      </c>
      <c r="AV570" t="inlineStr">
        <is>
          <t>1054342</t>
        </is>
      </c>
      <c r="AW570" t="inlineStr">
        <is>
          <t>991003502349702656</t>
        </is>
      </c>
      <c r="AX570" t="inlineStr">
        <is>
          <t>991003502349702656</t>
        </is>
      </c>
      <c r="AY570" t="inlineStr">
        <is>
          <t>2269232530002656</t>
        </is>
      </c>
      <c r="AZ570" t="inlineStr">
        <is>
          <t>BOOK</t>
        </is>
      </c>
      <c r="BB570" t="inlineStr">
        <is>
          <t>9780671218997</t>
        </is>
      </c>
      <c r="BC570" t="inlineStr">
        <is>
          <t>32285001852689</t>
        </is>
      </c>
      <c r="BD570" t="inlineStr">
        <is>
          <t>893505647</t>
        </is>
      </c>
    </row>
    <row r="571">
      <c r="A571" t="inlineStr">
        <is>
          <t>No</t>
        </is>
      </c>
      <c r="B571" t="inlineStr">
        <is>
          <t>GN289 .C87</t>
        </is>
      </c>
      <c r="C571" t="inlineStr">
        <is>
          <t>0                      GN 0289000C  87</t>
        </is>
      </c>
      <c r="D571" t="inlineStr">
        <is>
          <t>Current developments in anthropological genetics / edited by James H. Mielke and Michael H. Crawford.</t>
        </is>
      </c>
      <c r="E571" t="inlineStr">
        <is>
          <t>V. 2</t>
        </is>
      </c>
      <c r="F571" t="inlineStr">
        <is>
          <t>Yes</t>
        </is>
      </c>
      <c r="G571" t="inlineStr">
        <is>
          <t>1</t>
        </is>
      </c>
      <c r="H571" t="inlineStr">
        <is>
          <t>No</t>
        </is>
      </c>
      <c r="I571" t="inlineStr">
        <is>
          <t>No</t>
        </is>
      </c>
      <c r="J571" t="inlineStr">
        <is>
          <t>0</t>
        </is>
      </c>
      <c r="L571" t="inlineStr">
        <is>
          <t>New York : Plenum Press, c1980-1982.</t>
        </is>
      </c>
      <c r="M571" t="inlineStr">
        <is>
          <t>1980</t>
        </is>
      </c>
      <c r="O571" t="inlineStr">
        <is>
          <t>eng</t>
        </is>
      </c>
      <c r="P571" t="inlineStr">
        <is>
          <t>nyu</t>
        </is>
      </c>
      <c r="R571" t="inlineStr">
        <is>
          <t xml:space="preserve">GN </t>
        </is>
      </c>
      <c r="S571" t="n">
        <v>3</v>
      </c>
      <c r="T571" t="n">
        <v>9</v>
      </c>
      <c r="V571" t="inlineStr">
        <is>
          <t>1997-02-08</t>
        </is>
      </c>
      <c r="W571" t="inlineStr">
        <is>
          <t>1990-09-20</t>
        </is>
      </c>
      <c r="X571" t="inlineStr">
        <is>
          <t>1990-09-20</t>
        </is>
      </c>
      <c r="Y571" t="n">
        <v>250</v>
      </c>
      <c r="Z571" t="n">
        <v>240</v>
      </c>
      <c r="AA571" t="n">
        <v>243</v>
      </c>
      <c r="AB571" t="n">
        <v>2</v>
      </c>
      <c r="AC571" t="n">
        <v>2</v>
      </c>
      <c r="AD571" t="n">
        <v>5</v>
      </c>
      <c r="AE571" t="n">
        <v>5</v>
      </c>
      <c r="AF571" t="n">
        <v>2</v>
      </c>
      <c r="AG571" t="n">
        <v>2</v>
      </c>
      <c r="AH571" t="n">
        <v>0</v>
      </c>
      <c r="AI571" t="n">
        <v>0</v>
      </c>
      <c r="AJ571" t="n">
        <v>4</v>
      </c>
      <c r="AK571" t="n">
        <v>4</v>
      </c>
      <c r="AL571" t="n">
        <v>1</v>
      </c>
      <c r="AM571" t="n">
        <v>1</v>
      </c>
      <c r="AN571" t="n">
        <v>0</v>
      </c>
      <c r="AO571" t="n">
        <v>0</v>
      </c>
      <c r="AP571" t="inlineStr">
        <is>
          <t>No</t>
        </is>
      </c>
      <c r="AQ571" t="inlineStr">
        <is>
          <t>Yes</t>
        </is>
      </c>
      <c r="AR571">
        <f>HYPERLINK("http://catalog.hathitrust.org/Record/007571907","HathiTrust Record")</f>
        <v/>
      </c>
      <c r="AS571">
        <f>HYPERLINK("https://creighton-primo.hosted.exlibrisgroup.com/primo-explore/search?tab=default_tab&amp;search_scope=EVERYTHING&amp;vid=01CRU&amp;lang=en_US&amp;offset=0&amp;query=any,contains,991004869659702656","Catalog Record")</f>
        <v/>
      </c>
      <c r="AT571">
        <f>HYPERLINK("http://www.worldcat.org/oclc/6820155","WorldCat Record")</f>
        <v/>
      </c>
      <c r="AU571" t="inlineStr">
        <is>
          <t>54404360:eng</t>
        </is>
      </c>
      <c r="AV571" t="inlineStr">
        <is>
          <t>6820155</t>
        </is>
      </c>
      <c r="AW571" t="inlineStr">
        <is>
          <t>991004869659702656</t>
        </is>
      </c>
      <c r="AX571" t="inlineStr">
        <is>
          <t>991004869659702656</t>
        </is>
      </c>
      <c r="AY571" t="inlineStr">
        <is>
          <t>2270879450002656</t>
        </is>
      </c>
      <c r="AZ571" t="inlineStr">
        <is>
          <t>BOOK</t>
        </is>
      </c>
      <c r="BB571" t="inlineStr">
        <is>
          <t>9780306403903</t>
        </is>
      </c>
      <c r="BC571" t="inlineStr">
        <is>
          <t>32285000315282</t>
        </is>
      </c>
      <c r="BD571" t="inlineStr">
        <is>
          <t>893436840</t>
        </is>
      </c>
    </row>
    <row r="572">
      <c r="A572" t="inlineStr">
        <is>
          <t>No</t>
        </is>
      </c>
      <c r="B572" t="inlineStr">
        <is>
          <t>GN289 .C87</t>
        </is>
      </c>
      <c r="C572" t="inlineStr">
        <is>
          <t>0                      GN 0289000C  87</t>
        </is>
      </c>
      <c r="D572" t="inlineStr">
        <is>
          <t>Current developments in anthropological genetics / edited by James H. Mielke and Michael H. Crawford.</t>
        </is>
      </c>
      <c r="E572" t="inlineStr">
        <is>
          <t>V. 1</t>
        </is>
      </c>
      <c r="F572" t="inlineStr">
        <is>
          <t>Yes</t>
        </is>
      </c>
      <c r="G572" t="inlineStr">
        <is>
          <t>1</t>
        </is>
      </c>
      <c r="H572" t="inlineStr">
        <is>
          <t>No</t>
        </is>
      </c>
      <c r="I572" t="inlineStr">
        <is>
          <t>No</t>
        </is>
      </c>
      <c r="J572" t="inlineStr">
        <is>
          <t>0</t>
        </is>
      </c>
      <c r="L572" t="inlineStr">
        <is>
          <t>New York : Plenum Press, c1980-1982.</t>
        </is>
      </c>
      <c r="M572" t="inlineStr">
        <is>
          <t>1980</t>
        </is>
      </c>
      <c r="O572" t="inlineStr">
        <is>
          <t>eng</t>
        </is>
      </c>
      <c r="P572" t="inlineStr">
        <is>
          <t>nyu</t>
        </is>
      </c>
      <c r="R572" t="inlineStr">
        <is>
          <t xml:space="preserve">GN </t>
        </is>
      </c>
      <c r="S572" t="n">
        <v>2</v>
      </c>
      <c r="T572" t="n">
        <v>9</v>
      </c>
      <c r="U572" t="inlineStr">
        <is>
          <t>1997-02-08</t>
        </is>
      </c>
      <c r="V572" t="inlineStr">
        <is>
          <t>1997-02-08</t>
        </is>
      </c>
      <c r="W572" t="inlineStr">
        <is>
          <t>1990-09-20</t>
        </is>
      </c>
      <c r="X572" t="inlineStr">
        <is>
          <t>1990-09-20</t>
        </is>
      </c>
      <c r="Y572" t="n">
        <v>250</v>
      </c>
      <c r="Z572" t="n">
        <v>240</v>
      </c>
      <c r="AA572" t="n">
        <v>243</v>
      </c>
      <c r="AB572" t="n">
        <v>2</v>
      </c>
      <c r="AC572" t="n">
        <v>2</v>
      </c>
      <c r="AD572" t="n">
        <v>5</v>
      </c>
      <c r="AE572" t="n">
        <v>5</v>
      </c>
      <c r="AF572" t="n">
        <v>2</v>
      </c>
      <c r="AG572" t="n">
        <v>2</v>
      </c>
      <c r="AH572" t="n">
        <v>0</v>
      </c>
      <c r="AI572" t="n">
        <v>0</v>
      </c>
      <c r="AJ572" t="n">
        <v>4</v>
      </c>
      <c r="AK572" t="n">
        <v>4</v>
      </c>
      <c r="AL572" t="n">
        <v>1</v>
      </c>
      <c r="AM572" t="n">
        <v>1</v>
      </c>
      <c r="AN572" t="n">
        <v>0</v>
      </c>
      <c r="AO572" t="n">
        <v>0</v>
      </c>
      <c r="AP572" t="inlineStr">
        <is>
          <t>No</t>
        </is>
      </c>
      <c r="AQ572" t="inlineStr">
        <is>
          <t>Yes</t>
        </is>
      </c>
      <c r="AR572">
        <f>HYPERLINK("http://catalog.hathitrust.org/Record/007571907","HathiTrust Record")</f>
        <v/>
      </c>
      <c r="AS572">
        <f>HYPERLINK("https://creighton-primo.hosted.exlibrisgroup.com/primo-explore/search?tab=default_tab&amp;search_scope=EVERYTHING&amp;vid=01CRU&amp;lang=en_US&amp;offset=0&amp;query=any,contains,991004869659702656","Catalog Record")</f>
        <v/>
      </c>
      <c r="AT572">
        <f>HYPERLINK("http://www.worldcat.org/oclc/6820155","WorldCat Record")</f>
        <v/>
      </c>
      <c r="AU572" t="inlineStr">
        <is>
          <t>54404360:eng</t>
        </is>
      </c>
      <c r="AV572" t="inlineStr">
        <is>
          <t>6820155</t>
        </is>
      </c>
      <c r="AW572" t="inlineStr">
        <is>
          <t>991004869659702656</t>
        </is>
      </c>
      <c r="AX572" t="inlineStr">
        <is>
          <t>991004869659702656</t>
        </is>
      </c>
      <c r="AY572" t="inlineStr">
        <is>
          <t>2270879450002656</t>
        </is>
      </c>
      <c r="AZ572" t="inlineStr">
        <is>
          <t>BOOK</t>
        </is>
      </c>
      <c r="BB572" t="inlineStr">
        <is>
          <t>9780306403903</t>
        </is>
      </c>
      <c r="BC572" t="inlineStr">
        <is>
          <t>32285000315274</t>
        </is>
      </c>
      <c r="BD572" t="inlineStr">
        <is>
          <t>893436841</t>
        </is>
      </c>
    </row>
    <row r="573">
      <c r="A573" t="inlineStr">
        <is>
          <t>No</t>
        </is>
      </c>
      <c r="B573" t="inlineStr">
        <is>
          <t>GN289 .C87</t>
        </is>
      </c>
      <c r="C573" t="inlineStr">
        <is>
          <t>0                      GN 0289000C  87</t>
        </is>
      </c>
      <c r="D573" t="inlineStr">
        <is>
          <t>Current developments in anthropological genetics / edited by James H. Mielke and Michael H. Crawford.</t>
        </is>
      </c>
      <c r="E573" t="inlineStr">
        <is>
          <t>V. 3</t>
        </is>
      </c>
      <c r="F573" t="inlineStr">
        <is>
          <t>Yes</t>
        </is>
      </c>
      <c r="G573" t="inlineStr">
        <is>
          <t>1</t>
        </is>
      </c>
      <c r="H573" t="inlineStr">
        <is>
          <t>No</t>
        </is>
      </c>
      <c r="I573" t="inlineStr">
        <is>
          <t>No</t>
        </is>
      </c>
      <c r="J573" t="inlineStr">
        <is>
          <t>0</t>
        </is>
      </c>
      <c r="L573" t="inlineStr">
        <is>
          <t>New York : Plenum Press, c1980-1982.</t>
        </is>
      </c>
      <c r="M573" t="inlineStr">
        <is>
          <t>1980</t>
        </is>
      </c>
      <c r="O573" t="inlineStr">
        <is>
          <t>eng</t>
        </is>
      </c>
      <c r="P573" t="inlineStr">
        <is>
          <t>nyu</t>
        </is>
      </c>
      <c r="R573" t="inlineStr">
        <is>
          <t xml:space="preserve">GN </t>
        </is>
      </c>
      <c r="S573" t="n">
        <v>4</v>
      </c>
      <c r="T573" t="n">
        <v>9</v>
      </c>
      <c r="V573" t="inlineStr">
        <is>
          <t>1997-02-08</t>
        </is>
      </c>
      <c r="W573" t="inlineStr">
        <is>
          <t>1990-09-20</t>
        </is>
      </c>
      <c r="X573" t="inlineStr">
        <is>
          <t>1990-09-20</t>
        </is>
      </c>
      <c r="Y573" t="n">
        <v>250</v>
      </c>
      <c r="Z573" t="n">
        <v>240</v>
      </c>
      <c r="AA573" t="n">
        <v>243</v>
      </c>
      <c r="AB573" t="n">
        <v>2</v>
      </c>
      <c r="AC573" t="n">
        <v>2</v>
      </c>
      <c r="AD573" t="n">
        <v>5</v>
      </c>
      <c r="AE573" t="n">
        <v>5</v>
      </c>
      <c r="AF573" t="n">
        <v>2</v>
      </c>
      <c r="AG573" t="n">
        <v>2</v>
      </c>
      <c r="AH573" t="n">
        <v>0</v>
      </c>
      <c r="AI573" t="n">
        <v>0</v>
      </c>
      <c r="AJ573" t="n">
        <v>4</v>
      </c>
      <c r="AK573" t="n">
        <v>4</v>
      </c>
      <c r="AL573" t="n">
        <v>1</v>
      </c>
      <c r="AM573" t="n">
        <v>1</v>
      </c>
      <c r="AN573" t="n">
        <v>0</v>
      </c>
      <c r="AO573" t="n">
        <v>0</v>
      </c>
      <c r="AP573" t="inlineStr">
        <is>
          <t>No</t>
        </is>
      </c>
      <c r="AQ573" t="inlineStr">
        <is>
          <t>Yes</t>
        </is>
      </c>
      <c r="AR573">
        <f>HYPERLINK("http://catalog.hathitrust.org/Record/007571907","HathiTrust Record")</f>
        <v/>
      </c>
      <c r="AS573">
        <f>HYPERLINK("https://creighton-primo.hosted.exlibrisgroup.com/primo-explore/search?tab=default_tab&amp;search_scope=EVERYTHING&amp;vid=01CRU&amp;lang=en_US&amp;offset=0&amp;query=any,contains,991004869659702656","Catalog Record")</f>
        <v/>
      </c>
      <c r="AT573">
        <f>HYPERLINK("http://www.worldcat.org/oclc/6820155","WorldCat Record")</f>
        <v/>
      </c>
      <c r="AU573" t="inlineStr">
        <is>
          <t>54404360:eng</t>
        </is>
      </c>
      <c r="AV573" t="inlineStr">
        <is>
          <t>6820155</t>
        </is>
      </c>
      <c r="AW573" t="inlineStr">
        <is>
          <t>991004869659702656</t>
        </is>
      </c>
      <c r="AX573" t="inlineStr">
        <is>
          <t>991004869659702656</t>
        </is>
      </c>
      <c r="AY573" t="inlineStr">
        <is>
          <t>2270879450002656</t>
        </is>
      </c>
      <c r="AZ573" t="inlineStr">
        <is>
          <t>BOOK</t>
        </is>
      </c>
      <c r="BB573" t="inlineStr">
        <is>
          <t>9780306403903</t>
        </is>
      </c>
      <c r="BC573" t="inlineStr">
        <is>
          <t>32285000315290</t>
        </is>
      </c>
      <c r="BD573" t="inlineStr">
        <is>
          <t>893446434</t>
        </is>
      </c>
    </row>
    <row r="574">
      <c r="A574" t="inlineStr">
        <is>
          <t>No</t>
        </is>
      </c>
      <c r="B574" t="inlineStr">
        <is>
          <t>GN289 .D45</t>
        </is>
      </c>
      <c r="C574" t="inlineStr">
        <is>
          <t>0                      GN 0289000D  45</t>
        </is>
      </c>
      <c r="D574" t="inlineStr">
        <is>
          <t>Demographic genetics / edited by Kenneth M. Weiss and Paul A. Ballonoff.</t>
        </is>
      </c>
      <c r="F574" t="inlineStr">
        <is>
          <t>No</t>
        </is>
      </c>
      <c r="G574" t="inlineStr">
        <is>
          <t>1</t>
        </is>
      </c>
      <c r="H574" t="inlineStr">
        <is>
          <t>No</t>
        </is>
      </c>
      <c r="I574" t="inlineStr">
        <is>
          <t>No</t>
        </is>
      </c>
      <c r="J574" t="inlineStr">
        <is>
          <t>0</t>
        </is>
      </c>
      <c r="L574" t="inlineStr">
        <is>
          <t>Stroudsburg, Pa. : Dowden, Hutchinson &amp; Ross ; [New York] : distributed by Halsted Press, c1975.</t>
        </is>
      </c>
      <c r="M574" t="inlineStr">
        <is>
          <t>1975</t>
        </is>
      </c>
      <c r="O574" t="inlineStr">
        <is>
          <t>eng</t>
        </is>
      </c>
      <c r="P574" t="inlineStr">
        <is>
          <t>pau</t>
        </is>
      </c>
      <c r="Q574" t="inlineStr">
        <is>
          <t>Benchmark papers in genetics ; v. 3</t>
        </is>
      </c>
      <c r="R574" t="inlineStr">
        <is>
          <t xml:space="preserve">GN </t>
        </is>
      </c>
      <c r="S574" t="n">
        <v>1</v>
      </c>
      <c r="T574" t="n">
        <v>1</v>
      </c>
      <c r="U574" t="inlineStr">
        <is>
          <t>2003-10-27</t>
        </is>
      </c>
      <c r="V574" t="inlineStr">
        <is>
          <t>2003-10-27</t>
        </is>
      </c>
      <c r="W574" t="inlineStr">
        <is>
          <t>1990-09-20</t>
        </is>
      </c>
      <c r="X574" t="inlineStr">
        <is>
          <t>1990-09-20</t>
        </is>
      </c>
      <c r="Y574" t="n">
        <v>306</v>
      </c>
      <c r="Z574" t="n">
        <v>237</v>
      </c>
      <c r="AA574" t="n">
        <v>244</v>
      </c>
      <c r="AB574" t="n">
        <v>2</v>
      </c>
      <c r="AC574" t="n">
        <v>2</v>
      </c>
      <c r="AD574" t="n">
        <v>5</v>
      </c>
      <c r="AE574" t="n">
        <v>5</v>
      </c>
      <c r="AF574" t="n">
        <v>0</v>
      </c>
      <c r="AG574" t="n">
        <v>0</v>
      </c>
      <c r="AH574" t="n">
        <v>3</v>
      </c>
      <c r="AI574" t="n">
        <v>3</v>
      </c>
      <c r="AJ574" t="n">
        <v>3</v>
      </c>
      <c r="AK574" t="n">
        <v>3</v>
      </c>
      <c r="AL574" t="n">
        <v>1</v>
      </c>
      <c r="AM574" t="n">
        <v>1</v>
      </c>
      <c r="AN574" t="n">
        <v>0</v>
      </c>
      <c r="AO574" t="n">
        <v>0</v>
      </c>
      <c r="AP574" t="inlineStr">
        <is>
          <t>No</t>
        </is>
      </c>
      <c r="AQ574" t="inlineStr">
        <is>
          <t>Yes</t>
        </is>
      </c>
      <c r="AR574">
        <f>HYPERLINK("http://catalog.hathitrust.org/Record/000025833","HathiTrust Record")</f>
        <v/>
      </c>
      <c r="AS574">
        <f>HYPERLINK("https://creighton-primo.hosted.exlibrisgroup.com/primo-explore/search?tab=default_tab&amp;search_scope=EVERYTHING&amp;vid=01CRU&amp;lang=en_US&amp;offset=0&amp;query=any,contains,991003872129702656","Catalog Record")</f>
        <v/>
      </c>
      <c r="AT574">
        <f>HYPERLINK("http://www.worldcat.org/oclc/1694150","WorldCat Record")</f>
        <v/>
      </c>
      <c r="AU574" t="inlineStr">
        <is>
          <t>10178119831:eng</t>
        </is>
      </c>
      <c r="AV574" t="inlineStr">
        <is>
          <t>1694150</t>
        </is>
      </c>
      <c r="AW574" t="inlineStr">
        <is>
          <t>991003872129702656</t>
        </is>
      </c>
      <c r="AX574" t="inlineStr">
        <is>
          <t>991003872129702656</t>
        </is>
      </c>
      <c r="AY574" t="inlineStr">
        <is>
          <t>2255285770002656</t>
        </is>
      </c>
      <c r="AZ574" t="inlineStr">
        <is>
          <t>BOOK</t>
        </is>
      </c>
      <c r="BB574" t="inlineStr">
        <is>
          <t>9780470926987</t>
        </is>
      </c>
      <c r="BC574" t="inlineStr">
        <is>
          <t>32285000315308</t>
        </is>
      </c>
      <c r="BD574" t="inlineStr">
        <is>
          <t>893617889</t>
        </is>
      </c>
    </row>
    <row r="575">
      <c r="A575" t="inlineStr">
        <is>
          <t>No</t>
        </is>
      </c>
      <c r="B575" t="inlineStr">
        <is>
          <t>GN289 .T47</t>
        </is>
      </c>
      <c r="C575" t="inlineStr">
        <is>
          <t>0                      GN 0289000T  47</t>
        </is>
      </c>
      <c r="D575" t="inlineStr">
        <is>
          <t>Human evolutionary trees / E. A. Thompson.</t>
        </is>
      </c>
      <c r="F575" t="inlineStr">
        <is>
          <t>No</t>
        </is>
      </c>
      <c r="G575" t="inlineStr">
        <is>
          <t>1</t>
        </is>
      </c>
      <c r="H575" t="inlineStr">
        <is>
          <t>No</t>
        </is>
      </c>
      <c r="I575" t="inlineStr">
        <is>
          <t>No</t>
        </is>
      </c>
      <c r="J575" t="inlineStr">
        <is>
          <t>0</t>
        </is>
      </c>
      <c r="K575" t="inlineStr">
        <is>
          <t>Thompson, E. A. (Elizabeth Alison), 1949-</t>
        </is>
      </c>
      <c r="L575" t="inlineStr">
        <is>
          <t>Cambridge [Eng.] ; New York : Cambridge University Press, 1975.</t>
        </is>
      </c>
      <c r="M575" t="inlineStr">
        <is>
          <t>1975</t>
        </is>
      </c>
      <c r="O575" t="inlineStr">
        <is>
          <t>eng</t>
        </is>
      </c>
      <c r="P575" t="inlineStr">
        <is>
          <t>enk</t>
        </is>
      </c>
      <c r="R575" t="inlineStr">
        <is>
          <t xml:space="preserve">GN </t>
        </is>
      </c>
      <c r="S575" t="n">
        <v>3</v>
      </c>
      <c r="T575" t="n">
        <v>3</v>
      </c>
      <c r="U575" t="inlineStr">
        <is>
          <t>1995-02-21</t>
        </is>
      </c>
      <c r="V575" t="inlineStr">
        <is>
          <t>1995-02-21</t>
        </is>
      </c>
      <c r="W575" t="inlineStr">
        <is>
          <t>1992-11-30</t>
        </is>
      </c>
      <c r="X575" t="inlineStr">
        <is>
          <t>1992-11-30</t>
        </is>
      </c>
      <c r="Y575" t="n">
        <v>321</v>
      </c>
      <c r="Z575" t="n">
        <v>231</v>
      </c>
      <c r="AA575" t="n">
        <v>231</v>
      </c>
      <c r="AB575" t="n">
        <v>2</v>
      </c>
      <c r="AC575" t="n">
        <v>2</v>
      </c>
      <c r="AD575" t="n">
        <v>9</v>
      </c>
      <c r="AE575" t="n">
        <v>9</v>
      </c>
      <c r="AF575" t="n">
        <v>1</v>
      </c>
      <c r="AG575" t="n">
        <v>1</v>
      </c>
      <c r="AH575" t="n">
        <v>2</v>
      </c>
      <c r="AI575" t="n">
        <v>2</v>
      </c>
      <c r="AJ575" t="n">
        <v>7</v>
      </c>
      <c r="AK575" t="n">
        <v>7</v>
      </c>
      <c r="AL575" t="n">
        <v>1</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HYPERLINK("https://creighton-primo.hosted.exlibrisgroup.com/primo-explore/search?tab=default_tab&amp;search_scope=EVERYTHING&amp;vid=01CRU&amp;lang=en_US&amp;offset=0&amp;query=any,contains,991003936299702656","Catalog Record")</f>
        <v/>
      </c>
      <c r="AT575">
        <f>HYPERLINK("http://www.worldcat.org/oclc/1914788","WorldCat Record")</f>
        <v/>
      </c>
      <c r="AU575" t="inlineStr">
        <is>
          <t>347044091:eng</t>
        </is>
      </c>
      <c r="AV575" t="inlineStr">
        <is>
          <t>1914788</t>
        </is>
      </c>
      <c r="AW575" t="inlineStr">
        <is>
          <t>991003936299702656</t>
        </is>
      </c>
      <c r="AX575" t="inlineStr">
        <is>
          <t>991003936299702656</t>
        </is>
      </c>
      <c r="AY575" t="inlineStr">
        <is>
          <t>2255689680002656</t>
        </is>
      </c>
      <c r="AZ575" t="inlineStr">
        <is>
          <t>BOOK</t>
        </is>
      </c>
      <c r="BB575" t="inlineStr">
        <is>
          <t>9780521099455</t>
        </is>
      </c>
      <c r="BC575" t="inlineStr">
        <is>
          <t>32285001410348</t>
        </is>
      </c>
      <c r="BD575" t="inlineStr">
        <is>
          <t>893234847</t>
        </is>
      </c>
    </row>
    <row r="576">
      <c r="A576" t="inlineStr">
        <is>
          <t>No</t>
        </is>
      </c>
      <c r="B576" t="inlineStr">
        <is>
          <t>GN289 .U5</t>
        </is>
      </c>
      <c r="C576" t="inlineStr">
        <is>
          <t>0                      GN 0289000U  5</t>
        </is>
      </c>
      <c r="D576" t="inlineStr">
        <is>
          <t>Human variation and human microevolution / Jane H. Underwood.</t>
        </is>
      </c>
      <c r="F576" t="inlineStr">
        <is>
          <t>No</t>
        </is>
      </c>
      <c r="G576" t="inlineStr">
        <is>
          <t>1</t>
        </is>
      </c>
      <c r="H576" t="inlineStr">
        <is>
          <t>No</t>
        </is>
      </c>
      <c r="I576" t="inlineStr">
        <is>
          <t>No</t>
        </is>
      </c>
      <c r="J576" t="inlineStr">
        <is>
          <t>0</t>
        </is>
      </c>
      <c r="K576" t="inlineStr">
        <is>
          <t>Underwood, Jane H. (Jane Hainline)</t>
        </is>
      </c>
      <c r="L576" t="inlineStr">
        <is>
          <t>Englewood Cliffs, N.J. : Prentice-Hall, c1979.</t>
        </is>
      </c>
      <c r="M576" t="inlineStr">
        <is>
          <t>1979</t>
        </is>
      </c>
      <c r="O576" t="inlineStr">
        <is>
          <t>eng</t>
        </is>
      </c>
      <c r="P576" t="inlineStr">
        <is>
          <t>nju</t>
        </is>
      </c>
      <c r="R576" t="inlineStr">
        <is>
          <t xml:space="preserve">GN </t>
        </is>
      </c>
      <c r="S576" t="n">
        <v>8</v>
      </c>
      <c r="T576" t="n">
        <v>8</v>
      </c>
      <c r="U576" t="inlineStr">
        <is>
          <t>2003-10-27</t>
        </is>
      </c>
      <c r="V576" t="inlineStr">
        <is>
          <t>2003-10-27</t>
        </is>
      </c>
      <c r="W576" t="inlineStr">
        <is>
          <t>1993-10-04</t>
        </is>
      </c>
      <c r="X576" t="inlineStr">
        <is>
          <t>1993-10-04</t>
        </is>
      </c>
      <c r="Y576" t="n">
        <v>430</v>
      </c>
      <c r="Z576" t="n">
        <v>356</v>
      </c>
      <c r="AA576" t="n">
        <v>363</v>
      </c>
      <c r="AB576" t="n">
        <v>4</v>
      </c>
      <c r="AC576" t="n">
        <v>4</v>
      </c>
      <c r="AD576" t="n">
        <v>13</v>
      </c>
      <c r="AE576" t="n">
        <v>13</v>
      </c>
      <c r="AF576" t="n">
        <v>4</v>
      </c>
      <c r="AG576" t="n">
        <v>4</v>
      </c>
      <c r="AH576" t="n">
        <v>3</v>
      </c>
      <c r="AI576" t="n">
        <v>3</v>
      </c>
      <c r="AJ576" t="n">
        <v>6</v>
      </c>
      <c r="AK576" t="n">
        <v>6</v>
      </c>
      <c r="AL576" t="n">
        <v>3</v>
      </c>
      <c r="AM576" t="n">
        <v>3</v>
      </c>
      <c r="AN576" t="n">
        <v>0</v>
      </c>
      <c r="AO576" t="n">
        <v>0</v>
      </c>
      <c r="AP576" t="inlineStr">
        <is>
          <t>No</t>
        </is>
      </c>
      <c r="AQ576" t="inlineStr">
        <is>
          <t>Yes</t>
        </is>
      </c>
      <c r="AR576">
        <f>HYPERLINK("http://catalog.hathitrust.org/Record/000692513","HathiTrust Record")</f>
        <v/>
      </c>
      <c r="AS576">
        <f>HYPERLINK("https://creighton-primo.hosted.exlibrisgroup.com/primo-explore/search?tab=default_tab&amp;search_scope=EVERYTHING&amp;vid=01CRU&amp;lang=en_US&amp;offset=0&amp;query=any,contains,991004584199702656","Catalog Record")</f>
        <v/>
      </c>
      <c r="AT576">
        <f>HYPERLINK("http://www.worldcat.org/oclc/4076649","WorldCat Record")</f>
        <v/>
      </c>
      <c r="AU576" t="inlineStr">
        <is>
          <t>189528962:eng</t>
        </is>
      </c>
      <c r="AV576" t="inlineStr">
        <is>
          <t>4076649</t>
        </is>
      </c>
      <c r="AW576" t="inlineStr">
        <is>
          <t>991004584199702656</t>
        </is>
      </c>
      <c r="AX576" t="inlineStr">
        <is>
          <t>991004584199702656</t>
        </is>
      </c>
      <c r="AY576" t="inlineStr">
        <is>
          <t>2262968990002656</t>
        </is>
      </c>
      <c r="AZ576" t="inlineStr">
        <is>
          <t>BOOK</t>
        </is>
      </c>
      <c r="BB576" t="inlineStr">
        <is>
          <t>9780134475738</t>
        </is>
      </c>
      <c r="BC576" t="inlineStr">
        <is>
          <t>32285000315324</t>
        </is>
      </c>
      <c r="BD576" t="inlineStr">
        <is>
          <t>893344024</t>
        </is>
      </c>
    </row>
    <row r="577">
      <c r="A577" t="inlineStr">
        <is>
          <t>No</t>
        </is>
      </c>
      <c r="B577" t="inlineStr">
        <is>
          <t>GN29 .F69 1994</t>
        </is>
      </c>
      <c r="C577" t="inlineStr">
        <is>
          <t>0                      GN 0029000F  69          1994</t>
        </is>
      </c>
      <c r="D577" t="inlineStr">
        <is>
          <t>The challenge of anthropology : old encounters and new excursions / Robin Fox.</t>
        </is>
      </c>
      <c r="F577" t="inlineStr">
        <is>
          <t>No</t>
        </is>
      </c>
      <c r="G577" t="inlineStr">
        <is>
          <t>1</t>
        </is>
      </c>
      <c r="H577" t="inlineStr">
        <is>
          <t>No</t>
        </is>
      </c>
      <c r="I577" t="inlineStr">
        <is>
          <t>No</t>
        </is>
      </c>
      <c r="J577" t="inlineStr">
        <is>
          <t>0</t>
        </is>
      </c>
      <c r="K577" t="inlineStr">
        <is>
          <t>Fox, Robin, 1934-</t>
        </is>
      </c>
      <c r="L577" t="inlineStr">
        <is>
          <t>New Brunswick, N.J., U.S.A. : Transaction, c1994.</t>
        </is>
      </c>
      <c r="M577" t="inlineStr">
        <is>
          <t>1994</t>
        </is>
      </c>
      <c r="O577" t="inlineStr">
        <is>
          <t>eng</t>
        </is>
      </c>
      <c r="P577" t="inlineStr">
        <is>
          <t>nju</t>
        </is>
      </c>
      <c r="R577" t="inlineStr">
        <is>
          <t xml:space="preserve">GN </t>
        </is>
      </c>
      <c r="S577" t="n">
        <v>5</v>
      </c>
      <c r="T577" t="n">
        <v>5</v>
      </c>
      <c r="U577" t="inlineStr">
        <is>
          <t>2004-11-01</t>
        </is>
      </c>
      <c r="V577" t="inlineStr">
        <is>
          <t>2004-11-01</t>
        </is>
      </c>
      <c r="W577" t="inlineStr">
        <is>
          <t>1994-05-11</t>
        </is>
      </c>
      <c r="X577" t="inlineStr">
        <is>
          <t>1994-05-11</t>
        </is>
      </c>
      <c r="Y577" t="n">
        <v>397</v>
      </c>
      <c r="Z577" t="n">
        <v>322</v>
      </c>
      <c r="AA577" t="n">
        <v>337</v>
      </c>
      <c r="AB577" t="n">
        <v>1</v>
      </c>
      <c r="AC577" t="n">
        <v>1</v>
      </c>
      <c r="AD577" t="n">
        <v>17</v>
      </c>
      <c r="AE577" t="n">
        <v>17</v>
      </c>
      <c r="AF577" t="n">
        <v>7</v>
      </c>
      <c r="AG577" t="n">
        <v>7</v>
      </c>
      <c r="AH577" t="n">
        <v>7</v>
      </c>
      <c r="AI577" t="n">
        <v>7</v>
      </c>
      <c r="AJ577" t="n">
        <v>10</v>
      </c>
      <c r="AK577" t="n">
        <v>10</v>
      </c>
      <c r="AL577" t="n">
        <v>0</v>
      </c>
      <c r="AM577" t="n">
        <v>0</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HYPERLINK("https://creighton-primo.hosted.exlibrisgroup.com/primo-explore/search?tab=default_tab&amp;search_scope=EVERYTHING&amp;vid=01CRU&amp;lang=en_US&amp;offset=0&amp;query=any,contains,991002169139702656","Catalog Record")</f>
        <v/>
      </c>
      <c r="AT577">
        <f>HYPERLINK("http://www.worldcat.org/oclc/27934668","WorldCat Record")</f>
        <v/>
      </c>
      <c r="AU577" t="inlineStr">
        <is>
          <t>387867:eng</t>
        </is>
      </c>
      <c r="AV577" t="inlineStr">
        <is>
          <t>27934668</t>
        </is>
      </c>
      <c r="AW577" t="inlineStr">
        <is>
          <t>991002169139702656</t>
        </is>
      </c>
      <c r="AX577" t="inlineStr">
        <is>
          <t>991002169139702656</t>
        </is>
      </c>
      <c r="AY577" t="inlineStr">
        <is>
          <t>2258146210002656</t>
        </is>
      </c>
      <c r="AZ577" t="inlineStr">
        <is>
          <t>BOOK</t>
        </is>
      </c>
      <c r="BB577" t="inlineStr">
        <is>
          <t>9781560001195</t>
        </is>
      </c>
      <c r="BC577" t="inlineStr">
        <is>
          <t>32285001895332</t>
        </is>
      </c>
      <c r="BD577" t="inlineStr">
        <is>
          <t>893892229</t>
        </is>
      </c>
    </row>
    <row r="578">
      <c r="A578" t="inlineStr">
        <is>
          <t>No</t>
        </is>
      </c>
      <c r="B578" t="inlineStr">
        <is>
          <t>GN290 .A7413 1974b</t>
        </is>
      </c>
      <c r="C578" t="inlineStr">
        <is>
          <t>0                      GN 0290000A  7413        1974b</t>
        </is>
      </c>
      <c r="D578" t="inlineStr">
        <is>
          <t>Gazelle-boy; a child brought up by gazelles in the Sahara Desert. Illustrated by the author. Translated from the French by Stephen Hardman.</t>
        </is>
      </c>
      <c r="F578" t="inlineStr">
        <is>
          <t>No</t>
        </is>
      </c>
      <c r="G578" t="inlineStr">
        <is>
          <t>1</t>
        </is>
      </c>
      <c r="H578" t="inlineStr">
        <is>
          <t>No</t>
        </is>
      </c>
      <c r="I578" t="inlineStr">
        <is>
          <t>No</t>
        </is>
      </c>
      <c r="J578" t="inlineStr">
        <is>
          <t>0</t>
        </is>
      </c>
      <c r="K578" t="inlineStr">
        <is>
          <t>Armen, Jean Claude, 1934-</t>
        </is>
      </c>
      <c r="L578" t="inlineStr">
        <is>
          <t>London, Bodley Head [1974]</t>
        </is>
      </c>
      <c r="M578" t="inlineStr">
        <is>
          <t>1974</t>
        </is>
      </c>
      <c r="O578" t="inlineStr">
        <is>
          <t>eng</t>
        </is>
      </c>
      <c r="P578" t="inlineStr">
        <is>
          <t>enk</t>
        </is>
      </c>
      <c r="R578" t="inlineStr">
        <is>
          <t xml:space="preserve">GN </t>
        </is>
      </c>
      <c r="S578" t="n">
        <v>1</v>
      </c>
      <c r="T578" t="n">
        <v>1</v>
      </c>
      <c r="U578" t="inlineStr">
        <is>
          <t>2005-10-06</t>
        </is>
      </c>
      <c r="V578" t="inlineStr">
        <is>
          <t>2005-10-06</t>
        </is>
      </c>
      <c r="W578" t="inlineStr">
        <is>
          <t>1997-05-28</t>
        </is>
      </c>
      <c r="X578" t="inlineStr">
        <is>
          <t>1997-05-28</t>
        </is>
      </c>
      <c r="Y578" t="n">
        <v>133</v>
      </c>
      <c r="Z578" t="n">
        <v>53</v>
      </c>
      <c r="AA578" t="n">
        <v>339</v>
      </c>
      <c r="AB578" t="n">
        <v>2</v>
      </c>
      <c r="AC578" t="n">
        <v>3</v>
      </c>
      <c r="AD578" t="n">
        <v>1</v>
      </c>
      <c r="AE578" t="n">
        <v>8</v>
      </c>
      <c r="AF578" t="n">
        <v>0</v>
      </c>
      <c r="AG578" t="n">
        <v>2</v>
      </c>
      <c r="AH578" t="n">
        <v>0</v>
      </c>
      <c r="AI578" t="n">
        <v>1</v>
      </c>
      <c r="AJ578" t="n">
        <v>0</v>
      </c>
      <c r="AK578" t="n">
        <v>4</v>
      </c>
      <c r="AL578" t="n">
        <v>1</v>
      </c>
      <c r="AM578" t="n">
        <v>2</v>
      </c>
      <c r="AN578" t="n">
        <v>0</v>
      </c>
      <c r="AO578" t="n">
        <v>0</v>
      </c>
      <c r="AP578" t="inlineStr">
        <is>
          <t>No</t>
        </is>
      </c>
      <c r="AQ578" t="inlineStr">
        <is>
          <t>Yes</t>
        </is>
      </c>
      <c r="AR578">
        <f>HYPERLINK("http://catalog.hathitrust.org/Record/000014170","HathiTrust Record")</f>
        <v/>
      </c>
      <c r="AS578">
        <f>HYPERLINK("https://creighton-primo.hosted.exlibrisgroup.com/primo-explore/search?tab=default_tab&amp;search_scope=EVERYTHING&amp;vid=01CRU&amp;lang=en_US&amp;offset=0&amp;query=any,contains,991003363089702656","Catalog Record")</f>
        <v/>
      </c>
      <c r="AT578">
        <f>HYPERLINK("http://www.worldcat.org/oclc/898856","WorldCat Record")</f>
        <v/>
      </c>
      <c r="AU578" t="inlineStr">
        <is>
          <t>1865700:eng</t>
        </is>
      </c>
      <c r="AV578" t="inlineStr">
        <is>
          <t>898856</t>
        </is>
      </c>
      <c r="AW578" t="inlineStr">
        <is>
          <t>991003363089702656</t>
        </is>
      </c>
      <c r="AX578" t="inlineStr">
        <is>
          <t>991003363089702656</t>
        </is>
      </c>
      <c r="AY578" t="inlineStr">
        <is>
          <t>2258137080002656</t>
        </is>
      </c>
      <c r="AZ578" t="inlineStr">
        <is>
          <t>BOOK</t>
        </is>
      </c>
      <c r="BB578" t="inlineStr">
        <is>
          <t>9780370102849</t>
        </is>
      </c>
      <c r="BC578" t="inlineStr">
        <is>
          <t>32285002694957</t>
        </is>
      </c>
      <c r="BD578" t="inlineStr">
        <is>
          <t>893874701</t>
        </is>
      </c>
    </row>
    <row r="579">
      <c r="A579" t="inlineStr">
        <is>
          <t>No</t>
        </is>
      </c>
      <c r="B579" t="inlineStr">
        <is>
          <t>GN290 .G4</t>
        </is>
      </c>
      <c r="C579" t="inlineStr">
        <is>
          <t>0                      GN 0290000G  4</t>
        </is>
      </c>
      <c r="D579" t="inlineStr">
        <is>
          <t>Wolf child and human child; being a narrative interpretation of the life history of Kamala, the wolf girl; based on the diary account of a child who was reared by a wolf and who then lived for nine years in the orphanage of Midnapore, in the province of Bengal, India, by Arnold Gesell.</t>
        </is>
      </c>
      <c r="F579" t="inlineStr">
        <is>
          <t>No</t>
        </is>
      </c>
      <c r="G579" t="inlineStr">
        <is>
          <t>1</t>
        </is>
      </c>
      <c r="H579" t="inlineStr">
        <is>
          <t>No</t>
        </is>
      </c>
      <c r="I579" t="inlineStr">
        <is>
          <t>No</t>
        </is>
      </c>
      <c r="J579" t="inlineStr">
        <is>
          <t>0</t>
        </is>
      </c>
      <c r="K579" t="inlineStr">
        <is>
          <t>Gesell, Arnold, 1880-1961.</t>
        </is>
      </c>
      <c r="L579" t="inlineStr">
        <is>
          <t>New York, London, Harper [c1941]</t>
        </is>
      </c>
      <c r="M579" t="inlineStr">
        <is>
          <t>1941</t>
        </is>
      </c>
      <c r="N579" t="inlineStr">
        <is>
          <t>[1st ed.]</t>
        </is>
      </c>
      <c r="O579" t="inlineStr">
        <is>
          <t>eng</t>
        </is>
      </c>
      <c r="P579" t="inlineStr">
        <is>
          <t>nyu</t>
        </is>
      </c>
      <c r="R579" t="inlineStr">
        <is>
          <t xml:space="preserve">GN </t>
        </is>
      </c>
      <c r="S579" t="n">
        <v>1</v>
      </c>
      <c r="T579" t="n">
        <v>1</v>
      </c>
      <c r="U579" t="inlineStr">
        <is>
          <t>1999-04-27</t>
        </is>
      </c>
      <c r="V579" t="inlineStr">
        <is>
          <t>1999-04-27</t>
        </is>
      </c>
      <c r="W579" t="inlineStr">
        <is>
          <t>1997-05-28</t>
        </is>
      </c>
      <c r="X579" t="inlineStr">
        <is>
          <t>1997-05-28</t>
        </is>
      </c>
      <c r="Y579" t="n">
        <v>246</v>
      </c>
      <c r="Z579" t="n">
        <v>232</v>
      </c>
      <c r="AA579" t="n">
        <v>260</v>
      </c>
      <c r="AB579" t="n">
        <v>2</v>
      </c>
      <c r="AC579" t="n">
        <v>2</v>
      </c>
      <c r="AD579" t="n">
        <v>9</v>
      </c>
      <c r="AE579" t="n">
        <v>11</v>
      </c>
      <c r="AF579" t="n">
        <v>3</v>
      </c>
      <c r="AG579" t="n">
        <v>4</v>
      </c>
      <c r="AH579" t="n">
        <v>2</v>
      </c>
      <c r="AI579" t="n">
        <v>3</v>
      </c>
      <c r="AJ579" t="n">
        <v>3</v>
      </c>
      <c r="AK579" t="n">
        <v>4</v>
      </c>
      <c r="AL579" t="n">
        <v>1</v>
      </c>
      <c r="AM579" t="n">
        <v>1</v>
      </c>
      <c r="AN579" t="n">
        <v>0</v>
      </c>
      <c r="AO579" t="n">
        <v>0</v>
      </c>
      <c r="AP579" t="inlineStr">
        <is>
          <t>No</t>
        </is>
      </c>
      <c r="AQ579" t="inlineStr">
        <is>
          <t>Yes</t>
        </is>
      </c>
      <c r="AR579">
        <f>HYPERLINK("http://catalog.hathitrust.org/Record/003551562","HathiTrust Record")</f>
        <v/>
      </c>
      <c r="AS579">
        <f>HYPERLINK("https://creighton-primo.hosted.exlibrisgroup.com/primo-explore/search?tab=default_tab&amp;search_scope=EVERYTHING&amp;vid=01CRU&amp;lang=en_US&amp;offset=0&amp;query=any,contains,991003649619702656","Catalog Record")</f>
        <v/>
      </c>
      <c r="AT579">
        <f>HYPERLINK("http://www.worldcat.org/oclc/1253756","WorldCat Record")</f>
        <v/>
      </c>
      <c r="AU579" t="inlineStr">
        <is>
          <t>23604395:eng</t>
        </is>
      </c>
      <c r="AV579" t="inlineStr">
        <is>
          <t>1253756</t>
        </is>
      </c>
      <c r="AW579" t="inlineStr">
        <is>
          <t>991003649619702656</t>
        </is>
      </c>
      <c r="AX579" t="inlineStr">
        <is>
          <t>991003649619702656</t>
        </is>
      </c>
      <c r="AY579" t="inlineStr">
        <is>
          <t>2261637670002656</t>
        </is>
      </c>
      <c r="AZ579" t="inlineStr">
        <is>
          <t>BOOK</t>
        </is>
      </c>
      <c r="BC579" t="inlineStr">
        <is>
          <t>32285002694965</t>
        </is>
      </c>
      <c r="BD579" t="inlineStr">
        <is>
          <t>893893956</t>
        </is>
      </c>
    </row>
    <row r="580">
      <c r="A580" t="inlineStr">
        <is>
          <t>No</t>
        </is>
      </c>
      <c r="B580" t="inlineStr">
        <is>
          <t>GN290 .S5 1966</t>
        </is>
      </c>
      <c r="C580" t="inlineStr">
        <is>
          <t>0                      GN 0290000S  5           1966</t>
        </is>
      </c>
      <c r="D580" t="inlineStr">
        <is>
          <t>Wolf-children and feral man, by J. A. L. Singh and Robert M. Zingg.</t>
        </is>
      </c>
      <c r="F580" t="inlineStr">
        <is>
          <t>No</t>
        </is>
      </c>
      <c r="G580" t="inlineStr">
        <is>
          <t>1</t>
        </is>
      </c>
      <c r="H580" t="inlineStr">
        <is>
          <t>No</t>
        </is>
      </c>
      <c r="I580" t="inlineStr">
        <is>
          <t>No</t>
        </is>
      </c>
      <c r="J580" t="inlineStr">
        <is>
          <t>0</t>
        </is>
      </c>
      <c r="K580" t="inlineStr">
        <is>
          <t>Singh, J. A. L. (Joseph Amrito Lal), -1941.</t>
        </is>
      </c>
      <c r="L580" t="inlineStr">
        <is>
          <t>[Hamden, Conn.] Archon Books, 1966 [c1942]</t>
        </is>
      </c>
      <c r="M580" t="inlineStr">
        <is>
          <t>1966</t>
        </is>
      </c>
      <c r="O580" t="inlineStr">
        <is>
          <t>eng</t>
        </is>
      </c>
      <c r="P580" t="inlineStr">
        <is>
          <t>ctu</t>
        </is>
      </c>
      <c r="R580" t="inlineStr">
        <is>
          <t xml:space="preserve">GN </t>
        </is>
      </c>
      <c r="S580" t="n">
        <v>2</v>
      </c>
      <c r="T580" t="n">
        <v>2</v>
      </c>
      <c r="U580" t="inlineStr">
        <is>
          <t>2003-08-28</t>
        </is>
      </c>
      <c r="V580" t="inlineStr">
        <is>
          <t>2003-08-28</t>
        </is>
      </c>
      <c r="W580" t="inlineStr">
        <is>
          <t>1997-05-28</t>
        </is>
      </c>
      <c r="X580" t="inlineStr">
        <is>
          <t>1997-05-28</t>
        </is>
      </c>
      <c r="Y580" t="n">
        <v>539</v>
      </c>
      <c r="Z580" t="n">
        <v>487</v>
      </c>
      <c r="AA580" t="n">
        <v>613</v>
      </c>
      <c r="AB580" t="n">
        <v>5</v>
      </c>
      <c r="AC580" t="n">
        <v>5</v>
      </c>
      <c r="AD580" t="n">
        <v>17</v>
      </c>
      <c r="AE580" t="n">
        <v>22</v>
      </c>
      <c r="AF580" t="n">
        <v>8</v>
      </c>
      <c r="AG580" t="n">
        <v>10</v>
      </c>
      <c r="AH580" t="n">
        <v>2</v>
      </c>
      <c r="AI580" t="n">
        <v>3</v>
      </c>
      <c r="AJ580" t="n">
        <v>4</v>
      </c>
      <c r="AK580" t="n">
        <v>7</v>
      </c>
      <c r="AL580" t="n">
        <v>4</v>
      </c>
      <c r="AM580" t="n">
        <v>4</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HYPERLINK("https://creighton-primo.hosted.exlibrisgroup.com/primo-explore/search?tab=default_tab&amp;search_scope=EVERYTHING&amp;vid=01CRU&amp;lang=en_US&amp;offset=0&amp;query=any,contains,991002419389702656","Catalog Record")</f>
        <v/>
      </c>
      <c r="AT580">
        <f>HYPERLINK("http://www.worldcat.org/oclc/342315","WorldCat Record")</f>
        <v/>
      </c>
      <c r="AU580" t="inlineStr">
        <is>
          <t>417504:eng</t>
        </is>
      </c>
      <c r="AV580" t="inlineStr">
        <is>
          <t>342315</t>
        </is>
      </c>
      <c r="AW580" t="inlineStr">
        <is>
          <t>991002419389702656</t>
        </is>
      </c>
      <c r="AX580" t="inlineStr">
        <is>
          <t>991002419389702656</t>
        </is>
      </c>
      <c r="AY580" t="inlineStr">
        <is>
          <t>2266307050002656</t>
        </is>
      </c>
      <c r="AZ580" t="inlineStr">
        <is>
          <t>BOOK</t>
        </is>
      </c>
      <c r="BC580" t="inlineStr">
        <is>
          <t>32285002694973</t>
        </is>
      </c>
      <c r="BD580" t="inlineStr">
        <is>
          <t>893226818</t>
        </is>
      </c>
    </row>
    <row r="581">
      <c r="A581" t="inlineStr">
        <is>
          <t>No</t>
        </is>
      </c>
      <c r="B581" t="inlineStr">
        <is>
          <t>GN294 .M37</t>
        </is>
      </c>
      <c r="C581" t="inlineStr">
        <is>
          <t>0                      GN 0294000M  37</t>
        </is>
      </c>
      <c r="D581" t="inlineStr">
        <is>
          <t>Female of the species / M. Kay Martin, Barbara Voorhies.</t>
        </is>
      </c>
      <c r="F581" t="inlineStr">
        <is>
          <t>No</t>
        </is>
      </c>
      <c r="G581" t="inlineStr">
        <is>
          <t>1</t>
        </is>
      </c>
      <c r="H581" t="inlineStr">
        <is>
          <t>No</t>
        </is>
      </c>
      <c r="I581" t="inlineStr">
        <is>
          <t>No</t>
        </is>
      </c>
      <c r="J581" t="inlineStr">
        <is>
          <t>0</t>
        </is>
      </c>
      <c r="K581" t="inlineStr">
        <is>
          <t>Martin, M. Kay, 1942-</t>
        </is>
      </c>
      <c r="L581" t="inlineStr">
        <is>
          <t>New York : Columbia University Press, 1975.</t>
        </is>
      </c>
      <c r="M581" t="inlineStr">
        <is>
          <t>1975</t>
        </is>
      </c>
      <c r="O581" t="inlineStr">
        <is>
          <t>eng</t>
        </is>
      </c>
      <c r="P581" t="inlineStr">
        <is>
          <t>nyu</t>
        </is>
      </c>
      <c r="R581" t="inlineStr">
        <is>
          <t xml:space="preserve">GN </t>
        </is>
      </c>
      <c r="S581" t="n">
        <v>2</v>
      </c>
      <c r="T581" t="n">
        <v>2</v>
      </c>
      <c r="U581" t="inlineStr">
        <is>
          <t>2006-12-04</t>
        </is>
      </c>
      <c r="V581" t="inlineStr">
        <is>
          <t>2006-12-04</t>
        </is>
      </c>
      <c r="W581" t="inlineStr">
        <is>
          <t>1997-05-28</t>
        </is>
      </c>
      <c r="X581" t="inlineStr">
        <is>
          <t>1997-05-28</t>
        </is>
      </c>
      <c r="Y581" t="n">
        <v>1195</v>
      </c>
      <c r="Z581" t="n">
        <v>1028</v>
      </c>
      <c r="AA581" t="n">
        <v>1145</v>
      </c>
      <c r="AB581" t="n">
        <v>6</v>
      </c>
      <c r="AC581" t="n">
        <v>6</v>
      </c>
      <c r="AD581" t="n">
        <v>46</v>
      </c>
      <c r="AE581" t="n">
        <v>50</v>
      </c>
      <c r="AF581" t="n">
        <v>19</v>
      </c>
      <c r="AG581" t="n">
        <v>23</v>
      </c>
      <c r="AH581" t="n">
        <v>10</v>
      </c>
      <c r="AI581" t="n">
        <v>10</v>
      </c>
      <c r="AJ581" t="n">
        <v>22</v>
      </c>
      <c r="AK581" t="n">
        <v>23</v>
      </c>
      <c r="AL581" t="n">
        <v>5</v>
      </c>
      <c r="AM581" t="n">
        <v>5</v>
      </c>
      <c r="AN581" t="n">
        <v>1</v>
      </c>
      <c r="AO581" t="n">
        <v>1</v>
      </c>
      <c r="AP581" t="inlineStr">
        <is>
          <t>No</t>
        </is>
      </c>
      <c r="AQ581" t="inlineStr">
        <is>
          <t>No</t>
        </is>
      </c>
      <c r="AS581">
        <f>HYPERLINK("https://creighton-primo.hosted.exlibrisgroup.com/primo-explore/search?tab=default_tab&amp;search_scope=EVERYTHING&amp;vid=01CRU&amp;lang=en_US&amp;offset=0&amp;query=any,contains,991003532579702656","Catalog Record")</f>
        <v/>
      </c>
      <c r="AT581">
        <f>HYPERLINK("http://www.worldcat.org/oclc/1094960","WorldCat Record")</f>
        <v/>
      </c>
      <c r="AU581" t="inlineStr">
        <is>
          <t>3855312669:eng</t>
        </is>
      </c>
      <c r="AV581" t="inlineStr">
        <is>
          <t>1094960</t>
        </is>
      </c>
      <c r="AW581" t="inlineStr">
        <is>
          <t>991003532579702656</t>
        </is>
      </c>
      <c r="AX581" t="inlineStr">
        <is>
          <t>991003532579702656</t>
        </is>
      </c>
      <c r="AY581" t="inlineStr">
        <is>
          <t>2265214190002656</t>
        </is>
      </c>
      <c r="AZ581" t="inlineStr">
        <is>
          <t>BOOK</t>
        </is>
      </c>
      <c r="BB581" t="inlineStr">
        <is>
          <t>9780231038751</t>
        </is>
      </c>
      <c r="BC581" t="inlineStr">
        <is>
          <t>32285002694981</t>
        </is>
      </c>
      <c r="BD581" t="inlineStr">
        <is>
          <t>893410379</t>
        </is>
      </c>
    </row>
    <row r="582">
      <c r="A582" t="inlineStr">
        <is>
          <t>No</t>
        </is>
      </c>
      <c r="B582" t="inlineStr">
        <is>
          <t>GN295.T9 N4</t>
        </is>
      </c>
      <c r="C582" t="inlineStr">
        <is>
          <t>0                      GN 0295000T  9                  N  4</t>
        </is>
      </c>
      <c r="D582" t="inlineStr">
        <is>
          <t>Twins : a study of heredity and environment / by Horatio H. Newman, Frank N. Freeman [and] Karl J. Holzinger.</t>
        </is>
      </c>
      <c r="F582" t="inlineStr">
        <is>
          <t>No</t>
        </is>
      </c>
      <c r="G582" t="inlineStr">
        <is>
          <t>1</t>
        </is>
      </c>
      <c r="H582" t="inlineStr">
        <is>
          <t>No</t>
        </is>
      </c>
      <c r="I582" t="inlineStr">
        <is>
          <t>No</t>
        </is>
      </c>
      <c r="J582" t="inlineStr">
        <is>
          <t>0</t>
        </is>
      </c>
      <c r="K582" t="inlineStr">
        <is>
          <t>Newman, Horatio Hackett, 1875-1957.</t>
        </is>
      </c>
      <c r="L582" t="inlineStr">
        <is>
          <t>Chicago, Ill., The University of Chicago Press [1937]</t>
        </is>
      </c>
      <c r="M582" t="inlineStr">
        <is>
          <t>1937</t>
        </is>
      </c>
      <c r="O582" t="inlineStr">
        <is>
          <t>eng</t>
        </is>
      </c>
      <c r="P582" t="inlineStr">
        <is>
          <t>ilu</t>
        </is>
      </c>
      <c r="R582" t="inlineStr">
        <is>
          <t xml:space="preserve">GN </t>
        </is>
      </c>
      <c r="S582" t="n">
        <v>4</v>
      </c>
      <c r="T582" t="n">
        <v>4</v>
      </c>
      <c r="U582" t="inlineStr">
        <is>
          <t>1998-04-04</t>
        </is>
      </c>
      <c r="V582" t="inlineStr">
        <is>
          <t>1998-04-04</t>
        </is>
      </c>
      <c r="W582" t="inlineStr">
        <is>
          <t>1997-04-29</t>
        </is>
      </c>
      <c r="X582" t="inlineStr">
        <is>
          <t>1997-04-29</t>
        </is>
      </c>
      <c r="Y582" t="n">
        <v>711</v>
      </c>
      <c r="Z582" t="n">
        <v>631</v>
      </c>
      <c r="AA582" t="n">
        <v>731</v>
      </c>
      <c r="AB582" t="n">
        <v>5</v>
      </c>
      <c r="AC582" t="n">
        <v>5</v>
      </c>
      <c r="AD582" t="n">
        <v>30</v>
      </c>
      <c r="AE582" t="n">
        <v>37</v>
      </c>
      <c r="AF582" t="n">
        <v>12</v>
      </c>
      <c r="AG582" t="n">
        <v>16</v>
      </c>
      <c r="AH582" t="n">
        <v>8</v>
      </c>
      <c r="AI582" t="n">
        <v>8</v>
      </c>
      <c r="AJ582" t="n">
        <v>12</v>
      </c>
      <c r="AK582" t="n">
        <v>18</v>
      </c>
      <c r="AL582" t="n">
        <v>4</v>
      </c>
      <c r="AM582" t="n">
        <v>4</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HYPERLINK("https://creighton-primo.hosted.exlibrisgroup.com/primo-explore/search?tab=default_tab&amp;search_scope=EVERYTHING&amp;vid=01CRU&amp;lang=en_US&amp;offset=0&amp;query=any,contains,991002857439702656","Catalog Record")</f>
        <v/>
      </c>
      <c r="AT582">
        <f>HYPERLINK("http://www.worldcat.org/oclc/490793","WorldCat Record")</f>
        <v/>
      </c>
      <c r="AU582" t="inlineStr">
        <is>
          <t>1581695:eng</t>
        </is>
      </c>
      <c r="AV582" t="inlineStr">
        <is>
          <t>490793</t>
        </is>
      </c>
      <c r="AW582" t="inlineStr">
        <is>
          <t>991002857439702656</t>
        </is>
      </c>
      <c r="AX582" t="inlineStr">
        <is>
          <t>991002857439702656</t>
        </is>
      </c>
      <c r="AY582" t="inlineStr">
        <is>
          <t>2257487600002656</t>
        </is>
      </c>
      <c r="AZ582" t="inlineStr">
        <is>
          <t>BOOK</t>
        </is>
      </c>
      <c r="BC582" t="inlineStr">
        <is>
          <t>32285002565827</t>
        </is>
      </c>
      <c r="BD582" t="inlineStr">
        <is>
          <t>893597965</t>
        </is>
      </c>
    </row>
    <row r="583">
      <c r="A583" t="inlineStr">
        <is>
          <t>No</t>
        </is>
      </c>
      <c r="B583" t="inlineStr">
        <is>
          <t>GN296 .G76</t>
        </is>
      </c>
      <c r="C583" t="inlineStr">
        <is>
          <t>0                      GN 0296000G  76</t>
        </is>
      </c>
      <c r="D583" t="inlineStr">
        <is>
          <t>Planet medicine : from Stone Age shamanism to post-industrial healing / by Richard Grossinger.</t>
        </is>
      </c>
      <c r="F583" t="inlineStr">
        <is>
          <t>No</t>
        </is>
      </c>
      <c r="G583" t="inlineStr">
        <is>
          <t>1</t>
        </is>
      </c>
      <c r="H583" t="inlineStr">
        <is>
          <t>No</t>
        </is>
      </c>
      <c r="I583" t="inlineStr">
        <is>
          <t>Yes</t>
        </is>
      </c>
      <c r="J583" t="inlineStr">
        <is>
          <t>0</t>
        </is>
      </c>
      <c r="K583" t="inlineStr">
        <is>
          <t>Grossinger, Richard, 1944-</t>
        </is>
      </c>
      <c r="L583" t="inlineStr">
        <is>
          <t>Garden City, N.Y. : Anchor Press, 1980.</t>
        </is>
      </c>
      <c r="M583" t="inlineStr">
        <is>
          <t>1980</t>
        </is>
      </c>
      <c r="N583" t="inlineStr">
        <is>
          <t>1st ed.</t>
        </is>
      </c>
      <c r="O583" t="inlineStr">
        <is>
          <t>eng</t>
        </is>
      </c>
      <c r="P583" t="inlineStr">
        <is>
          <t>nyu</t>
        </is>
      </c>
      <c r="R583" t="inlineStr">
        <is>
          <t xml:space="preserve">GN </t>
        </is>
      </c>
      <c r="S583" t="n">
        <v>12</v>
      </c>
      <c r="T583" t="n">
        <v>12</v>
      </c>
      <c r="U583" t="inlineStr">
        <is>
          <t>1999-05-01</t>
        </is>
      </c>
      <c r="V583" t="inlineStr">
        <is>
          <t>1999-05-01</t>
        </is>
      </c>
      <c r="W583" t="inlineStr">
        <is>
          <t>1990-09-20</t>
        </is>
      </c>
      <c r="X583" t="inlineStr">
        <is>
          <t>1990-09-20</t>
        </is>
      </c>
      <c r="Y583" t="n">
        <v>179</v>
      </c>
      <c r="Z583" t="n">
        <v>159</v>
      </c>
      <c r="AA583" t="n">
        <v>324</v>
      </c>
      <c r="AB583" t="n">
        <v>1</v>
      </c>
      <c r="AC583" t="n">
        <v>3</v>
      </c>
      <c r="AD583" t="n">
        <v>4</v>
      </c>
      <c r="AE583" t="n">
        <v>10</v>
      </c>
      <c r="AF583" t="n">
        <v>4</v>
      </c>
      <c r="AG583" t="n">
        <v>6</v>
      </c>
      <c r="AH583" t="n">
        <v>1</v>
      </c>
      <c r="AI583" t="n">
        <v>2</v>
      </c>
      <c r="AJ583" t="n">
        <v>1</v>
      </c>
      <c r="AK583" t="n">
        <v>5</v>
      </c>
      <c r="AL583" t="n">
        <v>0</v>
      </c>
      <c r="AM583" t="n">
        <v>1</v>
      </c>
      <c r="AN583" t="n">
        <v>0</v>
      </c>
      <c r="AO583" t="n">
        <v>0</v>
      </c>
      <c r="AP583" t="inlineStr">
        <is>
          <t>No</t>
        </is>
      </c>
      <c r="AQ583" t="inlineStr">
        <is>
          <t>Yes</t>
        </is>
      </c>
      <c r="AR583">
        <f>HYPERLINK("http://catalog.hathitrust.org/Record/000744984","HathiTrust Record")</f>
        <v/>
      </c>
      <c r="AS583">
        <f>HYPERLINK("https://creighton-primo.hosted.exlibrisgroup.com/primo-explore/search?tab=default_tab&amp;search_scope=EVERYTHING&amp;vid=01CRU&amp;lang=en_US&amp;offset=0&amp;query=any,contains,991004721229702656","Catalog Record")</f>
        <v/>
      </c>
      <c r="AT583">
        <f>HYPERLINK("http://www.worldcat.org/oclc/4804548","WorldCat Record")</f>
        <v/>
      </c>
      <c r="AU583" t="inlineStr">
        <is>
          <t>464085:eng</t>
        </is>
      </c>
      <c r="AV583" t="inlineStr">
        <is>
          <t>4804548</t>
        </is>
      </c>
      <c r="AW583" t="inlineStr">
        <is>
          <t>991004721229702656</t>
        </is>
      </c>
      <c r="AX583" t="inlineStr">
        <is>
          <t>991004721229702656</t>
        </is>
      </c>
      <c r="AY583" t="inlineStr">
        <is>
          <t>2270349990002656</t>
        </is>
      </c>
      <c r="AZ583" t="inlineStr">
        <is>
          <t>BOOK</t>
        </is>
      </c>
      <c r="BB583" t="inlineStr">
        <is>
          <t>9780385140539</t>
        </is>
      </c>
      <c r="BC583" t="inlineStr">
        <is>
          <t>32285000315639</t>
        </is>
      </c>
      <c r="BD583" t="inlineStr">
        <is>
          <t>893353505</t>
        </is>
      </c>
    </row>
    <row r="584">
      <c r="A584" t="inlineStr">
        <is>
          <t>No</t>
        </is>
      </c>
      <c r="B584" t="inlineStr">
        <is>
          <t>GN296 .H42</t>
        </is>
      </c>
      <c r="C584" t="inlineStr">
        <is>
          <t>0                      GN 0296000H  42</t>
        </is>
      </c>
      <c r="D584" t="inlineStr">
        <is>
          <t>Health and the human condition : perspectives on medical anthropology / Michael H. Logan, Edward E. Hunt, Jr.</t>
        </is>
      </c>
      <c r="F584" t="inlineStr">
        <is>
          <t>No</t>
        </is>
      </c>
      <c r="G584" t="inlineStr">
        <is>
          <t>1</t>
        </is>
      </c>
      <c r="H584" t="inlineStr">
        <is>
          <t>No</t>
        </is>
      </c>
      <c r="I584" t="inlineStr">
        <is>
          <t>No</t>
        </is>
      </c>
      <c r="J584" t="inlineStr">
        <is>
          <t>0</t>
        </is>
      </c>
      <c r="L584" t="inlineStr">
        <is>
          <t>North Scituate, Mass. : Duxbury Press, c1978.</t>
        </is>
      </c>
      <c r="M584" t="inlineStr">
        <is>
          <t>1978</t>
        </is>
      </c>
      <c r="O584" t="inlineStr">
        <is>
          <t>eng</t>
        </is>
      </c>
      <c r="P584" t="inlineStr">
        <is>
          <t>mau</t>
        </is>
      </c>
      <c r="R584" t="inlineStr">
        <is>
          <t xml:space="preserve">GN </t>
        </is>
      </c>
      <c r="S584" t="n">
        <v>7</v>
      </c>
      <c r="T584" t="n">
        <v>7</v>
      </c>
      <c r="U584" t="inlineStr">
        <is>
          <t>1999-04-15</t>
        </is>
      </c>
      <c r="V584" t="inlineStr">
        <is>
          <t>1999-04-15</t>
        </is>
      </c>
      <c r="W584" t="inlineStr">
        <is>
          <t>1993-03-30</t>
        </is>
      </c>
      <c r="X584" t="inlineStr">
        <is>
          <t>1993-03-30</t>
        </is>
      </c>
      <c r="Y584" t="n">
        <v>538</v>
      </c>
      <c r="Z584" t="n">
        <v>455</v>
      </c>
      <c r="AA584" t="n">
        <v>469</v>
      </c>
      <c r="AB584" t="n">
        <v>4</v>
      </c>
      <c r="AC584" t="n">
        <v>4</v>
      </c>
      <c r="AD584" t="n">
        <v>16</v>
      </c>
      <c r="AE584" t="n">
        <v>16</v>
      </c>
      <c r="AF584" t="n">
        <v>6</v>
      </c>
      <c r="AG584" t="n">
        <v>6</v>
      </c>
      <c r="AH584" t="n">
        <v>2</v>
      </c>
      <c r="AI584" t="n">
        <v>2</v>
      </c>
      <c r="AJ584" t="n">
        <v>9</v>
      </c>
      <c r="AK584" t="n">
        <v>9</v>
      </c>
      <c r="AL584" t="n">
        <v>3</v>
      </c>
      <c r="AM584" t="n">
        <v>3</v>
      </c>
      <c r="AN584" t="n">
        <v>0</v>
      </c>
      <c r="AO584" t="n">
        <v>0</v>
      </c>
      <c r="AP584" t="inlineStr">
        <is>
          <t>No</t>
        </is>
      </c>
      <c r="AQ584" t="inlineStr">
        <is>
          <t>Yes</t>
        </is>
      </c>
      <c r="AR584">
        <f>HYPERLINK("http://catalog.hathitrust.org/Record/000254278","HathiTrust Record")</f>
        <v/>
      </c>
      <c r="AS584">
        <f>HYPERLINK("https://creighton-primo.hosted.exlibrisgroup.com/primo-explore/search?tab=default_tab&amp;search_scope=EVERYTHING&amp;vid=01CRU&amp;lang=en_US&amp;offset=0&amp;query=any,contains,991004342219702656","Catalog Record")</f>
        <v/>
      </c>
      <c r="AT584">
        <f>HYPERLINK("http://www.worldcat.org/oclc/3090019","WorldCat Record")</f>
        <v/>
      </c>
      <c r="AU584" t="inlineStr">
        <is>
          <t>863906410:eng</t>
        </is>
      </c>
      <c r="AV584" t="inlineStr">
        <is>
          <t>3090019</t>
        </is>
      </c>
      <c r="AW584" t="inlineStr">
        <is>
          <t>991004342219702656</t>
        </is>
      </c>
      <c r="AX584" t="inlineStr">
        <is>
          <t>991004342219702656</t>
        </is>
      </c>
      <c r="AY584" t="inlineStr">
        <is>
          <t>2260327100002656</t>
        </is>
      </c>
      <c r="AZ584" t="inlineStr">
        <is>
          <t>BOOK</t>
        </is>
      </c>
      <c r="BB584" t="inlineStr">
        <is>
          <t>9780878721405</t>
        </is>
      </c>
      <c r="BC584" t="inlineStr">
        <is>
          <t>32285001593515</t>
        </is>
      </c>
      <c r="BD584" t="inlineStr">
        <is>
          <t>893325248</t>
        </is>
      </c>
    </row>
    <row r="585">
      <c r="A585" t="inlineStr">
        <is>
          <t>No</t>
        </is>
      </c>
      <c r="B585" t="inlineStr">
        <is>
          <t>GN296 .P729 2002</t>
        </is>
      </c>
      <c r="C585" t="inlineStr">
        <is>
          <t>0                      GN 0296000P  729         2002</t>
        </is>
      </c>
      <c r="D585" t="inlineStr">
        <is>
          <t>Practitioners, practices, and patients : new approaches to medical archaeology and anthropology : proceedings of a conference held at Magdalene College, Cambridge, November 2000 / edited by Patricia Anne Baker and Gillian Carr.</t>
        </is>
      </c>
      <c r="F585" t="inlineStr">
        <is>
          <t>No</t>
        </is>
      </c>
      <c r="G585" t="inlineStr">
        <is>
          <t>1</t>
        </is>
      </c>
      <c r="H585" t="inlineStr">
        <is>
          <t>No</t>
        </is>
      </c>
      <c r="I585" t="inlineStr">
        <is>
          <t>No</t>
        </is>
      </c>
      <c r="J585" t="inlineStr">
        <is>
          <t>0</t>
        </is>
      </c>
      <c r="L585" t="inlineStr">
        <is>
          <t>Oxford : Oxbow Books ; Oakville, CT, USA : David Brown Book Co. [distributor], c2002.</t>
        </is>
      </c>
      <c r="M585" t="inlineStr">
        <is>
          <t>2002</t>
        </is>
      </c>
      <c r="O585" t="inlineStr">
        <is>
          <t>eng</t>
        </is>
      </c>
      <c r="P585" t="inlineStr">
        <is>
          <t>enk</t>
        </is>
      </c>
      <c r="R585" t="inlineStr">
        <is>
          <t xml:space="preserve">GN </t>
        </is>
      </c>
      <c r="S585" t="n">
        <v>2</v>
      </c>
      <c r="T585" t="n">
        <v>2</v>
      </c>
      <c r="U585" t="inlineStr">
        <is>
          <t>2004-10-27</t>
        </is>
      </c>
      <c r="V585" t="inlineStr">
        <is>
          <t>2004-10-27</t>
        </is>
      </c>
      <c r="W585" t="inlineStr">
        <is>
          <t>2004-10-27</t>
        </is>
      </c>
      <c r="X585" t="inlineStr">
        <is>
          <t>2004-10-27</t>
        </is>
      </c>
      <c r="Y585" t="n">
        <v>150</v>
      </c>
      <c r="Z585" t="n">
        <v>93</v>
      </c>
      <c r="AA585" t="n">
        <v>95</v>
      </c>
      <c r="AB585" t="n">
        <v>1</v>
      </c>
      <c r="AC585" t="n">
        <v>1</v>
      </c>
      <c r="AD585" t="n">
        <v>2</v>
      </c>
      <c r="AE585" t="n">
        <v>2</v>
      </c>
      <c r="AF585" t="n">
        <v>0</v>
      </c>
      <c r="AG585" t="n">
        <v>0</v>
      </c>
      <c r="AH585" t="n">
        <v>2</v>
      </c>
      <c r="AI585" t="n">
        <v>2</v>
      </c>
      <c r="AJ585" t="n">
        <v>1</v>
      </c>
      <c r="AK585" t="n">
        <v>1</v>
      </c>
      <c r="AL585" t="n">
        <v>0</v>
      </c>
      <c r="AM585" t="n">
        <v>0</v>
      </c>
      <c r="AN585" t="n">
        <v>0</v>
      </c>
      <c r="AO585" t="n">
        <v>0</v>
      </c>
      <c r="AP585" t="inlineStr">
        <is>
          <t>No</t>
        </is>
      </c>
      <c r="AQ585" t="inlineStr">
        <is>
          <t>Yes</t>
        </is>
      </c>
      <c r="AR585">
        <f>HYPERLINK("http://catalog.hathitrust.org/Record/004296414","HathiTrust Record")</f>
        <v/>
      </c>
      <c r="AS585">
        <f>HYPERLINK("https://creighton-primo.hosted.exlibrisgroup.com/primo-explore/search?tab=default_tab&amp;search_scope=EVERYTHING&amp;vid=01CRU&amp;lang=en_US&amp;offset=0&amp;query=any,contains,991004404979702656","Catalog Record")</f>
        <v/>
      </c>
      <c r="AT585">
        <f>HYPERLINK("http://www.worldcat.org/oclc/51438440","WorldCat Record")</f>
        <v/>
      </c>
      <c r="AU585" t="inlineStr">
        <is>
          <t>840381231:eng</t>
        </is>
      </c>
      <c r="AV585" t="inlineStr">
        <is>
          <t>51438440</t>
        </is>
      </c>
      <c r="AW585" t="inlineStr">
        <is>
          <t>991004404979702656</t>
        </is>
      </c>
      <c r="AX585" t="inlineStr">
        <is>
          <t>991004404979702656</t>
        </is>
      </c>
      <c r="AY585" t="inlineStr">
        <is>
          <t>2267795490002656</t>
        </is>
      </c>
      <c r="AZ585" t="inlineStr">
        <is>
          <t>BOOK</t>
        </is>
      </c>
      <c r="BB585" t="inlineStr">
        <is>
          <t>9781842170793</t>
        </is>
      </c>
      <c r="BC585" t="inlineStr">
        <is>
          <t>32285005007108</t>
        </is>
      </c>
      <c r="BD585" t="inlineStr">
        <is>
          <t>893869680</t>
        </is>
      </c>
    </row>
    <row r="586">
      <c r="A586" t="inlineStr">
        <is>
          <t>No</t>
        </is>
      </c>
      <c r="B586" t="inlineStr">
        <is>
          <t>GN296 .S62</t>
        </is>
      </c>
      <c r="C586" t="inlineStr">
        <is>
          <t>0                      GN 0296000S  62</t>
        </is>
      </c>
      <c r="D586" t="inlineStr">
        <is>
          <t>Social anthropology and medicine / edited by J. B. Loudon.</t>
        </is>
      </c>
      <c r="F586" t="inlineStr">
        <is>
          <t>No</t>
        </is>
      </c>
      <c r="G586" t="inlineStr">
        <is>
          <t>1</t>
        </is>
      </c>
      <c r="H586" t="inlineStr">
        <is>
          <t>No</t>
        </is>
      </c>
      <c r="I586" t="inlineStr">
        <is>
          <t>No</t>
        </is>
      </c>
      <c r="J586" t="inlineStr">
        <is>
          <t>0</t>
        </is>
      </c>
      <c r="L586" t="inlineStr">
        <is>
          <t>London ; New York : Academic Press, 1976.</t>
        </is>
      </c>
      <c r="M586" t="inlineStr">
        <is>
          <t>1976</t>
        </is>
      </c>
      <c r="O586" t="inlineStr">
        <is>
          <t>eng</t>
        </is>
      </c>
      <c r="P586" t="inlineStr">
        <is>
          <t>enk</t>
        </is>
      </c>
      <c r="Q586" t="inlineStr">
        <is>
          <t>A.S.A. monograph ; 13</t>
        </is>
      </c>
      <c r="R586" t="inlineStr">
        <is>
          <t xml:space="preserve">GN </t>
        </is>
      </c>
      <c r="S586" t="n">
        <v>5</v>
      </c>
      <c r="T586" t="n">
        <v>5</v>
      </c>
      <c r="U586" t="inlineStr">
        <is>
          <t>1999-03-23</t>
        </is>
      </c>
      <c r="V586" t="inlineStr">
        <is>
          <t>1999-03-23</t>
        </is>
      </c>
      <c r="W586" t="inlineStr">
        <is>
          <t>1994-08-29</t>
        </is>
      </c>
      <c r="X586" t="inlineStr">
        <is>
          <t>1994-08-29</t>
        </is>
      </c>
      <c r="Y586" t="n">
        <v>617</v>
      </c>
      <c r="Z586" t="n">
        <v>432</v>
      </c>
      <c r="AA586" t="n">
        <v>439</v>
      </c>
      <c r="AB586" t="n">
        <v>3</v>
      </c>
      <c r="AC586" t="n">
        <v>3</v>
      </c>
      <c r="AD586" t="n">
        <v>14</v>
      </c>
      <c r="AE586" t="n">
        <v>14</v>
      </c>
      <c r="AF586" t="n">
        <v>5</v>
      </c>
      <c r="AG586" t="n">
        <v>5</v>
      </c>
      <c r="AH586" t="n">
        <v>5</v>
      </c>
      <c r="AI586" t="n">
        <v>5</v>
      </c>
      <c r="AJ586" t="n">
        <v>7</v>
      </c>
      <c r="AK586" t="n">
        <v>7</v>
      </c>
      <c r="AL586" t="n">
        <v>1</v>
      </c>
      <c r="AM586" t="n">
        <v>1</v>
      </c>
      <c r="AN586" t="n">
        <v>0</v>
      </c>
      <c r="AO586" t="n">
        <v>0</v>
      </c>
      <c r="AP586" t="inlineStr">
        <is>
          <t>No</t>
        </is>
      </c>
      <c r="AQ586" t="inlineStr">
        <is>
          <t>Yes</t>
        </is>
      </c>
      <c r="AR586">
        <f>HYPERLINK("http://catalog.hathitrust.org/Record/000172810","HathiTrust Record")</f>
        <v/>
      </c>
      <c r="AS586">
        <f>HYPERLINK("https://creighton-primo.hosted.exlibrisgroup.com/primo-explore/search?tab=default_tab&amp;search_scope=EVERYTHING&amp;vid=01CRU&amp;lang=en_US&amp;offset=0&amp;query=any,contains,991001783469702656","Catalog Record")</f>
        <v/>
      </c>
      <c r="AT586">
        <f>HYPERLINK("http://www.worldcat.org/oclc/2785293","WorldCat Record")</f>
        <v/>
      </c>
      <c r="AU586" t="inlineStr">
        <is>
          <t>149798195:eng</t>
        </is>
      </c>
      <c r="AV586" t="inlineStr">
        <is>
          <t>2785293</t>
        </is>
      </c>
      <c r="AW586" t="inlineStr">
        <is>
          <t>991001783469702656</t>
        </is>
      </c>
      <c r="AX586" t="inlineStr">
        <is>
          <t>991001783469702656</t>
        </is>
      </c>
      <c r="AY586" t="inlineStr">
        <is>
          <t>2272117870002656</t>
        </is>
      </c>
      <c r="AZ586" t="inlineStr">
        <is>
          <t>BOOK</t>
        </is>
      </c>
      <c r="BB586" t="inlineStr">
        <is>
          <t>9780124563506</t>
        </is>
      </c>
      <c r="BC586" t="inlineStr">
        <is>
          <t>32285001939007</t>
        </is>
      </c>
      <c r="BD586" t="inlineStr">
        <is>
          <t>893334604</t>
        </is>
      </c>
    </row>
    <row r="587">
      <c r="A587" t="inlineStr">
        <is>
          <t>No</t>
        </is>
      </c>
      <c r="B587" t="inlineStr">
        <is>
          <t>GN296 .T725 1991</t>
        </is>
      </c>
      <c r="C587" t="inlineStr">
        <is>
          <t>0                      GN 0296000T  725         1991</t>
        </is>
      </c>
      <c r="D587" t="inlineStr">
        <is>
          <t>Training manual in applied medical anthropology / edited by Carole E. Hill.</t>
        </is>
      </c>
      <c r="F587" t="inlineStr">
        <is>
          <t>No</t>
        </is>
      </c>
      <c r="G587" t="inlineStr">
        <is>
          <t>1</t>
        </is>
      </c>
      <c r="H587" t="inlineStr">
        <is>
          <t>No</t>
        </is>
      </c>
      <c r="I587" t="inlineStr">
        <is>
          <t>No</t>
        </is>
      </c>
      <c r="J587" t="inlineStr">
        <is>
          <t>0</t>
        </is>
      </c>
      <c r="L587" t="inlineStr">
        <is>
          <t>Washington, D.C. : American Anthropological Association, c1991.</t>
        </is>
      </c>
      <c r="M587" t="inlineStr">
        <is>
          <t>1991</t>
        </is>
      </c>
      <c r="O587" t="inlineStr">
        <is>
          <t>eng</t>
        </is>
      </c>
      <c r="P587" t="inlineStr">
        <is>
          <t>dcu</t>
        </is>
      </c>
      <c r="Q587" t="inlineStr">
        <is>
          <t>A Special publication of the American Anthropological Association ; 27. Professional series</t>
        </is>
      </c>
      <c r="R587" t="inlineStr">
        <is>
          <t xml:space="preserve">GN </t>
        </is>
      </c>
      <c r="S587" t="n">
        <v>1</v>
      </c>
      <c r="T587" t="n">
        <v>1</v>
      </c>
      <c r="U587" t="inlineStr">
        <is>
          <t>2007-03-28</t>
        </is>
      </c>
      <c r="V587" t="inlineStr">
        <is>
          <t>2007-03-28</t>
        </is>
      </c>
      <c r="W587" t="inlineStr">
        <is>
          <t>2007-03-28</t>
        </is>
      </c>
      <c r="X587" t="inlineStr">
        <is>
          <t>2007-03-28</t>
        </is>
      </c>
      <c r="Y587" t="n">
        <v>134</v>
      </c>
      <c r="Z587" t="n">
        <v>101</v>
      </c>
      <c r="AA587" t="n">
        <v>101</v>
      </c>
      <c r="AB587" t="n">
        <v>1</v>
      </c>
      <c r="AC587" t="n">
        <v>1</v>
      </c>
      <c r="AD587" t="n">
        <v>1</v>
      </c>
      <c r="AE587" t="n">
        <v>1</v>
      </c>
      <c r="AF587" t="n">
        <v>0</v>
      </c>
      <c r="AG587" t="n">
        <v>0</v>
      </c>
      <c r="AH587" t="n">
        <v>1</v>
      </c>
      <c r="AI587" t="n">
        <v>1</v>
      </c>
      <c r="AJ587" t="n">
        <v>0</v>
      </c>
      <c r="AK587" t="n">
        <v>0</v>
      </c>
      <c r="AL587" t="n">
        <v>0</v>
      </c>
      <c r="AM587" t="n">
        <v>0</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HYPERLINK("https://creighton-primo.hosted.exlibrisgroup.com/primo-explore/search?tab=default_tab&amp;search_scope=EVERYTHING&amp;vid=01CRU&amp;lang=en_US&amp;offset=0&amp;query=any,contains,991005054729702656","Catalog Record")</f>
        <v/>
      </c>
      <c r="AT587">
        <f>HYPERLINK("http://www.worldcat.org/oclc/24286256","WorldCat Record")</f>
        <v/>
      </c>
      <c r="AU587" t="inlineStr">
        <is>
          <t>3856766690:eng</t>
        </is>
      </c>
      <c r="AV587" t="inlineStr">
        <is>
          <t>24286256</t>
        </is>
      </c>
      <c r="AW587" t="inlineStr">
        <is>
          <t>991005054729702656</t>
        </is>
      </c>
      <c r="AX587" t="inlineStr">
        <is>
          <t>991005054729702656</t>
        </is>
      </c>
      <c r="AY587" t="inlineStr">
        <is>
          <t>2268134830002656</t>
        </is>
      </c>
      <c r="AZ587" t="inlineStr">
        <is>
          <t>BOOK</t>
        </is>
      </c>
      <c r="BB587" t="inlineStr">
        <is>
          <t>9780913167465</t>
        </is>
      </c>
      <c r="BC587" t="inlineStr">
        <is>
          <t>32285005284137</t>
        </is>
      </c>
      <c r="BD587" t="inlineStr">
        <is>
          <t>893507536</t>
        </is>
      </c>
    </row>
    <row r="588">
      <c r="A588" t="inlineStr">
        <is>
          <t>No</t>
        </is>
      </c>
      <c r="B588" t="inlineStr">
        <is>
          <t>GN298 .L55 1994</t>
        </is>
      </c>
      <c r="C588" t="inlineStr">
        <is>
          <t>0                      GN 0298000L  55          1994</t>
        </is>
      </c>
      <c r="D588" t="inlineStr">
        <is>
          <t>Foreign bodies / Alphonso Lingis.</t>
        </is>
      </c>
      <c r="F588" t="inlineStr">
        <is>
          <t>No</t>
        </is>
      </c>
      <c r="G588" t="inlineStr">
        <is>
          <t>1</t>
        </is>
      </c>
      <c r="H588" t="inlineStr">
        <is>
          <t>No</t>
        </is>
      </c>
      <c r="I588" t="inlineStr">
        <is>
          <t>No</t>
        </is>
      </c>
      <c r="J588" t="inlineStr">
        <is>
          <t>0</t>
        </is>
      </c>
      <c r="K588" t="inlineStr">
        <is>
          <t>Lingis, Alphonso, 1933-</t>
        </is>
      </c>
      <c r="L588" t="inlineStr">
        <is>
          <t>New York : Routledge, 1994.</t>
        </is>
      </c>
      <c r="M588" t="inlineStr">
        <is>
          <t>1994</t>
        </is>
      </c>
      <c r="O588" t="inlineStr">
        <is>
          <t>eng</t>
        </is>
      </c>
      <c r="P588" t="inlineStr">
        <is>
          <t>nyu</t>
        </is>
      </c>
      <c r="R588" t="inlineStr">
        <is>
          <t xml:space="preserve">GN </t>
        </is>
      </c>
      <c r="S588" t="n">
        <v>7</v>
      </c>
      <c r="T588" t="n">
        <v>7</v>
      </c>
      <c r="U588" t="inlineStr">
        <is>
          <t>2001-03-12</t>
        </is>
      </c>
      <c r="V588" t="inlineStr">
        <is>
          <t>2001-03-12</t>
        </is>
      </c>
      <c r="W588" t="inlineStr">
        <is>
          <t>1994-11-08</t>
        </is>
      </c>
      <c r="X588" t="inlineStr">
        <is>
          <t>1994-11-08</t>
        </is>
      </c>
      <c r="Y588" t="n">
        <v>359</v>
      </c>
      <c r="Z588" t="n">
        <v>230</v>
      </c>
      <c r="AA588" t="n">
        <v>256</v>
      </c>
      <c r="AB588" t="n">
        <v>2</v>
      </c>
      <c r="AC588" t="n">
        <v>2</v>
      </c>
      <c r="AD588" t="n">
        <v>17</v>
      </c>
      <c r="AE588" t="n">
        <v>17</v>
      </c>
      <c r="AF588" t="n">
        <v>5</v>
      </c>
      <c r="AG588" t="n">
        <v>5</v>
      </c>
      <c r="AH588" t="n">
        <v>5</v>
      </c>
      <c r="AI588" t="n">
        <v>5</v>
      </c>
      <c r="AJ588" t="n">
        <v>10</v>
      </c>
      <c r="AK588" t="n">
        <v>10</v>
      </c>
      <c r="AL588" t="n">
        <v>1</v>
      </c>
      <c r="AM588" t="n">
        <v>1</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HYPERLINK("https://creighton-primo.hosted.exlibrisgroup.com/primo-explore/search?tab=default_tab&amp;search_scope=EVERYTHING&amp;vid=01CRU&amp;lang=en_US&amp;offset=0&amp;query=any,contains,991005418269702656","Catalog Record")</f>
        <v/>
      </c>
      <c r="AT588">
        <f>HYPERLINK("http://www.worldcat.org/oclc/29635585","WorldCat Record")</f>
        <v/>
      </c>
      <c r="AU588" t="inlineStr">
        <is>
          <t>31957539:eng</t>
        </is>
      </c>
      <c r="AV588" t="inlineStr">
        <is>
          <t>29635585</t>
        </is>
      </c>
      <c r="AW588" t="inlineStr">
        <is>
          <t>991005418269702656</t>
        </is>
      </c>
      <c r="AX588" t="inlineStr">
        <is>
          <t>991005418269702656</t>
        </is>
      </c>
      <c r="AY588" t="inlineStr">
        <is>
          <t>2256906620002656</t>
        </is>
      </c>
      <c r="AZ588" t="inlineStr">
        <is>
          <t>BOOK</t>
        </is>
      </c>
      <c r="BB588" t="inlineStr">
        <is>
          <t>9780415909891</t>
        </is>
      </c>
      <c r="BC588" t="inlineStr">
        <is>
          <t>32285001956290</t>
        </is>
      </c>
      <c r="BD588" t="inlineStr">
        <is>
          <t>893533819</t>
        </is>
      </c>
    </row>
    <row r="589">
      <c r="A589" t="inlineStr">
        <is>
          <t>No</t>
        </is>
      </c>
      <c r="B589" t="inlineStr">
        <is>
          <t>GN303 .S88</t>
        </is>
      </c>
      <c r="C589" t="inlineStr">
        <is>
          <t>0                      GN 0303000S  88</t>
        </is>
      </c>
      <c r="D589" t="inlineStr">
        <is>
          <t>Studies in social anthropology : essays in memory of E. E. Evans-Pritchard / by his former Oxford colleagues ; edited by J. H. M. Beattie and R. G. Lienhardt.</t>
        </is>
      </c>
      <c r="F589" t="inlineStr">
        <is>
          <t>No</t>
        </is>
      </c>
      <c r="G589" t="inlineStr">
        <is>
          <t>1</t>
        </is>
      </c>
      <c r="H589" t="inlineStr">
        <is>
          <t>No</t>
        </is>
      </c>
      <c r="I589" t="inlineStr">
        <is>
          <t>No</t>
        </is>
      </c>
      <c r="J589" t="inlineStr">
        <is>
          <t>0</t>
        </is>
      </c>
      <c r="L589" t="inlineStr">
        <is>
          <t>Oxford [Eng.] : Clarendon Press, 1975.</t>
        </is>
      </c>
      <c r="M589" t="inlineStr">
        <is>
          <t>1975</t>
        </is>
      </c>
      <c r="O589" t="inlineStr">
        <is>
          <t>eng</t>
        </is>
      </c>
      <c r="P589" t="inlineStr">
        <is>
          <t>enk</t>
        </is>
      </c>
      <c r="R589" t="inlineStr">
        <is>
          <t xml:space="preserve">GN </t>
        </is>
      </c>
      <c r="S589" t="n">
        <v>10</v>
      </c>
      <c r="T589" t="n">
        <v>10</v>
      </c>
      <c r="U589" t="inlineStr">
        <is>
          <t>1999-08-12</t>
        </is>
      </c>
      <c r="V589" t="inlineStr">
        <is>
          <t>1999-08-12</t>
        </is>
      </c>
      <c r="W589" t="inlineStr">
        <is>
          <t>1990-09-20</t>
        </is>
      </c>
      <c r="X589" t="inlineStr">
        <is>
          <t>1990-09-20</t>
        </is>
      </c>
      <c r="Y589" t="n">
        <v>672</v>
      </c>
      <c r="Z589" t="n">
        <v>494</v>
      </c>
      <c r="AA589" t="n">
        <v>496</v>
      </c>
      <c r="AB589" t="n">
        <v>6</v>
      </c>
      <c r="AC589" t="n">
        <v>6</v>
      </c>
      <c r="AD589" t="n">
        <v>20</v>
      </c>
      <c r="AE589" t="n">
        <v>20</v>
      </c>
      <c r="AF589" t="n">
        <v>4</v>
      </c>
      <c r="AG589" t="n">
        <v>4</v>
      </c>
      <c r="AH589" t="n">
        <v>4</v>
      </c>
      <c r="AI589" t="n">
        <v>4</v>
      </c>
      <c r="AJ589" t="n">
        <v>9</v>
      </c>
      <c r="AK589" t="n">
        <v>9</v>
      </c>
      <c r="AL589" t="n">
        <v>5</v>
      </c>
      <c r="AM589" t="n">
        <v>5</v>
      </c>
      <c r="AN589" t="n">
        <v>0</v>
      </c>
      <c r="AO589" t="n">
        <v>0</v>
      </c>
      <c r="AP589" t="inlineStr">
        <is>
          <t>No</t>
        </is>
      </c>
      <c r="AQ589" t="inlineStr">
        <is>
          <t>Yes</t>
        </is>
      </c>
      <c r="AR589">
        <f>HYPERLINK("http://catalog.hathitrust.org/Record/000028005","HathiTrust Record")</f>
        <v/>
      </c>
      <c r="AS589">
        <f>HYPERLINK("https://creighton-primo.hosted.exlibrisgroup.com/primo-explore/search?tab=default_tab&amp;search_scope=EVERYTHING&amp;vid=01CRU&amp;lang=en_US&amp;offset=0&amp;query=any,contains,991004142229702656","Catalog Record")</f>
        <v/>
      </c>
      <c r="AT589">
        <f>HYPERLINK("http://www.worldcat.org/oclc/2502163","WorldCat Record")</f>
        <v/>
      </c>
      <c r="AU589" t="inlineStr">
        <is>
          <t>3449184701:eng</t>
        </is>
      </c>
      <c r="AV589" t="inlineStr">
        <is>
          <t>2502163</t>
        </is>
      </c>
      <c r="AW589" t="inlineStr">
        <is>
          <t>991004142229702656</t>
        </is>
      </c>
      <c r="AX589" t="inlineStr">
        <is>
          <t>991004142229702656</t>
        </is>
      </c>
      <c r="AY589" t="inlineStr">
        <is>
          <t>2257412240002656</t>
        </is>
      </c>
      <c r="AZ589" t="inlineStr">
        <is>
          <t>BOOK</t>
        </is>
      </c>
      <c r="BB589" t="inlineStr">
        <is>
          <t>9780198231837</t>
        </is>
      </c>
      <c r="BC589" t="inlineStr">
        <is>
          <t>32285000315662</t>
        </is>
      </c>
      <c r="BD589" t="inlineStr">
        <is>
          <t>893618291</t>
        </is>
      </c>
    </row>
    <row r="590">
      <c r="A590" t="inlineStr">
        <is>
          <t>No</t>
        </is>
      </c>
      <c r="B590" t="inlineStr">
        <is>
          <t>GN308 .K87 1988</t>
        </is>
      </c>
      <c r="C590" t="inlineStr">
        <is>
          <t>0                      GN 0308000K  87          1988</t>
        </is>
      </c>
      <c r="D590" t="inlineStr">
        <is>
          <t>The invention of primitive society : transformations of an illusion / Adam Kuper.</t>
        </is>
      </c>
      <c r="F590" t="inlineStr">
        <is>
          <t>No</t>
        </is>
      </c>
      <c r="G590" t="inlineStr">
        <is>
          <t>1</t>
        </is>
      </c>
      <c r="H590" t="inlineStr">
        <is>
          <t>No</t>
        </is>
      </c>
      <c r="I590" t="inlineStr">
        <is>
          <t>No</t>
        </is>
      </c>
      <c r="J590" t="inlineStr">
        <is>
          <t>0</t>
        </is>
      </c>
      <c r="K590" t="inlineStr">
        <is>
          <t>Kuper, Adam.</t>
        </is>
      </c>
      <c r="L590" t="inlineStr">
        <is>
          <t>London ; New York : Routledge, 1988.</t>
        </is>
      </c>
      <c r="M590" t="inlineStr">
        <is>
          <t>1988</t>
        </is>
      </c>
      <c r="O590" t="inlineStr">
        <is>
          <t>eng</t>
        </is>
      </c>
      <c r="P590" t="inlineStr">
        <is>
          <t>enk</t>
        </is>
      </c>
      <c r="R590" t="inlineStr">
        <is>
          <t xml:space="preserve">GN </t>
        </is>
      </c>
      <c r="S590" t="n">
        <v>1</v>
      </c>
      <c r="T590" t="n">
        <v>1</v>
      </c>
      <c r="U590" t="inlineStr">
        <is>
          <t>1996-06-24</t>
        </is>
      </c>
      <c r="V590" t="inlineStr">
        <is>
          <t>1996-06-24</t>
        </is>
      </c>
      <c r="W590" t="inlineStr">
        <is>
          <t>1991-02-08</t>
        </is>
      </c>
      <c r="X590" t="inlineStr">
        <is>
          <t>1991-02-08</t>
        </is>
      </c>
      <c r="Y590" t="n">
        <v>639</v>
      </c>
      <c r="Z590" t="n">
        <v>415</v>
      </c>
      <c r="AA590" t="n">
        <v>415</v>
      </c>
      <c r="AB590" t="n">
        <v>4</v>
      </c>
      <c r="AC590" t="n">
        <v>4</v>
      </c>
      <c r="AD590" t="n">
        <v>22</v>
      </c>
      <c r="AE590" t="n">
        <v>22</v>
      </c>
      <c r="AF590" t="n">
        <v>9</v>
      </c>
      <c r="AG590" t="n">
        <v>9</v>
      </c>
      <c r="AH590" t="n">
        <v>6</v>
      </c>
      <c r="AI590" t="n">
        <v>6</v>
      </c>
      <c r="AJ590" t="n">
        <v>12</v>
      </c>
      <c r="AK590" t="n">
        <v>12</v>
      </c>
      <c r="AL590" t="n">
        <v>3</v>
      </c>
      <c r="AM590" t="n">
        <v>3</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HYPERLINK("https://creighton-primo.hosted.exlibrisgroup.com/primo-explore/search?tab=default_tab&amp;search_scope=EVERYTHING&amp;vid=01CRU&amp;lang=en_US&amp;offset=0&amp;query=any,contains,991001270779702656","Catalog Record")</f>
        <v/>
      </c>
      <c r="AT590">
        <f>HYPERLINK("http://www.worldcat.org/oclc/17841268","WorldCat Record")</f>
        <v/>
      </c>
      <c r="AU590" t="inlineStr">
        <is>
          <t>5090613092:eng</t>
        </is>
      </c>
      <c r="AV590" t="inlineStr">
        <is>
          <t>17841268</t>
        </is>
      </c>
      <c r="AW590" t="inlineStr">
        <is>
          <t>991001270779702656</t>
        </is>
      </c>
      <c r="AX590" t="inlineStr">
        <is>
          <t>991001270779702656</t>
        </is>
      </c>
      <c r="AY590" t="inlineStr">
        <is>
          <t>2268893460002656</t>
        </is>
      </c>
      <c r="AZ590" t="inlineStr">
        <is>
          <t>BOOK</t>
        </is>
      </c>
      <c r="BB590" t="inlineStr">
        <is>
          <t>9780415009034</t>
        </is>
      </c>
      <c r="BC590" t="inlineStr">
        <is>
          <t>32285000463488</t>
        </is>
      </c>
      <c r="BD590" t="inlineStr">
        <is>
          <t>893866105</t>
        </is>
      </c>
    </row>
    <row r="591">
      <c r="A591" t="inlineStr">
        <is>
          <t>No</t>
        </is>
      </c>
      <c r="B591" t="inlineStr">
        <is>
          <t>GN31 .K47</t>
        </is>
      </c>
      <c r="C591" t="inlineStr">
        <is>
          <t>0                      GN 0031000K  47</t>
        </is>
      </c>
      <c r="D591" t="inlineStr">
        <is>
          <t>Anthropology : the humanizing process / [by] Evelyn S. Kessler.</t>
        </is>
      </c>
      <c r="F591" t="inlineStr">
        <is>
          <t>No</t>
        </is>
      </c>
      <c r="G591" t="inlineStr">
        <is>
          <t>1</t>
        </is>
      </c>
      <c r="H591" t="inlineStr">
        <is>
          <t>No</t>
        </is>
      </c>
      <c r="I591" t="inlineStr">
        <is>
          <t>No</t>
        </is>
      </c>
      <c r="J591" t="inlineStr">
        <is>
          <t>0</t>
        </is>
      </c>
      <c r="K591" t="inlineStr">
        <is>
          <t>Kessler, Evelyn S. (Evelyn Seinfeld), 1919-</t>
        </is>
      </c>
      <c r="L591" t="inlineStr">
        <is>
          <t>Boston : Allyn and Bacon, [1974]</t>
        </is>
      </c>
      <c r="M591" t="inlineStr">
        <is>
          <t>1974</t>
        </is>
      </c>
      <c r="O591" t="inlineStr">
        <is>
          <t>eng</t>
        </is>
      </c>
      <c r="P591" t="inlineStr">
        <is>
          <t>mau</t>
        </is>
      </c>
      <c r="R591" t="inlineStr">
        <is>
          <t xml:space="preserve">GN </t>
        </is>
      </c>
      <c r="S591" t="n">
        <v>4</v>
      </c>
      <c r="T591" t="n">
        <v>4</v>
      </c>
      <c r="U591" t="inlineStr">
        <is>
          <t>1997-02-22</t>
        </is>
      </c>
      <c r="V591" t="inlineStr">
        <is>
          <t>1997-02-22</t>
        </is>
      </c>
      <c r="W591" t="inlineStr">
        <is>
          <t>1992-08-13</t>
        </is>
      </c>
      <c r="X591" t="inlineStr">
        <is>
          <t>1992-08-13</t>
        </is>
      </c>
      <c r="Y591" t="n">
        <v>254</v>
      </c>
      <c r="Z591" t="n">
        <v>229</v>
      </c>
      <c r="AA591" t="n">
        <v>232</v>
      </c>
      <c r="AB591" t="n">
        <v>3</v>
      </c>
      <c r="AC591" t="n">
        <v>3</v>
      </c>
      <c r="AD591" t="n">
        <v>6</v>
      </c>
      <c r="AE591" t="n">
        <v>6</v>
      </c>
      <c r="AF591" t="n">
        <v>1</v>
      </c>
      <c r="AG591" t="n">
        <v>1</v>
      </c>
      <c r="AH591" t="n">
        <v>2</v>
      </c>
      <c r="AI591" t="n">
        <v>2</v>
      </c>
      <c r="AJ591" t="n">
        <v>3</v>
      </c>
      <c r="AK591" t="n">
        <v>3</v>
      </c>
      <c r="AL591" t="n">
        <v>1</v>
      </c>
      <c r="AM591" t="n">
        <v>1</v>
      </c>
      <c r="AN591" t="n">
        <v>0</v>
      </c>
      <c r="AO591" t="n">
        <v>0</v>
      </c>
      <c r="AP591" t="inlineStr">
        <is>
          <t>No</t>
        </is>
      </c>
      <c r="AQ591" t="inlineStr">
        <is>
          <t>Yes</t>
        </is>
      </c>
      <c r="AR591">
        <f>HYPERLINK("http://catalog.hathitrust.org/Record/006293524","HathiTrust Record")</f>
        <v/>
      </c>
      <c r="AS591">
        <f>HYPERLINK("https://creighton-primo.hosted.exlibrisgroup.com/primo-explore/search?tab=default_tab&amp;search_scope=EVERYTHING&amp;vid=01CRU&amp;lang=en_US&amp;offset=0&amp;query=any,contains,991003361639702656","Catalog Record")</f>
        <v/>
      </c>
      <c r="AT591">
        <f>HYPERLINK("http://www.worldcat.org/oclc/897731","WorldCat Record")</f>
        <v/>
      </c>
      <c r="AU591" t="inlineStr">
        <is>
          <t>1884781:eng</t>
        </is>
      </c>
      <c r="AV591" t="inlineStr">
        <is>
          <t>897731</t>
        </is>
      </c>
      <c r="AW591" t="inlineStr">
        <is>
          <t>991003361639702656</t>
        </is>
      </c>
      <c r="AX591" t="inlineStr">
        <is>
          <t>991003361639702656</t>
        </is>
      </c>
      <c r="AY591" t="inlineStr">
        <is>
          <t>2257565510002656</t>
        </is>
      </c>
      <c r="AZ591" t="inlineStr">
        <is>
          <t>BOOK</t>
        </is>
      </c>
      <c r="BB591" t="inlineStr">
        <is>
          <t>9780205044153</t>
        </is>
      </c>
      <c r="BC591" t="inlineStr">
        <is>
          <t>32285001243962</t>
        </is>
      </c>
      <c r="BD591" t="inlineStr">
        <is>
          <t>893686480</t>
        </is>
      </c>
    </row>
    <row r="592">
      <c r="A592" t="inlineStr">
        <is>
          <t>No</t>
        </is>
      </c>
      <c r="B592" t="inlineStr">
        <is>
          <t>GN31.2 .F37</t>
        </is>
      </c>
      <c r="C592" t="inlineStr">
        <is>
          <t>0                      GN 0031200F  37</t>
        </is>
      </c>
      <c r="D592" t="inlineStr">
        <is>
          <t>Humankind / by Peter Farb. --</t>
        </is>
      </c>
      <c r="F592" t="inlineStr">
        <is>
          <t>No</t>
        </is>
      </c>
      <c r="G592" t="inlineStr">
        <is>
          <t>1</t>
        </is>
      </c>
      <c r="H592" t="inlineStr">
        <is>
          <t>No</t>
        </is>
      </c>
      <c r="I592" t="inlineStr">
        <is>
          <t>No</t>
        </is>
      </c>
      <c r="J592" t="inlineStr">
        <is>
          <t>0</t>
        </is>
      </c>
      <c r="K592" t="inlineStr">
        <is>
          <t>Farb, Peter.</t>
        </is>
      </c>
      <c r="L592" t="inlineStr">
        <is>
          <t>Boston : Houghton Mifflin, 1978.</t>
        </is>
      </c>
      <c r="M592" t="inlineStr">
        <is>
          <t>1978</t>
        </is>
      </c>
      <c r="O592" t="inlineStr">
        <is>
          <t>eng</t>
        </is>
      </c>
      <c r="P592" t="inlineStr">
        <is>
          <t>mau</t>
        </is>
      </c>
      <c r="R592" t="inlineStr">
        <is>
          <t xml:space="preserve">GN </t>
        </is>
      </c>
      <c r="S592" t="n">
        <v>6</v>
      </c>
      <c r="T592" t="n">
        <v>6</v>
      </c>
      <c r="U592" t="inlineStr">
        <is>
          <t>1995-02-16</t>
        </is>
      </c>
      <c r="V592" t="inlineStr">
        <is>
          <t>1995-02-16</t>
        </is>
      </c>
      <c r="W592" t="inlineStr">
        <is>
          <t>1990-06-22</t>
        </is>
      </c>
      <c r="X592" t="inlineStr">
        <is>
          <t>1990-06-22</t>
        </is>
      </c>
      <c r="Y592" t="n">
        <v>1025</v>
      </c>
      <c r="Z592" t="n">
        <v>961</v>
      </c>
      <c r="AA592" t="n">
        <v>1002</v>
      </c>
      <c r="AB592" t="n">
        <v>6</v>
      </c>
      <c r="AC592" t="n">
        <v>6</v>
      </c>
      <c r="AD592" t="n">
        <v>28</v>
      </c>
      <c r="AE592" t="n">
        <v>28</v>
      </c>
      <c r="AF592" t="n">
        <v>12</v>
      </c>
      <c r="AG592" t="n">
        <v>12</v>
      </c>
      <c r="AH592" t="n">
        <v>3</v>
      </c>
      <c r="AI592" t="n">
        <v>3</v>
      </c>
      <c r="AJ592" t="n">
        <v>16</v>
      </c>
      <c r="AK592" t="n">
        <v>16</v>
      </c>
      <c r="AL592" t="n">
        <v>5</v>
      </c>
      <c r="AM592" t="n">
        <v>5</v>
      </c>
      <c r="AN592" t="n">
        <v>1</v>
      </c>
      <c r="AO592" t="n">
        <v>1</v>
      </c>
      <c r="AP592" t="inlineStr">
        <is>
          <t>No</t>
        </is>
      </c>
      <c r="AQ592" t="inlineStr">
        <is>
          <t>Yes</t>
        </is>
      </c>
      <c r="AR592">
        <f>HYPERLINK("http://catalog.hathitrust.org/Record/000292364","HathiTrust Record")</f>
        <v/>
      </c>
      <c r="AS592">
        <f>HYPERLINK("https://creighton-primo.hosted.exlibrisgroup.com/primo-explore/search?tab=default_tab&amp;search_scope=EVERYTHING&amp;vid=01CRU&amp;lang=en_US&amp;offset=0&amp;query=any,contains,991004350769702656","Catalog Record")</f>
        <v/>
      </c>
      <c r="AT592">
        <f>HYPERLINK("http://www.worldcat.org/oclc/3119710","WorldCat Record")</f>
        <v/>
      </c>
      <c r="AU592" t="inlineStr">
        <is>
          <t>468087:eng</t>
        </is>
      </c>
      <c r="AV592" t="inlineStr">
        <is>
          <t>3119710</t>
        </is>
      </c>
      <c r="AW592" t="inlineStr">
        <is>
          <t>991004350769702656</t>
        </is>
      </c>
      <c r="AX592" t="inlineStr">
        <is>
          <t>991004350769702656</t>
        </is>
      </c>
      <c r="AY592" t="inlineStr">
        <is>
          <t>2269186710002656</t>
        </is>
      </c>
      <c r="AZ592" t="inlineStr">
        <is>
          <t>BOOK</t>
        </is>
      </c>
      <c r="BB592" t="inlineStr">
        <is>
          <t>9780395257104</t>
        </is>
      </c>
      <c r="BC592" t="inlineStr">
        <is>
          <t>32285000212547</t>
        </is>
      </c>
      <c r="BD592" t="inlineStr">
        <is>
          <t>893429953</t>
        </is>
      </c>
    </row>
    <row r="593">
      <c r="A593" t="inlineStr">
        <is>
          <t>No</t>
        </is>
      </c>
      <c r="B593" t="inlineStr">
        <is>
          <t>GN31.2 .H37 1989</t>
        </is>
      </c>
      <c r="C593" t="inlineStr">
        <is>
          <t>0                      GN 0031200H  37          1989</t>
        </is>
      </c>
      <c r="D593" t="inlineStr">
        <is>
          <t>Our kind : who we are, where we came from, where we are going / Marvin Harris.</t>
        </is>
      </c>
      <c r="F593" t="inlineStr">
        <is>
          <t>No</t>
        </is>
      </c>
      <c r="G593" t="inlineStr">
        <is>
          <t>1</t>
        </is>
      </c>
      <c r="H593" t="inlineStr">
        <is>
          <t>No</t>
        </is>
      </c>
      <c r="I593" t="inlineStr">
        <is>
          <t>No</t>
        </is>
      </c>
      <c r="J593" t="inlineStr">
        <is>
          <t>0</t>
        </is>
      </c>
      <c r="K593" t="inlineStr">
        <is>
          <t>Harris, Marvin, 1927-2001.</t>
        </is>
      </c>
      <c r="L593" t="inlineStr">
        <is>
          <t>New York : Harper &amp; Row, c1989.</t>
        </is>
      </c>
      <c r="M593" t="inlineStr">
        <is>
          <t>1989</t>
        </is>
      </c>
      <c r="N593" t="inlineStr">
        <is>
          <t>1st ed.</t>
        </is>
      </c>
      <c r="O593" t="inlineStr">
        <is>
          <t>eng</t>
        </is>
      </c>
      <c r="P593" t="inlineStr">
        <is>
          <t>nyu</t>
        </is>
      </c>
      <c r="R593" t="inlineStr">
        <is>
          <t xml:space="preserve">GN </t>
        </is>
      </c>
      <c r="S593" t="n">
        <v>10</v>
      </c>
      <c r="T593" t="n">
        <v>10</v>
      </c>
      <c r="U593" t="inlineStr">
        <is>
          <t>1997-02-22</t>
        </is>
      </c>
      <c r="V593" t="inlineStr">
        <is>
          <t>1997-02-22</t>
        </is>
      </c>
      <c r="W593" t="inlineStr">
        <is>
          <t>1991-02-01</t>
        </is>
      </c>
      <c r="X593" t="inlineStr">
        <is>
          <t>1991-02-01</t>
        </is>
      </c>
      <c r="Y593" t="n">
        <v>894</v>
      </c>
      <c r="Z593" t="n">
        <v>820</v>
      </c>
      <c r="AA593" t="n">
        <v>980</v>
      </c>
      <c r="AB593" t="n">
        <v>6</v>
      </c>
      <c r="AC593" t="n">
        <v>7</v>
      </c>
      <c r="AD593" t="n">
        <v>21</v>
      </c>
      <c r="AE593" t="n">
        <v>26</v>
      </c>
      <c r="AF593" t="n">
        <v>7</v>
      </c>
      <c r="AG593" t="n">
        <v>9</v>
      </c>
      <c r="AH593" t="n">
        <v>4</v>
      </c>
      <c r="AI593" t="n">
        <v>5</v>
      </c>
      <c r="AJ593" t="n">
        <v>12</v>
      </c>
      <c r="AK593" t="n">
        <v>15</v>
      </c>
      <c r="AL593" t="n">
        <v>4</v>
      </c>
      <c r="AM593" t="n">
        <v>5</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HYPERLINK("https://creighton-primo.hosted.exlibrisgroup.com/primo-explore/search?tab=default_tab&amp;search_scope=EVERYTHING&amp;vid=01CRU&amp;lang=en_US&amp;offset=0&amp;query=any,contains,991001475179702656","Catalog Record")</f>
        <v/>
      </c>
      <c r="AT593">
        <f>HYPERLINK("http://www.worldcat.org/oclc/19556007","WorldCat Record")</f>
        <v/>
      </c>
      <c r="AU593" t="inlineStr">
        <is>
          <t>2908632324:eng</t>
        </is>
      </c>
      <c r="AV593" t="inlineStr">
        <is>
          <t>19556007</t>
        </is>
      </c>
      <c r="AW593" t="inlineStr">
        <is>
          <t>991001475179702656</t>
        </is>
      </c>
      <c r="AX593" t="inlineStr">
        <is>
          <t>991001475179702656</t>
        </is>
      </c>
      <c r="AY593" t="inlineStr">
        <is>
          <t>2271118050002656</t>
        </is>
      </c>
      <c r="AZ593" t="inlineStr">
        <is>
          <t>BOOK</t>
        </is>
      </c>
      <c r="BB593" t="inlineStr">
        <is>
          <t>9780060157760</t>
        </is>
      </c>
      <c r="BC593" t="inlineStr">
        <is>
          <t>32285000463066</t>
        </is>
      </c>
      <c r="BD593" t="inlineStr">
        <is>
          <t>893709313</t>
        </is>
      </c>
    </row>
    <row r="594">
      <c r="A594" t="inlineStr">
        <is>
          <t>No</t>
        </is>
      </c>
      <c r="B594" t="inlineStr">
        <is>
          <t>GN31.2 .L43 1977</t>
        </is>
      </c>
      <c r="C594" t="inlineStr">
        <is>
          <t>0                      GN 0031200L  43          1977</t>
        </is>
      </c>
      <c r="D594" t="inlineStr">
        <is>
          <t>Origins : what new discoveries reveal about the emergence of our species and its possible future / Richard E. Leakey and Roger Lewin. --</t>
        </is>
      </c>
      <c r="F594" t="inlineStr">
        <is>
          <t>No</t>
        </is>
      </c>
      <c r="G594" t="inlineStr">
        <is>
          <t>1</t>
        </is>
      </c>
      <c r="H594" t="inlineStr">
        <is>
          <t>No</t>
        </is>
      </c>
      <c r="I594" t="inlineStr">
        <is>
          <t>No</t>
        </is>
      </c>
      <c r="J594" t="inlineStr">
        <is>
          <t>0</t>
        </is>
      </c>
      <c r="K594" t="inlineStr">
        <is>
          <t>Leakey, Richard E.</t>
        </is>
      </c>
      <c r="L594" t="inlineStr">
        <is>
          <t>New York : Dutton, c1977.</t>
        </is>
      </c>
      <c r="M594" t="inlineStr">
        <is>
          <t>1977</t>
        </is>
      </c>
      <c r="O594" t="inlineStr">
        <is>
          <t>eng</t>
        </is>
      </c>
      <c r="P594" t="inlineStr">
        <is>
          <t>nyu</t>
        </is>
      </c>
      <c r="R594" t="inlineStr">
        <is>
          <t xml:space="preserve">GN </t>
        </is>
      </c>
      <c r="S594" t="n">
        <v>12</v>
      </c>
      <c r="T594" t="n">
        <v>12</v>
      </c>
      <c r="U594" t="inlineStr">
        <is>
          <t>2007-07-23</t>
        </is>
      </c>
      <c r="V594" t="inlineStr">
        <is>
          <t>2007-07-23</t>
        </is>
      </c>
      <c r="W594" t="inlineStr">
        <is>
          <t>1990-06-06</t>
        </is>
      </c>
      <c r="X594" t="inlineStr">
        <is>
          <t>1990-06-06</t>
        </is>
      </c>
      <c r="Y594" t="n">
        <v>2627</v>
      </c>
      <c r="Z594" t="n">
        <v>2380</v>
      </c>
      <c r="AA594" t="n">
        <v>2638</v>
      </c>
      <c r="AB594" t="n">
        <v>19</v>
      </c>
      <c r="AC594" t="n">
        <v>22</v>
      </c>
      <c r="AD594" t="n">
        <v>51</v>
      </c>
      <c r="AE594" t="n">
        <v>54</v>
      </c>
      <c r="AF594" t="n">
        <v>20</v>
      </c>
      <c r="AG594" t="n">
        <v>21</v>
      </c>
      <c r="AH594" t="n">
        <v>9</v>
      </c>
      <c r="AI594" t="n">
        <v>9</v>
      </c>
      <c r="AJ594" t="n">
        <v>20</v>
      </c>
      <c r="AK594" t="n">
        <v>21</v>
      </c>
      <c r="AL594" t="n">
        <v>11</v>
      </c>
      <c r="AM594" t="n">
        <v>13</v>
      </c>
      <c r="AN594" t="n">
        <v>0</v>
      </c>
      <c r="AO594" t="n">
        <v>0</v>
      </c>
      <c r="AP594" t="inlineStr">
        <is>
          <t>No</t>
        </is>
      </c>
      <c r="AQ594" t="inlineStr">
        <is>
          <t>Yes</t>
        </is>
      </c>
      <c r="AR594">
        <f>HYPERLINK("http://catalog.hathitrust.org/Record/000749831","HathiTrust Record")</f>
        <v/>
      </c>
      <c r="AS594">
        <f>HYPERLINK("https://creighton-primo.hosted.exlibrisgroup.com/primo-explore/search?tab=default_tab&amp;search_scope=EVERYTHING&amp;vid=01CRU&amp;lang=en_US&amp;offset=0&amp;query=any,contains,991004412849702656","Catalog Record")</f>
        <v/>
      </c>
      <c r="AT594">
        <f>HYPERLINK("http://www.worldcat.org/oclc/3349989","WorldCat Record")</f>
        <v/>
      </c>
      <c r="AU594" t="inlineStr">
        <is>
          <t>10276181:eng</t>
        </is>
      </c>
      <c r="AV594" t="inlineStr">
        <is>
          <t>3349989</t>
        </is>
      </c>
      <c r="AW594" t="inlineStr">
        <is>
          <t>991004412849702656</t>
        </is>
      </c>
      <c r="AX594" t="inlineStr">
        <is>
          <t>991004412849702656</t>
        </is>
      </c>
      <c r="AY594" t="inlineStr">
        <is>
          <t>2262946160002656</t>
        </is>
      </c>
      <c r="AZ594" t="inlineStr">
        <is>
          <t>BOOK</t>
        </is>
      </c>
      <c r="BB594" t="inlineStr">
        <is>
          <t>9780525171942</t>
        </is>
      </c>
      <c r="BC594" t="inlineStr">
        <is>
          <t>32285000182633</t>
        </is>
      </c>
      <c r="BD594" t="inlineStr">
        <is>
          <t>893253663</t>
        </is>
      </c>
    </row>
    <row r="595">
      <c r="A595" t="inlineStr">
        <is>
          <t>No</t>
        </is>
      </c>
      <c r="B595" t="inlineStr">
        <is>
          <t>GN315 .B3 1965</t>
        </is>
      </c>
      <c r="C595" t="inlineStr">
        <is>
          <t>0                      GN 0315000B  3           1965</t>
        </is>
      </c>
      <c r="D595" t="inlineStr">
        <is>
          <t>Race: a study in superstition.</t>
        </is>
      </c>
      <c r="F595" t="inlineStr">
        <is>
          <t>No</t>
        </is>
      </c>
      <c r="G595" t="inlineStr">
        <is>
          <t>1</t>
        </is>
      </c>
      <c r="H595" t="inlineStr">
        <is>
          <t>No</t>
        </is>
      </c>
      <c r="I595" t="inlineStr">
        <is>
          <t>No</t>
        </is>
      </c>
      <c r="J595" t="inlineStr">
        <is>
          <t>0</t>
        </is>
      </c>
      <c r="K595" t="inlineStr">
        <is>
          <t>Barzun, Jacques, 1907-2012.</t>
        </is>
      </c>
      <c r="L595" t="inlineStr">
        <is>
          <t>New York, Harper &amp; Row [c1965]</t>
        </is>
      </c>
      <c r="M595" t="inlineStr">
        <is>
          <t>1965</t>
        </is>
      </c>
      <c r="N595" t="inlineStr">
        <is>
          <t>Rev., with a new pref.</t>
        </is>
      </c>
      <c r="O595" t="inlineStr">
        <is>
          <t>eng</t>
        </is>
      </c>
      <c r="P595" t="inlineStr">
        <is>
          <t>nyu</t>
        </is>
      </c>
      <c r="R595" t="inlineStr">
        <is>
          <t xml:space="preserve">GN </t>
        </is>
      </c>
      <c r="S595" t="n">
        <v>1</v>
      </c>
      <c r="T595" t="n">
        <v>1</v>
      </c>
      <c r="U595" t="inlineStr">
        <is>
          <t>1999-02-03</t>
        </is>
      </c>
      <c r="V595" t="inlineStr">
        <is>
          <t>1999-02-03</t>
        </is>
      </c>
      <c r="W595" t="inlineStr">
        <is>
          <t>1997-05-28</t>
        </is>
      </c>
      <c r="X595" t="inlineStr">
        <is>
          <t>1997-05-28</t>
        </is>
      </c>
      <c r="Y595" t="n">
        <v>1073</v>
      </c>
      <c r="Z595" t="n">
        <v>941</v>
      </c>
      <c r="AA595" t="n">
        <v>990</v>
      </c>
      <c r="AB595" t="n">
        <v>6</v>
      </c>
      <c r="AC595" t="n">
        <v>6</v>
      </c>
      <c r="AD595" t="n">
        <v>35</v>
      </c>
      <c r="AE595" t="n">
        <v>36</v>
      </c>
      <c r="AF595" t="n">
        <v>12</v>
      </c>
      <c r="AG595" t="n">
        <v>13</v>
      </c>
      <c r="AH595" t="n">
        <v>7</v>
      </c>
      <c r="AI595" t="n">
        <v>7</v>
      </c>
      <c r="AJ595" t="n">
        <v>17</v>
      </c>
      <c r="AK595" t="n">
        <v>18</v>
      </c>
      <c r="AL595" t="n">
        <v>5</v>
      </c>
      <c r="AM595" t="n">
        <v>5</v>
      </c>
      <c r="AN595" t="n">
        <v>0</v>
      </c>
      <c r="AO595" t="n">
        <v>0</v>
      </c>
      <c r="AP595" t="inlineStr">
        <is>
          <t>No</t>
        </is>
      </c>
      <c r="AQ595" t="inlineStr">
        <is>
          <t>Yes</t>
        </is>
      </c>
      <c r="AR595">
        <f>HYPERLINK("http://catalog.hathitrust.org/Record/001274456","HathiTrust Record")</f>
        <v/>
      </c>
      <c r="AS595">
        <f>HYPERLINK("https://creighton-primo.hosted.exlibrisgroup.com/primo-explore/search?tab=default_tab&amp;search_scope=EVERYTHING&amp;vid=01CRU&amp;lang=en_US&amp;offset=0&amp;query=any,contains,991002857379702656","Catalog Record")</f>
        <v/>
      </c>
      <c r="AT595">
        <f>HYPERLINK("http://www.worldcat.org/oclc/490789","WorldCat Record")</f>
        <v/>
      </c>
      <c r="AU595" t="inlineStr">
        <is>
          <t>29533748:eng</t>
        </is>
      </c>
      <c r="AV595" t="inlineStr">
        <is>
          <t>490789</t>
        </is>
      </c>
      <c r="AW595" t="inlineStr">
        <is>
          <t>991002857379702656</t>
        </is>
      </c>
      <c r="AX595" t="inlineStr">
        <is>
          <t>991002857379702656</t>
        </is>
      </c>
      <c r="AY595" t="inlineStr">
        <is>
          <t>2257460900002656</t>
        </is>
      </c>
      <c r="AZ595" t="inlineStr">
        <is>
          <t>BOOK</t>
        </is>
      </c>
      <c r="BC595" t="inlineStr">
        <is>
          <t>32285002695004</t>
        </is>
      </c>
      <c r="BD595" t="inlineStr">
        <is>
          <t>893610384</t>
        </is>
      </c>
    </row>
    <row r="596">
      <c r="A596" t="inlineStr">
        <is>
          <t>No</t>
        </is>
      </c>
      <c r="B596" t="inlineStr">
        <is>
          <t>GN315 .B464</t>
        </is>
      </c>
      <c r="C596" t="inlineStr">
        <is>
          <t>0                      GN 0315000B  464</t>
        </is>
      </c>
      <c r="D596" t="inlineStr">
        <is>
          <t>Hunters and gatherers today; a socioeconomic study of eleven such cultures in the twentieth century. Edited by M. G. Bicchieri.</t>
        </is>
      </c>
      <c r="F596" t="inlineStr">
        <is>
          <t>No</t>
        </is>
      </c>
      <c r="G596" t="inlineStr">
        <is>
          <t>1</t>
        </is>
      </c>
      <c r="H596" t="inlineStr">
        <is>
          <t>No</t>
        </is>
      </c>
      <c r="I596" t="inlineStr">
        <is>
          <t>No</t>
        </is>
      </c>
      <c r="J596" t="inlineStr">
        <is>
          <t>0</t>
        </is>
      </c>
      <c r="K596" t="inlineStr">
        <is>
          <t>Bicchieri, Marco Giuseppe.</t>
        </is>
      </c>
      <c r="L596" t="inlineStr">
        <is>
          <t>New York, Holt, Rinehart and Winston [1972]</t>
        </is>
      </c>
      <c r="M596" t="inlineStr">
        <is>
          <t>1972</t>
        </is>
      </c>
      <c r="O596" t="inlineStr">
        <is>
          <t>eng</t>
        </is>
      </c>
      <c r="P596" t="inlineStr">
        <is>
          <t>nyu</t>
        </is>
      </c>
      <c r="R596" t="inlineStr">
        <is>
          <t xml:space="preserve">GN </t>
        </is>
      </c>
      <c r="S596" t="n">
        <v>2</v>
      </c>
      <c r="T596" t="n">
        <v>2</v>
      </c>
      <c r="U596" t="inlineStr">
        <is>
          <t>1999-03-19</t>
        </is>
      </c>
      <c r="V596" t="inlineStr">
        <is>
          <t>1999-03-19</t>
        </is>
      </c>
      <c r="W596" t="inlineStr">
        <is>
          <t>1997-05-28</t>
        </is>
      </c>
      <c r="X596" t="inlineStr">
        <is>
          <t>1997-05-28</t>
        </is>
      </c>
      <c r="Y596" t="n">
        <v>692</v>
      </c>
      <c r="Z596" t="n">
        <v>533</v>
      </c>
      <c r="AA596" t="n">
        <v>577</v>
      </c>
      <c r="AB596" t="n">
        <v>6</v>
      </c>
      <c r="AC596" t="n">
        <v>8</v>
      </c>
      <c r="AD596" t="n">
        <v>20</v>
      </c>
      <c r="AE596" t="n">
        <v>23</v>
      </c>
      <c r="AF596" t="n">
        <v>5</v>
      </c>
      <c r="AG596" t="n">
        <v>5</v>
      </c>
      <c r="AH596" t="n">
        <v>3</v>
      </c>
      <c r="AI596" t="n">
        <v>3</v>
      </c>
      <c r="AJ596" t="n">
        <v>9</v>
      </c>
      <c r="AK596" t="n">
        <v>10</v>
      </c>
      <c r="AL596" t="n">
        <v>5</v>
      </c>
      <c r="AM596" t="n">
        <v>7</v>
      </c>
      <c r="AN596" t="n">
        <v>0</v>
      </c>
      <c r="AO596" t="n">
        <v>0</v>
      </c>
      <c r="AP596" t="inlineStr">
        <is>
          <t>No</t>
        </is>
      </c>
      <c r="AQ596" t="inlineStr">
        <is>
          <t>Yes</t>
        </is>
      </c>
      <c r="AR596">
        <f>HYPERLINK("http://catalog.hathitrust.org/Record/000005627","HathiTrust Record")</f>
        <v/>
      </c>
      <c r="AS596">
        <f>HYPERLINK("https://creighton-primo.hosted.exlibrisgroup.com/primo-explore/search?tab=default_tab&amp;search_scope=EVERYTHING&amp;vid=01CRU&amp;lang=en_US&amp;offset=0&amp;query=any,contains,991002692899702656","Catalog Record")</f>
        <v/>
      </c>
      <c r="AT596">
        <f>HYPERLINK("http://www.worldcat.org/oclc/402163","WorldCat Record")</f>
        <v/>
      </c>
      <c r="AU596" t="inlineStr">
        <is>
          <t>889215767:eng</t>
        </is>
      </c>
      <c r="AV596" t="inlineStr">
        <is>
          <t>402163</t>
        </is>
      </c>
      <c r="AW596" t="inlineStr">
        <is>
          <t>991002692899702656</t>
        </is>
      </c>
      <c r="AX596" t="inlineStr">
        <is>
          <t>991002692899702656</t>
        </is>
      </c>
      <c r="AY596" t="inlineStr">
        <is>
          <t>2267669960002656</t>
        </is>
      </c>
      <c r="AZ596" t="inlineStr">
        <is>
          <t>BOOK</t>
        </is>
      </c>
      <c r="BB596" t="inlineStr">
        <is>
          <t>9780030768651</t>
        </is>
      </c>
      <c r="BC596" t="inlineStr">
        <is>
          <t>32285002695038</t>
        </is>
      </c>
      <c r="BD596" t="inlineStr">
        <is>
          <t>893427897</t>
        </is>
      </c>
    </row>
    <row r="597">
      <c r="A597" t="inlineStr">
        <is>
          <t>No</t>
        </is>
      </c>
      <c r="B597" t="inlineStr">
        <is>
          <t>GN315 .C66</t>
        </is>
      </c>
      <c r="C597" t="inlineStr">
        <is>
          <t>0                      GN 0315000C  66</t>
        </is>
      </c>
      <c r="D597" t="inlineStr">
        <is>
          <t>The living races of man, by Carleton S. Coon with Edward E. Hunt, Jr.</t>
        </is>
      </c>
      <c r="F597" t="inlineStr">
        <is>
          <t>No</t>
        </is>
      </c>
      <c r="G597" t="inlineStr">
        <is>
          <t>1</t>
        </is>
      </c>
      <c r="H597" t="inlineStr">
        <is>
          <t>No</t>
        </is>
      </c>
      <c r="I597" t="inlineStr">
        <is>
          <t>No</t>
        </is>
      </c>
      <c r="J597" t="inlineStr">
        <is>
          <t>0</t>
        </is>
      </c>
      <c r="K597" t="inlineStr">
        <is>
          <t>Coon, Carleton S. (Carleton Stevens), 1904-1981.</t>
        </is>
      </c>
      <c r="L597" t="inlineStr">
        <is>
          <t>New York, Knopf, 1965.</t>
        </is>
      </c>
      <c r="M597" t="inlineStr">
        <is>
          <t>1965</t>
        </is>
      </c>
      <c r="N597" t="inlineStr">
        <is>
          <t>[1st ed.]</t>
        </is>
      </c>
      <c r="O597" t="inlineStr">
        <is>
          <t>eng</t>
        </is>
      </c>
      <c r="P597" t="inlineStr">
        <is>
          <t xml:space="preserve">xx </t>
        </is>
      </c>
      <c r="R597" t="inlineStr">
        <is>
          <t xml:space="preserve">GN </t>
        </is>
      </c>
      <c r="S597" t="n">
        <v>5</v>
      </c>
      <c r="T597" t="n">
        <v>5</v>
      </c>
      <c r="U597" t="inlineStr">
        <is>
          <t>2006-05-02</t>
        </is>
      </c>
      <c r="V597" t="inlineStr">
        <is>
          <t>2006-05-02</t>
        </is>
      </c>
      <c r="W597" t="inlineStr">
        <is>
          <t>1997-05-28</t>
        </is>
      </c>
      <c r="X597" t="inlineStr">
        <is>
          <t>1997-05-28</t>
        </is>
      </c>
      <c r="Y597" t="n">
        <v>1222</v>
      </c>
      <c r="Z597" t="n">
        <v>1131</v>
      </c>
      <c r="AA597" t="n">
        <v>1179</v>
      </c>
      <c r="AB597" t="n">
        <v>9</v>
      </c>
      <c r="AC597" t="n">
        <v>10</v>
      </c>
      <c r="AD597" t="n">
        <v>34</v>
      </c>
      <c r="AE597" t="n">
        <v>35</v>
      </c>
      <c r="AF597" t="n">
        <v>11</v>
      </c>
      <c r="AG597" t="n">
        <v>12</v>
      </c>
      <c r="AH597" t="n">
        <v>5</v>
      </c>
      <c r="AI597" t="n">
        <v>5</v>
      </c>
      <c r="AJ597" t="n">
        <v>18</v>
      </c>
      <c r="AK597" t="n">
        <v>18</v>
      </c>
      <c r="AL597" t="n">
        <v>7</v>
      </c>
      <c r="AM597" t="n">
        <v>7</v>
      </c>
      <c r="AN597" t="n">
        <v>0</v>
      </c>
      <c r="AO597" t="n">
        <v>0</v>
      </c>
      <c r="AP597" t="inlineStr">
        <is>
          <t>No</t>
        </is>
      </c>
      <c r="AQ597" t="inlineStr">
        <is>
          <t>Yes</t>
        </is>
      </c>
      <c r="AR597">
        <f>HYPERLINK("http://catalog.hathitrust.org/Record/001274462","HathiTrust Record")</f>
        <v/>
      </c>
      <c r="AS597">
        <f>HYPERLINK("https://creighton-primo.hosted.exlibrisgroup.com/primo-explore/search?tab=default_tab&amp;search_scope=EVERYTHING&amp;vid=01CRU&amp;lang=en_US&amp;offset=0&amp;query=any,contains,991002671949702656","Catalog Record")</f>
        <v/>
      </c>
      <c r="AT597">
        <f>HYPERLINK("http://www.worldcat.org/oclc/395579","WorldCat Record")</f>
        <v/>
      </c>
      <c r="AU597" t="inlineStr">
        <is>
          <t>136926632:eng</t>
        </is>
      </c>
      <c r="AV597" t="inlineStr">
        <is>
          <t>395579</t>
        </is>
      </c>
      <c r="AW597" t="inlineStr">
        <is>
          <t>991002671949702656</t>
        </is>
      </c>
      <c r="AX597" t="inlineStr">
        <is>
          <t>991002671949702656</t>
        </is>
      </c>
      <c r="AY597" t="inlineStr">
        <is>
          <t>2260676260002656</t>
        </is>
      </c>
      <c r="AZ597" t="inlineStr">
        <is>
          <t>BOOK</t>
        </is>
      </c>
      <c r="BC597" t="inlineStr">
        <is>
          <t>32285002695046</t>
        </is>
      </c>
      <c r="BD597" t="inlineStr">
        <is>
          <t>893427862</t>
        </is>
      </c>
    </row>
    <row r="598">
      <c r="A598" t="inlineStr">
        <is>
          <t>No</t>
        </is>
      </c>
      <c r="B598" t="inlineStr">
        <is>
          <t>GN315 .H36</t>
        </is>
      </c>
      <c r="C598" t="inlineStr">
        <is>
          <t>0                      GN 0315000H  36</t>
        </is>
      </c>
      <c r="D598" t="inlineStr">
        <is>
          <t>Theories of man and culture [by] Elvin Hatch.</t>
        </is>
      </c>
      <c r="F598" t="inlineStr">
        <is>
          <t>No</t>
        </is>
      </c>
      <c r="G598" t="inlineStr">
        <is>
          <t>1</t>
        </is>
      </c>
      <c r="H598" t="inlineStr">
        <is>
          <t>No</t>
        </is>
      </c>
      <c r="I598" t="inlineStr">
        <is>
          <t>No</t>
        </is>
      </c>
      <c r="J598" t="inlineStr">
        <is>
          <t>0</t>
        </is>
      </c>
      <c r="K598" t="inlineStr">
        <is>
          <t>Hatch, Elvin.</t>
        </is>
      </c>
      <c r="L598" t="inlineStr">
        <is>
          <t>New York, Columbia University Press, 1973.</t>
        </is>
      </c>
      <c r="M598" t="inlineStr">
        <is>
          <t>1973</t>
        </is>
      </c>
      <c r="O598" t="inlineStr">
        <is>
          <t>eng</t>
        </is>
      </c>
      <c r="P598" t="inlineStr">
        <is>
          <t>nyu</t>
        </is>
      </c>
      <c r="R598" t="inlineStr">
        <is>
          <t xml:space="preserve">GN </t>
        </is>
      </c>
      <c r="S598" t="n">
        <v>1</v>
      </c>
      <c r="T598" t="n">
        <v>1</v>
      </c>
      <c r="U598" t="inlineStr">
        <is>
          <t>2009-04-20</t>
        </is>
      </c>
      <c r="V598" t="inlineStr">
        <is>
          <t>2009-04-20</t>
        </is>
      </c>
      <c r="W598" t="inlineStr">
        <is>
          <t>1997-05-28</t>
        </is>
      </c>
      <c r="X598" t="inlineStr">
        <is>
          <t>1997-05-28</t>
        </is>
      </c>
      <c r="Y598" t="n">
        <v>1041</v>
      </c>
      <c r="Z598" t="n">
        <v>861</v>
      </c>
      <c r="AA598" t="n">
        <v>908</v>
      </c>
      <c r="AB598" t="n">
        <v>8</v>
      </c>
      <c r="AC598" t="n">
        <v>8</v>
      </c>
      <c r="AD598" t="n">
        <v>37</v>
      </c>
      <c r="AE598" t="n">
        <v>38</v>
      </c>
      <c r="AF598" t="n">
        <v>13</v>
      </c>
      <c r="AG598" t="n">
        <v>14</v>
      </c>
      <c r="AH598" t="n">
        <v>7</v>
      </c>
      <c r="AI598" t="n">
        <v>7</v>
      </c>
      <c r="AJ598" t="n">
        <v>16</v>
      </c>
      <c r="AK598" t="n">
        <v>17</v>
      </c>
      <c r="AL598" t="n">
        <v>7</v>
      </c>
      <c r="AM598" t="n">
        <v>7</v>
      </c>
      <c r="AN598" t="n">
        <v>1</v>
      </c>
      <c r="AO598" t="n">
        <v>1</v>
      </c>
      <c r="AP598" t="inlineStr">
        <is>
          <t>No</t>
        </is>
      </c>
      <c r="AQ598" t="inlineStr">
        <is>
          <t>No</t>
        </is>
      </c>
      <c r="AS598">
        <f>HYPERLINK("https://creighton-primo.hosted.exlibrisgroup.com/primo-explore/search?tab=default_tab&amp;search_scope=EVERYTHING&amp;vid=01CRU&amp;lang=en_US&amp;offset=0&amp;query=any,contains,991003005749702656","Catalog Record")</f>
        <v/>
      </c>
      <c r="AT598">
        <f>HYPERLINK("http://www.worldcat.org/oclc/572862","WorldCat Record")</f>
        <v/>
      </c>
      <c r="AU598" t="inlineStr">
        <is>
          <t>1089277:eng</t>
        </is>
      </c>
      <c r="AV598" t="inlineStr">
        <is>
          <t>572862</t>
        </is>
      </c>
      <c r="AW598" t="inlineStr">
        <is>
          <t>991003005749702656</t>
        </is>
      </c>
      <c r="AX598" t="inlineStr">
        <is>
          <t>991003005749702656</t>
        </is>
      </c>
      <c r="AY598" t="inlineStr">
        <is>
          <t>2272572560002656</t>
        </is>
      </c>
      <c r="AZ598" t="inlineStr">
        <is>
          <t>BOOK</t>
        </is>
      </c>
      <c r="BB598" t="inlineStr">
        <is>
          <t>9780231036382</t>
        </is>
      </c>
      <c r="BC598" t="inlineStr">
        <is>
          <t>32285002695061</t>
        </is>
      </c>
      <c r="BD598" t="inlineStr">
        <is>
          <t>893323636</t>
        </is>
      </c>
    </row>
    <row r="599">
      <c r="A599" t="inlineStr">
        <is>
          <t>No</t>
        </is>
      </c>
      <c r="B599" t="inlineStr">
        <is>
          <t>GN315 .M55 1964</t>
        </is>
      </c>
      <c r="C599" t="inlineStr">
        <is>
          <t>0                      GN 0315000M  55          1964</t>
        </is>
      </c>
      <c r="D599" t="inlineStr">
        <is>
          <t>Man's most dangerous myth : the fallacy of race.</t>
        </is>
      </c>
      <c r="F599" t="inlineStr">
        <is>
          <t>No</t>
        </is>
      </c>
      <c r="G599" t="inlineStr">
        <is>
          <t>1</t>
        </is>
      </c>
      <c r="H599" t="inlineStr">
        <is>
          <t>No</t>
        </is>
      </c>
      <c r="I599" t="inlineStr">
        <is>
          <t>No</t>
        </is>
      </c>
      <c r="J599" t="inlineStr">
        <is>
          <t>0</t>
        </is>
      </c>
      <c r="K599" t="inlineStr">
        <is>
          <t>Montagu, Ashley, 1905-1999.</t>
        </is>
      </c>
      <c r="L599" t="inlineStr">
        <is>
          <t>Cleveland : World Pub. Co., [1964]</t>
        </is>
      </c>
      <c r="M599" t="inlineStr">
        <is>
          <t>1964</t>
        </is>
      </c>
      <c r="N599" t="inlineStr">
        <is>
          <t>4th ed., rev. and enl.</t>
        </is>
      </c>
      <c r="O599" t="inlineStr">
        <is>
          <t>eng</t>
        </is>
      </c>
      <c r="P599" t="inlineStr">
        <is>
          <t>ohu</t>
        </is>
      </c>
      <c r="R599" t="inlineStr">
        <is>
          <t xml:space="preserve">GN </t>
        </is>
      </c>
      <c r="S599" t="n">
        <v>2</v>
      </c>
      <c r="T599" t="n">
        <v>2</v>
      </c>
      <c r="U599" t="inlineStr">
        <is>
          <t>1996-02-23</t>
        </is>
      </c>
      <c r="V599" t="inlineStr">
        <is>
          <t>1996-02-23</t>
        </is>
      </c>
      <c r="W599" t="inlineStr">
        <is>
          <t>1991-12-09</t>
        </is>
      </c>
      <c r="X599" t="inlineStr">
        <is>
          <t>1991-12-09</t>
        </is>
      </c>
      <c r="Y599" t="n">
        <v>1100</v>
      </c>
      <c r="Z599" t="n">
        <v>1038</v>
      </c>
      <c r="AA599" t="n">
        <v>2049</v>
      </c>
      <c r="AB599" t="n">
        <v>9</v>
      </c>
      <c r="AC599" t="n">
        <v>19</v>
      </c>
      <c r="AD599" t="n">
        <v>36</v>
      </c>
      <c r="AE599" t="n">
        <v>64</v>
      </c>
      <c r="AF599" t="n">
        <v>11</v>
      </c>
      <c r="AG599" t="n">
        <v>25</v>
      </c>
      <c r="AH599" t="n">
        <v>7</v>
      </c>
      <c r="AI599" t="n">
        <v>10</v>
      </c>
      <c r="AJ599" t="n">
        <v>13</v>
      </c>
      <c r="AK599" t="n">
        <v>25</v>
      </c>
      <c r="AL599" t="n">
        <v>8</v>
      </c>
      <c r="AM599" t="n">
        <v>15</v>
      </c>
      <c r="AN599" t="n">
        <v>2</v>
      </c>
      <c r="AO599" t="n">
        <v>3</v>
      </c>
      <c r="AP599" t="inlineStr">
        <is>
          <t>No</t>
        </is>
      </c>
      <c r="AQ599" t="inlineStr">
        <is>
          <t>Yes</t>
        </is>
      </c>
      <c r="AR599">
        <f>HYPERLINK("http://catalog.hathitrust.org/Record/001274399","HathiTrust Record")</f>
        <v/>
      </c>
      <c r="AS599">
        <f>HYPERLINK("https://creighton-primo.hosted.exlibrisgroup.com/primo-explore/search?tab=default_tab&amp;search_scope=EVERYTHING&amp;vid=01CRU&amp;lang=en_US&amp;offset=0&amp;query=any,contains,991002993339702656","Catalog Record")</f>
        <v/>
      </c>
      <c r="AT599">
        <f>HYPERLINK("http://www.worldcat.org/oclc/562011","WorldCat Record")</f>
        <v/>
      </c>
      <c r="AU599" t="inlineStr">
        <is>
          <t>197409070:eng</t>
        </is>
      </c>
      <c r="AV599" t="inlineStr">
        <is>
          <t>562011</t>
        </is>
      </c>
      <c r="AW599" t="inlineStr">
        <is>
          <t>991002993339702656</t>
        </is>
      </c>
      <c r="AX599" t="inlineStr">
        <is>
          <t>991002993339702656</t>
        </is>
      </c>
      <c r="AY599" t="inlineStr">
        <is>
          <t>2254808700002656</t>
        </is>
      </c>
      <c r="AZ599" t="inlineStr">
        <is>
          <t>BOOK</t>
        </is>
      </c>
      <c r="BC599" t="inlineStr">
        <is>
          <t>32285000848738</t>
        </is>
      </c>
      <c r="BD599" t="inlineStr">
        <is>
          <t>893805307</t>
        </is>
      </c>
    </row>
    <row r="600">
      <c r="A600" t="inlineStr">
        <is>
          <t>No</t>
        </is>
      </c>
      <c r="B600" t="inlineStr">
        <is>
          <t>GN316 .F73 1979</t>
        </is>
      </c>
      <c r="C600" t="inlineStr">
        <is>
          <t>0                      GN 0316000F  73          1979</t>
        </is>
      </c>
      <c r="D600" t="inlineStr">
        <is>
          <t>Main trends in social and cultural anthropology / by Maurice Freedman.</t>
        </is>
      </c>
      <c r="F600" t="inlineStr">
        <is>
          <t>No</t>
        </is>
      </c>
      <c r="G600" t="inlineStr">
        <is>
          <t>1</t>
        </is>
      </c>
      <c r="H600" t="inlineStr">
        <is>
          <t>No</t>
        </is>
      </c>
      <c r="I600" t="inlineStr">
        <is>
          <t>No</t>
        </is>
      </c>
      <c r="J600" t="inlineStr">
        <is>
          <t>0</t>
        </is>
      </c>
      <c r="K600" t="inlineStr">
        <is>
          <t>Freedman, Maurice, 1920-1975</t>
        </is>
      </c>
      <c r="L600" t="inlineStr">
        <is>
          <t>New York : Holmes &amp; Meier, 1979, c1978.</t>
        </is>
      </c>
      <c r="M600" t="inlineStr">
        <is>
          <t>1979</t>
        </is>
      </c>
      <c r="O600" t="inlineStr">
        <is>
          <t>eng</t>
        </is>
      </c>
      <c r="P600" t="inlineStr">
        <is>
          <t>nyu</t>
        </is>
      </c>
      <c r="Q600" t="inlineStr">
        <is>
          <t>Main trends in the social and human sciences ; 1</t>
        </is>
      </c>
      <c r="R600" t="inlineStr">
        <is>
          <t xml:space="preserve">GN </t>
        </is>
      </c>
      <c r="S600" t="n">
        <v>3</v>
      </c>
      <c r="T600" t="n">
        <v>3</v>
      </c>
      <c r="U600" t="inlineStr">
        <is>
          <t>1999-02-03</t>
        </is>
      </c>
      <c r="V600" t="inlineStr">
        <is>
          <t>1999-02-03</t>
        </is>
      </c>
      <c r="W600" t="inlineStr">
        <is>
          <t>1990-09-20</t>
        </is>
      </c>
      <c r="X600" t="inlineStr">
        <is>
          <t>1990-09-20</t>
        </is>
      </c>
      <c r="Y600" t="n">
        <v>266</v>
      </c>
      <c r="Z600" t="n">
        <v>193</v>
      </c>
      <c r="AA600" t="n">
        <v>199</v>
      </c>
      <c r="AB600" t="n">
        <v>2</v>
      </c>
      <c r="AC600" t="n">
        <v>2</v>
      </c>
      <c r="AD600" t="n">
        <v>9</v>
      </c>
      <c r="AE600" t="n">
        <v>9</v>
      </c>
      <c r="AF600" t="n">
        <v>1</v>
      </c>
      <c r="AG600" t="n">
        <v>1</v>
      </c>
      <c r="AH600" t="n">
        <v>3</v>
      </c>
      <c r="AI600" t="n">
        <v>3</v>
      </c>
      <c r="AJ600" t="n">
        <v>6</v>
      </c>
      <c r="AK600" t="n">
        <v>6</v>
      </c>
      <c r="AL600" t="n">
        <v>1</v>
      </c>
      <c r="AM600" t="n">
        <v>1</v>
      </c>
      <c r="AN600" t="n">
        <v>0</v>
      </c>
      <c r="AO600" t="n">
        <v>0</v>
      </c>
      <c r="AP600" t="inlineStr">
        <is>
          <t>No</t>
        </is>
      </c>
      <c r="AQ600" t="inlineStr">
        <is>
          <t>Yes</t>
        </is>
      </c>
      <c r="AR600">
        <f>HYPERLINK("http://catalog.hathitrust.org/Record/007116031","HathiTrust Record")</f>
        <v/>
      </c>
      <c r="AS600">
        <f>HYPERLINK("https://creighton-primo.hosted.exlibrisgroup.com/primo-explore/search?tab=default_tab&amp;search_scope=EVERYTHING&amp;vid=01CRU&amp;lang=en_US&amp;offset=0&amp;query=any,contains,991004751229702656","Catalog Record")</f>
        <v/>
      </c>
      <c r="AT600">
        <f>HYPERLINK("http://www.worldcat.org/oclc/4933783","WorldCat Record")</f>
        <v/>
      </c>
      <c r="AU600" t="inlineStr">
        <is>
          <t>505706:eng</t>
        </is>
      </c>
      <c r="AV600" t="inlineStr">
        <is>
          <t>4933783</t>
        </is>
      </c>
      <c r="AW600" t="inlineStr">
        <is>
          <t>991004751229702656</t>
        </is>
      </c>
      <c r="AX600" t="inlineStr">
        <is>
          <t>991004751229702656</t>
        </is>
      </c>
      <c r="AY600" t="inlineStr">
        <is>
          <t>2269041020002656</t>
        </is>
      </c>
      <c r="AZ600" t="inlineStr">
        <is>
          <t>BOOK</t>
        </is>
      </c>
      <c r="BB600" t="inlineStr">
        <is>
          <t>9780841905047</t>
        </is>
      </c>
      <c r="BC600" t="inlineStr">
        <is>
          <t>32285000315688</t>
        </is>
      </c>
      <c r="BD600" t="inlineStr">
        <is>
          <t>893706795</t>
        </is>
      </c>
    </row>
    <row r="601">
      <c r="A601" t="inlineStr">
        <is>
          <t>No</t>
        </is>
      </c>
      <c r="B601" t="inlineStr">
        <is>
          <t>GN316 .H46 1999</t>
        </is>
      </c>
      <c r="C601" t="inlineStr">
        <is>
          <t>0                      GN 0316000H  46          1999</t>
        </is>
      </c>
      <c r="D601" t="inlineStr">
        <is>
          <t>Other people's worlds : an introduction to cultural and social anthropology / Joy Hendry.</t>
        </is>
      </c>
      <c r="F601" t="inlineStr">
        <is>
          <t>No</t>
        </is>
      </c>
      <c r="G601" t="inlineStr">
        <is>
          <t>1</t>
        </is>
      </c>
      <c r="H601" t="inlineStr">
        <is>
          <t>No</t>
        </is>
      </c>
      <c r="I601" t="inlineStr">
        <is>
          <t>No</t>
        </is>
      </c>
      <c r="J601" t="inlineStr">
        <is>
          <t>0</t>
        </is>
      </c>
      <c r="K601" t="inlineStr">
        <is>
          <t>Hendry, Joy.</t>
        </is>
      </c>
      <c r="L601" t="inlineStr">
        <is>
          <t>New York : New York University Press, 1999.</t>
        </is>
      </c>
      <c r="M601" t="inlineStr">
        <is>
          <t>1999</t>
        </is>
      </c>
      <c r="O601" t="inlineStr">
        <is>
          <t>eng</t>
        </is>
      </c>
      <c r="P601" t="inlineStr">
        <is>
          <t>nyu</t>
        </is>
      </c>
      <c r="R601" t="inlineStr">
        <is>
          <t xml:space="preserve">GN </t>
        </is>
      </c>
      <c r="S601" t="n">
        <v>1</v>
      </c>
      <c r="T601" t="n">
        <v>1</v>
      </c>
      <c r="U601" t="inlineStr">
        <is>
          <t>2002-10-16</t>
        </is>
      </c>
      <c r="V601" t="inlineStr">
        <is>
          <t>2002-10-16</t>
        </is>
      </c>
      <c r="W601" t="inlineStr">
        <is>
          <t>2000-07-25</t>
        </is>
      </c>
      <c r="X601" t="inlineStr">
        <is>
          <t>2000-07-25</t>
        </is>
      </c>
      <c r="Y601" t="n">
        <v>282</v>
      </c>
      <c r="Z601" t="n">
        <v>228</v>
      </c>
      <c r="AA601" t="n">
        <v>235</v>
      </c>
      <c r="AB601" t="n">
        <v>4</v>
      </c>
      <c r="AC601" t="n">
        <v>4</v>
      </c>
      <c r="AD601" t="n">
        <v>11</v>
      </c>
      <c r="AE601" t="n">
        <v>11</v>
      </c>
      <c r="AF601" t="n">
        <v>2</v>
      </c>
      <c r="AG601" t="n">
        <v>2</v>
      </c>
      <c r="AH601" t="n">
        <v>3</v>
      </c>
      <c r="AI601" t="n">
        <v>3</v>
      </c>
      <c r="AJ601" t="n">
        <v>5</v>
      </c>
      <c r="AK601" t="n">
        <v>5</v>
      </c>
      <c r="AL601" t="n">
        <v>3</v>
      </c>
      <c r="AM601" t="n">
        <v>3</v>
      </c>
      <c r="AN601" t="n">
        <v>0</v>
      </c>
      <c r="AO601" t="n">
        <v>0</v>
      </c>
      <c r="AP601" t="inlineStr">
        <is>
          <t>No</t>
        </is>
      </c>
      <c r="AQ601" t="inlineStr">
        <is>
          <t>Yes</t>
        </is>
      </c>
      <c r="AR601">
        <f>HYPERLINK("http://catalog.hathitrust.org/Record/004051004","HathiTrust Record")</f>
        <v/>
      </c>
      <c r="AS601">
        <f>HYPERLINK("https://creighton-primo.hosted.exlibrisgroup.com/primo-explore/search?tab=default_tab&amp;search_scope=EVERYTHING&amp;vid=01CRU&amp;lang=en_US&amp;offset=0&amp;query=any,contains,991003216649702656","Catalog Record")</f>
        <v/>
      </c>
      <c r="AT601">
        <f>HYPERLINK("http://www.worldcat.org/oclc/40467404","WorldCat Record")</f>
        <v/>
      </c>
      <c r="AU601" t="inlineStr">
        <is>
          <t>2945984891:eng</t>
        </is>
      </c>
      <c r="AV601" t="inlineStr">
        <is>
          <t>40467404</t>
        </is>
      </c>
      <c r="AW601" t="inlineStr">
        <is>
          <t>991003216649702656</t>
        </is>
      </c>
      <c r="AX601" t="inlineStr">
        <is>
          <t>991003216649702656</t>
        </is>
      </c>
      <c r="AY601" t="inlineStr">
        <is>
          <t>2266986590002656</t>
        </is>
      </c>
      <c r="AZ601" t="inlineStr">
        <is>
          <t>BOOK</t>
        </is>
      </c>
      <c r="BB601" t="inlineStr">
        <is>
          <t>9780814736012</t>
        </is>
      </c>
      <c r="BC601" t="inlineStr">
        <is>
          <t>32285003741963</t>
        </is>
      </c>
      <c r="BD601" t="inlineStr">
        <is>
          <t>893511692</t>
        </is>
      </c>
    </row>
    <row r="602">
      <c r="A602" t="inlineStr">
        <is>
          <t>No</t>
        </is>
      </c>
      <c r="B602" t="inlineStr">
        <is>
          <t>GN316 .P33 1980</t>
        </is>
      </c>
      <c r="C602" t="inlineStr">
        <is>
          <t>0                      GN 0316000P  33          1980</t>
        </is>
      </c>
      <c r="D602" t="inlineStr">
        <is>
          <t>The human direction : an evolutionary approach to social and cultural anthropology / James Peacock, A. Thomas Kirsch.</t>
        </is>
      </c>
      <c r="F602" t="inlineStr">
        <is>
          <t>No</t>
        </is>
      </c>
      <c r="G602" t="inlineStr">
        <is>
          <t>1</t>
        </is>
      </c>
      <c r="H602" t="inlineStr">
        <is>
          <t>No</t>
        </is>
      </c>
      <c r="I602" t="inlineStr">
        <is>
          <t>No</t>
        </is>
      </c>
      <c r="J602" t="inlineStr">
        <is>
          <t>0</t>
        </is>
      </c>
      <c r="K602" t="inlineStr">
        <is>
          <t>Peacock, James L.</t>
        </is>
      </c>
      <c r="L602" t="inlineStr">
        <is>
          <t>Englewood Cliffs, N.J. : Prentice Hall, c1980.</t>
        </is>
      </c>
      <c r="M602" t="inlineStr">
        <is>
          <t>1980</t>
        </is>
      </c>
      <c r="N602" t="inlineStr">
        <is>
          <t>3d ed.</t>
        </is>
      </c>
      <c r="O602" t="inlineStr">
        <is>
          <t>eng</t>
        </is>
      </c>
      <c r="P602" t="inlineStr">
        <is>
          <t>nju</t>
        </is>
      </c>
      <c r="R602" t="inlineStr">
        <is>
          <t xml:space="preserve">GN </t>
        </is>
      </c>
      <c r="S602" t="n">
        <v>3</v>
      </c>
      <c r="T602" t="n">
        <v>3</v>
      </c>
      <c r="U602" t="inlineStr">
        <is>
          <t>1998-04-29</t>
        </is>
      </c>
      <c r="V602" t="inlineStr">
        <is>
          <t>1998-04-29</t>
        </is>
      </c>
      <c r="W602" t="inlineStr">
        <is>
          <t>1990-09-20</t>
        </is>
      </c>
      <c r="X602" t="inlineStr">
        <is>
          <t>1990-09-20</t>
        </is>
      </c>
      <c r="Y602" t="n">
        <v>151</v>
      </c>
      <c r="Z602" t="n">
        <v>107</v>
      </c>
      <c r="AA602" t="n">
        <v>460</v>
      </c>
      <c r="AB602" t="n">
        <v>1</v>
      </c>
      <c r="AC602" t="n">
        <v>1</v>
      </c>
      <c r="AD602" t="n">
        <v>0</v>
      </c>
      <c r="AE602" t="n">
        <v>11</v>
      </c>
      <c r="AF602" t="n">
        <v>0</v>
      </c>
      <c r="AG602" t="n">
        <v>5</v>
      </c>
      <c r="AH602" t="n">
        <v>0</v>
      </c>
      <c r="AI602" t="n">
        <v>2</v>
      </c>
      <c r="AJ602" t="n">
        <v>0</v>
      </c>
      <c r="AK602" t="n">
        <v>10</v>
      </c>
      <c r="AL602" t="n">
        <v>0</v>
      </c>
      <c r="AM602" t="n">
        <v>0</v>
      </c>
      <c r="AN602" t="n">
        <v>0</v>
      </c>
      <c r="AO602" t="n">
        <v>0</v>
      </c>
      <c r="AP602" t="inlineStr">
        <is>
          <t>No</t>
        </is>
      </c>
      <c r="AQ602" t="inlineStr">
        <is>
          <t>Yes</t>
        </is>
      </c>
      <c r="AR602">
        <f>HYPERLINK("http://catalog.hathitrust.org/Record/009919475","HathiTrust Record")</f>
        <v/>
      </c>
      <c r="AS602">
        <f>HYPERLINK("https://creighton-primo.hosted.exlibrisgroup.com/primo-explore/search?tab=default_tab&amp;search_scope=EVERYTHING&amp;vid=01CRU&amp;lang=en_US&amp;offset=0&amp;query=any,contains,991004804989702656","Catalog Record")</f>
        <v/>
      </c>
      <c r="AT602">
        <f>HYPERLINK("http://www.worldcat.org/oclc/5239764","WorldCat Record")</f>
        <v/>
      </c>
      <c r="AU602" t="inlineStr">
        <is>
          <t>975673:eng</t>
        </is>
      </c>
      <c r="AV602" t="inlineStr">
        <is>
          <t>5239764</t>
        </is>
      </c>
      <c r="AW602" t="inlineStr">
        <is>
          <t>991004804989702656</t>
        </is>
      </c>
      <c r="AX602" t="inlineStr">
        <is>
          <t>991004804989702656</t>
        </is>
      </c>
      <c r="AY602" t="inlineStr">
        <is>
          <t>2264354770002656</t>
        </is>
      </c>
      <c r="AZ602" t="inlineStr">
        <is>
          <t>BOOK</t>
        </is>
      </c>
      <c r="BB602" t="inlineStr">
        <is>
          <t>9780134448510</t>
        </is>
      </c>
      <c r="BC602" t="inlineStr">
        <is>
          <t>32285000315704</t>
        </is>
      </c>
      <c r="BD602" t="inlineStr">
        <is>
          <t>893719401</t>
        </is>
      </c>
    </row>
    <row r="603">
      <c r="A603" t="inlineStr">
        <is>
          <t>No</t>
        </is>
      </c>
      <c r="B603" t="inlineStr">
        <is>
          <t>GN316 .R43 1990</t>
        </is>
      </c>
      <c r="C603" t="inlineStr">
        <is>
          <t>0                      GN 0316000R  43          1990</t>
        </is>
      </c>
      <c r="D603" t="inlineStr">
        <is>
          <t>Man on earth / John Reader ; with photographs by the author.</t>
        </is>
      </c>
      <c r="F603" t="inlineStr">
        <is>
          <t>No</t>
        </is>
      </c>
      <c r="G603" t="inlineStr">
        <is>
          <t>1</t>
        </is>
      </c>
      <c r="H603" t="inlineStr">
        <is>
          <t>No</t>
        </is>
      </c>
      <c r="I603" t="inlineStr">
        <is>
          <t>No</t>
        </is>
      </c>
      <c r="J603" t="inlineStr">
        <is>
          <t>0</t>
        </is>
      </c>
      <c r="K603" t="inlineStr">
        <is>
          <t>Reader, John.</t>
        </is>
      </c>
      <c r="L603" t="inlineStr">
        <is>
          <t>New York : Perennial Library, 1990, c1988.</t>
        </is>
      </c>
      <c r="M603" t="inlineStr">
        <is>
          <t>1990</t>
        </is>
      </c>
      <c r="N603" t="inlineStr">
        <is>
          <t>1st Perennial Library ed.</t>
        </is>
      </c>
      <c r="O603" t="inlineStr">
        <is>
          <t>eng</t>
        </is>
      </c>
      <c r="P603" t="inlineStr">
        <is>
          <t>nyu</t>
        </is>
      </c>
      <c r="R603" t="inlineStr">
        <is>
          <t xml:space="preserve">GN </t>
        </is>
      </c>
      <c r="S603" t="n">
        <v>1</v>
      </c>
      <c r="T603" t="n">
        <v>1</v>
      </c>
      <c r="U603" t="inlineStr">
        <is>
          <t>2000-09-20</t>
        </is>
      </c>
      <c r="V603" t="inlineStr">
        <is>
          <t>2000-09-20</t>
        </is>
      </c>
      <c r="W603" t="inlineStr">
        <is>
          <t>2000-09-20</t>
        </is>
      </c>
      <c r="X603" t="inlineStr">
        <is>
          <t>2000-09-20</t>
        </is>
      </c>
      <c r="Y603" t="n">
        <v>159</v>
      </c>
      <c r="Z603" t="n">
        <v>150</v>
      </c>
      <c r="AA603" t="n">
        <v>868</v>
      </c>
      <c r="AB603" t="n">
        <v>1</v>
      </c>
      <c r="AC603" t="n">
        <v>4</v>
      </c>
      <c r="AD603" t="n">
        <v>4</v>
      </c>
      <c r="AE603" t="n">
        <v>17</v>
      </c>
      <c r="AF603" t="n">
        <v>1</v>
      </c>
      <c r="AG603" t="n">
        <v>6</v>
      </c>
      <c r="AH603" t="n">
        <v>1</v>
      </c>
      <c r="AI603" t="n">
        <v>3</v>
      </c>
      <c r="AJ603" t="n">
        <v>3</v>
      </c>
      <c r="AK603" t="n">
        <v>10</v>
      </c>
      <c r="AL603" t="n">
        <v>0</v>
      </c>
      <c r="AM603" t="n">
        <v>2</v>
      </c>
      <c r="AN603" t="n">
        <v>0</v>
      </c>
      <c r="AO603" t="n">
        <v>1</v>
      </c>
      <c r="AP603" t="inlineStr">
        <is>
          <t>No</t>
        </is>
      </c>
      <c r="AQ603" t="inlineStr">
        <is>
          <t>No</t>
        </is>
      </c>
      <c r="AS603">
        <f>HYPERLINK("https://creighton-primo.hosted.exlibrisgroup.com/primo-explore/search?tab=default_tab&amp;search_scope=EVERYTHING&amp;vid=01CRU&amp;lang=en_US&amp;offset=0&amp;query=any,contains,991003219509702656","Catalog Record")</f>
        <v/>
      </c>
      <c r="AT603">
        <f>HYPERLINK("http://www.worldcat.org/oclc/20419409","WorldCat Record")</f>
        <v/>
      </c>
      <c r="AU603" t="inlineStr">
        <is>
          <t>17737743:eng</t>
        </is>
      </c>
      <c r="AV603" t="inlineStr">
        <is>
          <t>20419409</t>
        </is>
      </c>
      <c r="AW603" t="inlineStr">
        <is>
          <t>991003219509702656</t>
        </is>
      </c>
      <c r="AX603" t="inlineStr">
        <is>
          <t>991003219509702656</t>
        </is>
      </c>
      <c r="AY603" t="inlineStr">
        <is>
          <t>2264213300002656</t>
        </is>
      </c>
      <c r="AZ603" t="inlineStr">
        <is>
          <t>BOOK</t>
        </is>
      </c>
      <c r="BB603" t="inlineStr">
        <is>
          <t>9780060972769</t>
        </is>
      </c>
      <c r="BC603" t="inlineStr">
        <is>
          <t>32285003687943</t>
        </is>
      </c>
      <c r="BD603" t="inlineStr">
        <is>
          <t>893711149</t>
        </is>
      </c>
    </row>
    <row r="604">
      <c r="A604" t="inlineStr">
        <is>
          <t>No</t>
        </is>
      </c>
      <c r="B604" t="inlineStr">
        <is>
          <t>GN320 .C37 1970</t>
        </is>
      </c>
      <c r="C604" t="inlineStr">
        <is>
          <t>0                      GN 0320000C  37          1970</t>
        </is>
      </c>
      <c r="D604" t="inlineStr">
        <is>
          <t>Frantz Fanon.</t>
        </is>
      </c>
      <c r="F604" t="inlineStr">
        <is>
          <t>No</t>
        </is>
      </c>
      <c r="G604" t="inlineStr">
        <is>
          <t>1</t>
        </is>
      </c>
      <c r="H604" t="inlineStr">
        <is>
          <t>No</t>
        </is>
      </c>
      <c r="I604" t="inlineStr">
        <is>
          <t>No</t>
        </is>
      </c>
      <c r="J604" t="inlineStr">
        <is>
          <t>0</t>
        </is>
      </c>
      <c r="K604" t="inlineStr">
        <is>
          <t>Caute, David.</t>
        </is>
      </c>
      <c r="L604" t="inlineStr">
        <is>
          <t>New York, Viking Press [1970]</t>
        </is>
      </c>
      <c r="M604" t="inlineStr">
        <is>
          <t>1970</t>
        </is>
      </c>
      <c r="O604" t="inlineStr">
        <is>
          <t>eng</t>
        </is>
      </c>
      <c r="P604" t="inlineStr">
        <is>
          <t>nyu</t>
        </is>
      </c>
      <c r="Q604" t="inlineStr">
        <is>
          <t>Modern masters, M2</t>
        </is>
      </c>
      <c r="R604" t="inlineStr">
        <is>
          <t xml:space="preserve">GN </t>
        </is>
      </c>
      <c r="S604" t="n">
        <v>1</v>
      </c>
      <c r="T604" t="n">
        <v>1</v>
      </c>
      <c r="U604" t="inlineStr">
        <is>
          <t>2002-08-23</t>
        </is>
      </c>
      <c r="V604" t="inlineStr">
        <is>
          <t>2002-08-23</t>
        </is>
      </c>
      <c r="W604" t="inlineStr">
        <is>
          <t>1997-05-28</t>
        </is>
      </c>
      <c r="X604" t="inlineStr">
        <is>
          <t>1997-05-28</t>
        </is>
      </c>
      <c r="Y604" t="n">
        <v>711</v>
      </c>
      <c r="Z604" t="n">
        <v>667</v>
      </c>
      <c r="AA604" t="n">
        <v>668</v>
      </c>
      <c r="AB604" t="n">
        <v>2</v>
      </c>
      <c r="AC604" t="n">
        <v>2</v>
      </c>
      <c r="AD604" t="n">
        <v>29</v>
      </c>
      <c r="AE604" t="n">
        <v>29</v>
      </c>
      <c r="AF604" t="n">
        <v>12</v>
      </c>
      <c r="AG604" t="n">
        <v>12</v>
      </c>
      <c r="AH604" t="n">
        <v>6</v>
      </c>
      <c r="AI604" t="n">
        <v>6</v>
      </c>
      <c r="AJ604" t="n">
        <v>16</v>
      </c>
      <c r="AK604" t="n">
        <v>16</v>
      </c>
      <c r="AL604" t="n">
        <v>1</v>
      </c>
      <c r="AM604" t="n">
        <v>1</v>
      </c>
      <c r="AN604" t="n">
        <v>0</v>
      </c>
      <c r="AO604" t="n">
        <v>0</v>
      </c>
      <c r="AP604" t="inlineStr">
        <is>
          <t>No</t>
        </is>
      </c>
      <c r="AQ604" t="inlineStr">
        <is>
          <t>Yes</t>
        </is>
      </c>
      <c r="AR604">
        <f>HYPERLINK("http://catalog.hathitrust.org/Record/001608985","HathiTrust Record")</f>
        <v/>
      </c>
      <c r="AS604">
        <f>HYPERLINK("https://creighton-primo.hosted.exlibrisgroup.com/primo-explore/search?tab=default_tab&amp;search_scope=EVERYTHING&amp;vid=01CRU&amp;lang=en_US&amp;offset=0&amp;query=any,contains,991000518279702656","Catalog Record")</f>
        <v/>
      </c>
      <c r="AT604">
        <f>HYPERLINK("http://www.worldcat.org/oclc/86997","WorldCat Record")</f>
        <v/>
      </c>
      <c r="AU604" t="inlineStr">
        <is>
          <t>8912061303:eng</t>
        </is>
      </c>
      <c r="AV604" t="inlineStr">
        <is>
          <t>86997</t>
        </is>
      </c>
      <c r="AW604" t="inlineStr">
        <is>
          <t>991000518279702656</t>
        </is>
      </c>
      <c r="AX604" t="inlineStr">
        <is>
          <t>991000518279702656</t>
        </is>
      </c>
      <c r="AY604" t="inlineStr">
        <is>
          <t>2270191700002656</t>
        </is>
      </c>
      <c r="AZ604" t="inlineStr">
        <is>
          <t>BOOK</t>
        </is>
      </c>
      <c r="BB604" t="inlineStr">
        <is>
          <t>9780670019045</t>
        </is>
      </c>
      <c r="BC604" t="inlineStr">
        <is>
          <t>32285002695111</t>
        </is>
      </c>
      <c r="BD604" t="inlineStr">
        <is>
          <t>893425800</t>
        </is>
      </c>
    </row>
    <row r="605">
      <c r="A605" t="inlineStr">
        <is>
          <t>No</t>
        </is>
      </c>
      <c r="B605" t="inlineStr">
        <is>
          <t>GN320 .C65</t>
        </is>
      </c>
      <c r="C605" t="inlineStr">
        <is>
          <t>0                      GN 0320000C  65</t>
        </is>
      </c>
      <c r="D605" t="inlineStr">
        <is>
          <t>Racial myths.</t>
        </is>
      </c>
      <c r="F605" t="inlineStr">
        <is>
          <t>No</t>
        </is>
      </c>
      <c r="G605" t="inlineStr">
        <is>
          <t>1</t>
        </is>
      </c>
      <c r="H605" t="inlineStr">
        <is>
          <t>No</t>
        </is>
      </c>
      <c r="I605" t="inlineStr">
        <is>
          <t>No</t>
        </is>
      </c>
      <c r="J605" t="inlineStr">
        <is>
          <t>0</t>
        </is>
      </c>
      <c r="K605" t="inlineStr">
        <is>
          <t>Comas, Juan, 1900-1979.</t>
        </is>
      </c>
      <c r="L605" t="inlineStr">
        <is>
          <t>Paris, Unesco [1951]</t>
        </is>
      </c>
      <c r="M605" t="inlineStr">
        <is>
          <t>1951</t>
        </is>
      </c>
      <c r="O605" t="inlineStr">
        <is>
          <t>eng</t>
        </is>
      </c>
      <c r="P605" t="inlineStr">
        <is>
          <t xml:space="preserve">fr </t>
        </is>
      </c>
      <c r="Q605" t="inlineStr">
        <is>
          <t>The race question in modern science</t>
        </is>
      </c>
      <c r="R605" t="inlineStr">
        <is>
          <t xml:space="preserve">GN </t>
        </is>
      </c>
      <c r="S605" t="n">
        <v>1</v>
      </c>
      <c r="T605" t="n">
        <v>1</v>
      </c>
      <c r="U605" t="inlineStr">
        <is>
          <t>2006-11-22</t>
        </is>
      </c>
      <c r="V605" t="inlineStr">
        <is>
          <t>2006-11-22</t>
        </is>
      </c>
      <c r="W605" t="inlineStr">
        <is>
          <t>1997-05-28</t>
        </is>
      </c>
      <c r="X605" t="inlineStr">
        <is>
          <t>1997-05-28</t>
        </is>
      </c>
      <c r="Y605" t="n">
        <v>229</v>
      </c>
      <c r="Z605" t="n">
        <v>169</v>
      </c>
      <c r="AA605" t="n">
        <v>395</v>
      </c>
      <c r="AB605" t="n">
        <v>3</v>
      </c>
      <c r="AC605" t="n">
        <v>4</v>
      </c>
      <c r="AD605" t="n">
        <v>7</v>
      </c>
      <c r="AE605" t="n">
        <v>21</v>
      </c>
      <c r="AF605" t="n">
        <v>3</v>
      </c>
      <c r="AG605" t="n">
        <v>5</v>
      </c>
      <c r="AH605" t="n">
        <v>0</v>
      </c>
      <c r="AI605" t="n">
        <v>8</v>
      </c>
      <c r="AJ605" t="n">
        <v>2</v>
      </c>
      <c r="AK605" t="n">
        <v>10</v>
      </c>
      <c r="AL605" t="n">
        <v>2</v>
      </c>
      <c r="AM605" t="n">
        <v>3</v>
      </c>
      <c r="AN605" t="n">
        <v>0</v>
      </c>
      <c r="AO605" t="n">
        <v>0</v>
      </c>
      <c r="AP605" t="inlineStr">
        <is>
          <t>No</t>
        </is>
      </c>
      <c r="AQ605" t="inlineStr">
        <is>
          <t>Yes</t>
        </is>
      </c>
      <c r="AR605">
        <f>HYPERLINK("http://catalog.hathitrust.org/Record/009514008","HathiTrust Record")</f>
        <v/>
      </c>
      <c r="AS605">
        <f>HYPERLINK("https://creighton-primo.hosted.exlibrisgroup.com/primo-explore/search?tab=default_tab&amp;search_scope=EVERYTHING&amp;vid=01CRU&amp;lang=en_US&amp;offset=0&amp;query=any,contains,991004348999702656","Catalog Record")</f>
        <v/>
      </c>
      <c r="AT605">
        <f>HYPERLINK("http://www.worldcat.org/oclc/3111135","WorldCat Record")</f>
        <v/>
      </c>
      <c r="AU605" t="inlineStr">
        <is>
          <t>292575332:eng</t>
        </is>
      </c>
      <c r="AV605" t="inlineStr">
        <is>
          <t>3111135</t>
        </is>
      </c>
      <c r="AW605" t="inlineStr">
        <is>
          <t>991004348999702656</t>
        </is>
      </c>
      <c r="AX605" t="inlineStr">
        <is>
          <t>991004348999702656</t>
        </is>
      </c>
      <c r="AY605" t="inlineStr">
        <is>
          <t>2264442680002656</t>
        </is>
      </c>
      <c r="AZ605" t="inlineStr">
        <is>
          <t>BOOK</t>
        </is>
      </c>
      <c r="BC605" t="inlineStr">
        <is>
          <t>32285002695129</t>
        </is>
      </c>
      <c r="BD605" t="inlineStr">
        <is>
          <t>893337615</t>
        </is>
      </c>
    </row>
    <row r="606">
      <c r="A606" t="inlineStr">
        <is>
          <t>No</t>
        </is>
      </c>
      <c r="B606" t="inlineStr">
        <is>
          <t>GN320 .C87 1993</t>
        </is>
      </c>
      <c r="C606" t="inlineStr">
        <is>
          <t>0                      GN 0320000C  87          1993</t>
        </is>
      </c>
      <c r="D606" t="inlineStr">
        <is>
          <t>Los hijos de la selva / Myriam Cupello ; [ilustraciones Myriam Alamo].</t>
        </is>
      </c>
      <c r="F606" t="inlineStr">
        <is>
          <t>No</t>
        </is>
      </c>
      <c r="G606" t="inlineStr">
        <is>
          <t>1</t>
        </is>
      </c>
      <c r="H606" t="inlineStr">
        <is>
          <t>No</t>
        </is>
      </c>
      <c r="I606" t="inlineStr">
        <is>
          <t>No</t>
        </is>
      </c>
      <c r="J606" t="inlineStr">
        <is>
          <t>0</t>
        </is>
      </c>
      <c r="K606" t="inlineStr">
        <is>
          <t>Cupello, Myriam.</t>
        </is>
      </c>
      <c r="L606" t="inlineStr">
        <is>
          <t>Caracas : Ediciones de la Presidencia de la República, [1993].</t>
        </is>
      </c>
      <c r="M606" t="inlineStr">
        <is>
          <t>1993</t>
        </is>
      </c>
      <c r="O606" t="inlineStr">
        <is>
          <t>spa</t>
        </is>
      </c>
      <c r="P606" t="inlineStr">
        <is>
          <t xml:space="preserve">ve </t>
        </is>
      </c>
      <c r="R606" t="inlineStr">
        <is>
          <t xml:space="preserve">GN </t>
        </is>
      </c>
      <c r="S606" t="n">
        <v>1</v>
      </c>
      <c r="T606" t="n">
        <v>1</v>
      </c>
      <c r="U606" t="inlineStr">
        <is>
          <t>2002-07-29</t>
        </is>
      </c>
      <c r="V606" t="inlineStr">
        <is>
          <t>2002-07-29</t>
        </is>
      </c>
      <c r="W606" t="inlineStr">
        <is>
          <t>2002-07-29</t>
        </is>
      </c>
      <c r="X606" t="inlineStr">
        <is>
          <t>2002-07-29</t>
        </is>
      </c>
      <c r="Y606" t="n">
        <v>1</v>
      </c>
      <c r="Z606" t="n">
        <v>1</v>
      </c>
      <c r="AA606" t="n">
        <v>1</v>
      </c>
      <c r="AB606" t="n">
        <v>1</v>
      </c>
      <c r="AC606" t="n">
        <v>1</v>
      </c>
      <c r="AD606" t="n">
        <v>0</v>
      </c>
      <c r="AE606" t="n">
        <v>0</v>
      </c>
      <c r="AF606" t="n">
        <v>0</v>
      </c>
      <c r="AG606" t="n">
        <v>0</v>
      </c>
      <c r="AH606" t="n">
        <v>0</v>
      </c>
      <c r="AI606" t="n">
        <v>0</v>
      </c>
      <c r="AJ606" t="n">
        <v>0</v>
      </c>
      <c r="AK606" t="n">
        <v>0</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HYPERLINK("https://creighton-primo.hosted.exlibrisgroup.com/primo-explore/search?tab=default_tab&amp;search_scope=EVERYTHING&amp;vid=01CRU&amp;lang=en_US&amp;offset=0&amp;query=any,contains,991003848489702656","Catalog Record")</f>
        <v/>
      </c>
      <c r="AT606">
        <f>HYPERLINK("http://www.worldcat.org/oclc/50132719","WorldCat Record")</f>
        <v/>
      </c>
      <c r="AU606" t="inlineStr">
        <is>
          <t>6407868:spa</t>
        </is>
      </c>
      <c r="AV606" t="inlineStr">
        <is>
          <t>50132719</t>
        </is>
      </c>
      <c r="AW606" t="inlineStr">
        <is>
          <t>991003848489702656</t>
        </is>
      </c>
      <c r="AX606" t="inlineStr">
        <is>
          <t>991003848489702656</t>
        </is>
      </c>
      <c r="AY606" t="inlineStr">
        <is>
          <t>2271244660002656</t>
        </is>
      </c>
      <c r="AZ606" t="inlineStr">
        <is>
          <t>BOOK</t>
        </is>
      </c>
      <c r="BB606" t="inlineStr">
        <is>
          <t>9789800716489</t>
        </is>
      </c>
      <c r="BC606" t="inlineStr">
        <is>
          <t>32285004630082</t>
        </is>
      </c>
      <c r="BD606" t="inlineStr">
        <is>
          <t>893611537</t>
        </is>
      </c>
    </row>
    <row r="607">
      <c r="A607" t="inlineStr">
        <is>
          <t>No</t>
        </is>
      </c>
      <c r="B607" t="inlineStr">
        <is>
          <t>GN320 .F6 1970</t>
        </is>
      </c>
      <c r="C607" t="inlineStr">
        <is>
          <t>0                      GN 0320000F  6           1970</t>
        </is>
      </c>
      <c r="D607" t="inlineStr">
        <is>
          <t>Race prejudice / translated by Florence Wade-Evans.</t>
        </is>
      </c>
      <c r="F607" t="inlineStr">
        <is>
          <t>No</t>
        </is>
      </c>
      <c r="G607" t="inlineStr">
        <is>
          <t>1</t>
        </is>
      </c>
      <c r="H607" t="inlineStr">
        <is>
          <t>No</t>
        </is>
      </c>
      <c r="I607" t="inlineStr">
        <is>
          <t>No</t>
        </is>
      </c>
      <c r="J607" t="inlineStr">
        <is>
          <t>0</t>
        </is>
      </c>
      <c r="K607" t="inlineStr">
        <is>
          <t>Finot, Jean, 1858-1922.</t>
        </is>
      </c>
      <c r="L607" t="inlineStr">
        <is>
          <t>New York : Negro Universities Press, [1970]</t>
        </is>
      </c>
      <c r="M607" t="inlineStr">
        <is>
          <t>1970</t>
        </is>
      </c>
      <c r="O607" t="inlineStr">
        <is>
          <t>eng</t>
        </is>
      </c>
      <c r="P607" t="inlineStr">
        <is>
          <t>nyu</t>
        </is>
      </c>
      <c r="R607" t="inlineStr">
        <is>
          <t xml:space="preserve">GN </t>
        </is>
      </c>
      <c r="S607" t="n">
        <v>5</v>
      </c>
      <c r="T607" t="n">
        <v>5</v>
      </c>
      <c r="U607" t="inlineStr">
        <is>
          <t>2000-02-15</t>
        </is>
      </c>
      <c r="V607" t="inlineStr">
        <is>
          <t>2000-02-15</t>
        </is>
      </c>
      <c r="W607" t="inlineStr">
        <is>
          <t>1992-10-23</t>
        </is>
      </c>
      <c r="X607" t="inlineStr">
        <is>
          <t>1992-10-23</t>
        </is>
      </c>
      <c r="Y607" t="n">
        <v>114</v>
      </c>
      <c r="Z607" t="n">
        <v>103</v>
      </c>
      <c r="AA607" t="n">
        <v>384</v>
      </c>
      <c r="AB607" t="n">
        <v>2</v>
      </c>
      <c r="AC607" t="n">
        <v>4</v>
      </c>
      <c r="AD607" t="n">
        <v>3</v>
      </c>
      <c r="AE607" t="n">
        <v>14</v>
      </c>
      <c r="AF607" t="n">
        <v>0</v>
      </c>
      <c r="AG607" t="n">
        <v>5</v>
      </c>
      <c r="AH607" t="n">
        <v>1</v>
      </c>
      <c r="AI607" t="n">
        <v>3</v>
      </c>
      <c r="AJ607" t="n">
        <v>2</v>
      </c>
      <c r="AK607" t="n">
        <v>6</v>
      </c>
      <c r="AL607" t="n">
        <v>1</v>
      </c>
      <c r="AM607" t="n">
        <v>3</v>
      </c>
      <c r="AN607" t="n">
        <v>0</v>
      </c>
      <c r="AO607" t="n">
        <v>0</v>
      </c>
      <c r="AP607" t="inlineStr">
        <is>
          <t>Yes</t>
        </is>
      </c>
      <c r="AQ607" t="inlineStr">
        <is>
          <t>No</t>
        </is>
      </c>
      <c r="AR607">
        <f>HYPERLINK("http://catalog.hathitrust.org/Record/012264483","HathiTrust Record")</f>
        <v/>
      </c>
      <c r="AS607">
        <f>HYPERLINK("https://creighton-primo.hosted.exlibrisgroup.com/primo-explore/search?tab=default_tab&amp;search_scope=EVERYTHING&amp;vid=01CRU&amp;lang=en_US&amp;offset=0&amp;query=any,contains,991000216259702656","Catalog Record")</f>
        <v/>
      </c>
      <c r="AT607">
        <f>HYPERLINK("http://www.worldcat.org/oclc/66828","WorldCat Record")</f>
        <v/>
      </c>
      <c r="AU607" t="inlineStr">
        <is>
          <t>499752:eng</t>
        </is>
      </c>
      <c r="AV607" t="inlineStr">
        <is>
          <t>66828</t>
        </is>
      </c>
      <c r="AW607" t="inlineStr">
        <is>
          <t>991000216259702656</t>
        </is>
      </c>
      <c r="AX607" t="inlineStr">
        <is>
          <t>991000216259702656</t>
        </is>
      </c>
      <c r="AY607" t="inlineStr">
        <is>
          <t>2258667550002656</t>
        </is>
      </c>
      <c r="AZ607" t="inlineStr">
        <is>
          <t>BOOK</t>
        </is>
      </c>
      <c r="BB607" t="inlineStr">
        <is>
          <t>9780837129099</t>
        </is>
      </c>
      <c r="BC607" t="inlineStr">
        <is>
          <t>32285001375921</t>
        </is>
      </c>
      <c r="BD607" t="inlineStr">
        <is>
          <t>893425534</t>
        </is>
      </c>
    </row>
    <row r="608">
      <c r="A608" t="inlineStr">
        <is>
          <t>No</t>
        </is>
      </c>
      <c r="B608" t="inlineStr">
        <is>
          <t>GN320 .H33</t>
        </is>
      </c>
      <c r="C608" t="inlineStr">
        <is>
          <t>0                      GN 0320000H  33</t>
        </is>
      </c>
      <c r="D608" t="inlineStr">
        <is>
          <t>The rise of anthropological theory; a history of theories of culture.</t>
        </is>
      </c>
      <c r="F608" t="inlineStr">
        <is>
          <t>No</t>
        </is>
      </c>
      <c r="G608" t="inlineStr">
        <is>
          <t>1</t>
        </is>
      </c>
      <c r="H608" t="inlineStr">
        <is>
          <t>No</t>
        </is>
      </c>
      <c r="I608" t="inlineStr">
        <is>
          <t>No</t>
        </is>
      </c>
      <c r="J608" t="inlineStr">
        <is>
          <t>0</t>
        </is>
      </c>
      <c r="K608" t="inlineStr">
        <is>
          <t>Harris, Marvin, 1927-2001.</t>
        </is>
      </c>
      <c r="L608" t="inlineStr">
        <is>
          <t>New York, Crowell [1968]</t>
        </is>
      </c>
      <c r="M608" t="inlineStr">
        <is>
          <t>1968</t>
        </is>
      </c>
      <c r="O608" t="inlineStr">
        <is>
          <t>eng</t>
        </is>
      </c>
      <c r="P608" t="inlineStr">
        <is>
          <t>nyu</t>
        </is>
      </c>
      <c r="R608" t="inlineStr">
        <is>
          <t xml:space="preserve">GN </t>
        </is>
      </c>
      <c r="S608" t="n">
        <v>1</v>
      </c>
      <c r="T608" t="n">
        <v>1</v>
      </c>
      <c r="U608" t="inlineStr">
        <is>
          <t>2006-09-28</t>
        </is>
      </c>
      <c r="V608" t="inlineStr">
        <is>
          <t>2006-09-28</t>
        </is>
      </c>
      <c r="W608" t="inlineStr">
        <is>
          <t>1997-05-28</t>
        </is>
      </c>
      <c r="X608" t="inlineStr">
        <is>
          <t>1997-05-28</t>
        </is>
      </c>
      <c r="Y608" t="n">
        <v>1328</v>
      </c>
      <c r="Z608" t="n">
        <v>1150</v>
      </c>
      <c r="AA608" t="n">
        <v>1262</v>
      </c>
      <c r="AB608" t="n">
        <v>8</v>
      </c>
      <c r="AC608" t="n">
        <v>8</v>
      </c>
      <c r="AD608" t="n">
        <v>48</v>
      </c>
      <c r="AE608" t="n">
        <v>51</v>
      </c>
      <c r="AF608" t="n">
        <v>19</v>
      </c>
      <c r="AG608" t="n">
        <v>21</v>
      </c>
      <c r="AH608" t="n">
        <v>10</v>
      </c>
      <c r="AI608" t="n">
        <v>10</v>
      </c>
      <c r="AJ608" t="n">
        <v>25</v>
      </c>
      <c r="AK608" t="n">
        <v>26</v>
      </c>
      <c r="AL608" t="n">
        <v>6</v>
      </c>
      <c r="AM608" t="n">
        <v>6</v>
      </c>
      <c r="AN608" t="n">
        <v>0</v>
      </c>
      <c r="AO608" t="n">
        <v>1</v>
      </c>
      <c r="AP608" t="inlineStr">
        <is>
          <t>No</t>
        </is>
      </c>
      <c r="AQ608" t="inlineStr">
        <is>
          <t>Yes</t>
        </is>
      </c>
      <c r="AR608">
        <f>HYPERLINK("http://catalog.hathitrust.org/Record/000770618","HathiTrust Record")</f>
        <v/>
      </c>
      <c r="AS608">
        <f>HYPERLINK("https://creighton-primo.hosted.exlibrisgroup.com/primo-explore/search?tab=default_tab&amp;search_scope=EVERYTHING&amp;vid=01CRU&amp;lang=en_US&amp;offset=0&amp;query=any,contains,991002779939702656","Catalog Record")</f>
        <v/>
      </c>
      <c r="AT608">
        <f>HYPERLINK("http://www.worldcat.org/oclc/439933","WorldCat Record")</f>
        <v/>
      </c>
      <c r="AU608" t="inlineStr">
        <is>
          <t>197369863:eng</t>
        </is>
      </c>
      <c r="AV608" t="inlineStr">
        <is>
          <t>439933</t>
        </is>
      </c>
      <c r="AW608" t="inlineStr">
        <is>
          <t>991002779939702656</t>
        </is>
      </c>
      <c r="AX608" t="inlineStr">
        <is>
          <t>991002779939702656</t>
        </is>
      </c>
      <c r="AY608" t="inlineStr">
        <is>
          <t>2266448570002656</t>
        </is>
      </c>
      <c r="AZ608" t="inlineStr">
        <is>
          <t>BOOK</t>
        </is>
      </c>
      <c r="BC608" t="inlineStr">
        <is>
          <t>32285002695160</t>
        </is>
      </c>
      <c r="BD608" t="inlineStr">
        <is>
          <t>893239482</t>
        </is>
      </c>
    </row>
    <row r="609">
      <c r="A609" t="inlineStr">
        <is>
          <t>No</t>
        </is>
      </c>
      <c r="B609" t="inlineStr">
        <is>
          <t>GN320 .M585</t>
        </is>
      </c>
      <c r="C609" t="inlineStr">
        <is>
          <t>0                      GN 0320000M  585</t>
        </is>
      </c>
      <c r="D609" t="inlineStr">
        <is>
          <t>The concept of race / edited by Ashley Montagu. --</t>
        </is>
      </c>
      <c r="F609" t="inlineStr">
        <is>
          <t>No</t>
        </is>
      </c>
      <c r="G609" t="inlineStr">
        <is>
          <t>1</t>
        </is>
      </c>
      <c r="H609" t="inlineStr">
        <is>
          <t>No</t>
        </is>
      </c>
      <c r="I609" t="inlineStr">
        <is>
          <t>No</t>
        </is>
      </c>
      <c r="J609" t="inlineStr">
        <is>
          <t>0</t>
        </is>
      </c>
      <c r="K609" t="inlineStr">
        <is>
          <t>Montagu, Ashley, 1905-1999 editor.</t>
        </is>
      </c>
      <c r="L609" t="inlineStr">
        <is>
          <t>[New York] : Free Press of Glencoe, [1964].</t>
        </is>
      </c>
      <c r="M609" t="inlineStr">
        <is>
          <t>1964</t>
        </is>
      </c>
      <c r="O609" t="inlineStr">
        <is>
          <t>eng</t>
        </is>
      </c>
      <c r="P609" t="inlineStr">
        <is>
          <t>___</t>
        </is>
      </c>
      <c r="R609" t="inlineStr">
        <is>
          <t xml:space="preserve">GN </t>
        </is>
      </c>
      <c r="S609" t="n">
        <v>6</v>
      </c>
      <c r="T609" t="n">
        <v>6</v>
      </c>
      <c r="U609" t="inlineStr">
        <is>
          <t>1997-04-13</t>
        </is>
      </c>
      <c r="V609" t="inlineStr">
        <is>
          <t>1997-04-13</t>
        </is>
      </c>
      <c r="W609" t="inlineStr">
        <is>
          <t>1990-09-20</t>
        </is>
      </c>
      <c r="X609" t="inlineStr">
        <is>
          <t>1990-09-20</t>
        </is>
      </c>
      <c r="Y609" t="n">
        <v>1152</v>
      </c>
      <c r="Z609" t="n">
        <v>1020</v>
      </c>
      <c r="AA609" t="n">
        <v>1154</v>
      </c>
      <c r="AB609" t="n">
        <v>8</v>
      </c>
      <c r="AC609" t="n">
        <v>8</v>
      </c>
      <c r="AD609" t="n">
        <v>39</v>
      </c>
      <c r="AE609" t="n">
        <v>43</v>
      </c>
      <c r="AF609" t="n">
        <v>14</v>
      </c>
      <c r="AG609" t="n">
        <v>16</v>
      </c>
      <c r="AH609" t="n">
        <v>7</v>
      </c>
      <c r="AI609" t="n">
        <v>7</v>
      </c>
      <c r="AJ609" t="n">
        <v>21</v>
      </c>
      <c r="AK609" t="n">
        <v>23</v>
      </c>
      <c r="AL609" t="n">
        <v>7</v>
      </c>
      <c r="AM609" t="n">
        <v>7</v>
      </c>
      <c r="AN609" t="n">
        <v>0</v>
      </c>
      <c r="AO609" t="n">
        <v>0</v>
      </c>
      <c r="AP609" t="inlineStr">
        <is>
          <t>No</t>
        </is>
      </c>
      <c r="AQ609" t="inlineStr">
        <is>
          <t>Yes</t>
        </is>
      </c>
      <c r="AR609">
        <f>HYPERLINK("http://catalog.hathitrust.org/Record/001274532","HathiTrust Record")</f>
        <v/>
      </c>
      <c r="AS609">
        <f>HYPERLINK("https://creighton-primo.hosted.exlibrisgroup.com/primo-explore/search?tab=default_tab&amp;search_scope=EVERYTHING&amp;vid=01CRU&amp;lang=en_US&amp;offset=0&amp;query=any,contains,991002209409702656","Catalog Record")</f>
        <v/>
      </c>
      <c r="AT609">
        <f>HYPERLINK("http://www.worldcat.org/oclc/287443","WorldCat Record")</f>
        <v/>
      </c>
      <c r="AU609" t="inlineStr">
        <is>
          <t>138064298:eng</t>
        </is>
      </c>
      <c r="AV609" t="inlineStr">
        <is>
          <t>287443</t>
        </is>
      </c>
      <c r="AW609" t="inlineStr">
        <is>
          <t>991002209409702656</t>
        </is>
      </c>
      <c r="AX609" t="inlineStr">
        <is>
          <t>991002209409702656</t>
        </is>
      </c>
      <c r="AY609" t="inlineStr">
        <is>
          <t>2263551390002656</t>
        </is>
      </c>
      <c r="AZ609" t="inlineStr">
        <is>
          <t>BOOK</t>
        </is>
      </c>
      <c r="BC609" t="inlineStr">
        <is>
          <t>32285000315738</t>
        </is>
      </c>
      <c r="BD609" t="inlineStr">
        <is>
          <t>893322680</t>
        </is>
      </c>
    </row>
    <row r="610">
      <c r="A610" t="inlineStr">
        <is>
          <t>No</t>
        </is>
      </c>
      <c r="B610" t="inlineStr">
        <is>
          <t>GN325 .A56</t>
        </is>
      </c>
      <c r="C610" t="inlineStr">
        <is>
          <t>0                      GN 0325000A  56</t>
        </is>
      </c>
      <c r="D610" t="inlineStr">
        <is>
          <t>Anthropological realities : readings in the science of culture / edited by Jeanne Guillemin.</t>
        </is>
      </c>
      <c r="F610" t="inlineStr">
        <is>
          <t>No</t>
        </is>
      </c>
      <c r="G610" t="inlineStr">
        <is>
          <t>1</t>
        </is>
      </c>
      <c r="H610" t="inlineStr">
        <is>
          <t>No</t>
        </is>
      </c>
      <c r="I610" t="inlineStr">
        <is>
          <t>No</t>
        </is>
      </c>
      <c r="J610" t="inlineStr">
        <is>
          <t>0</t>
        </is>
      </c>
      <c r="L610" t="inlineStr">
        <is>
          <t>New Brunswick, N.J. : Transaction Books, c1981.</t>
        </is>
      </c>
      <c r="M610" t="inlineStr">
        <is>
          <t>1981</t>
        </is>
      </c>
      <c r="O610" t="inlineStr">
        <is>
          <t>eng</t>
        </is>
      </c>
      <c r="P610" t="inlineStr">
        <is>
          <t>nju</t>
        </is>
      </c>
      <c r="Q610" t="inlineStr">
        <is>
          <t>Transaction/Society texts</t>
        </is>
      </c>
      <c r="R610" t="inlineStr">
        <is>
          <t xml:space="preserve">GN </t>
        </is>
      </c>
      <c r="S610" t="n">
        <v>3</v>
      </c>
      <c r="T610" t="n">
        <v>3</v>
      </c>
      <c r="U610" t="inlineStr">
        <is>
          <t>1999-08-30</t>
        </is>
      </c>
      <c r="V610" t="inlineStr">
        <is>
          <t>1999-08-30</t>
        </is>
      </c>
      <c r="W610" t="inlineStr">
        <is>
          <t>1990-09-20</t>
        </is>
      </c>
      <c r="X610" t="inlineStr">
        <is>
          <t>1990-09-20</t>
        </is>
      </c>
      <c r="Y610" t="n">
        <v>268</v>
      </c>
      <c r="Z610" t="n">
        <v>194</v>
      </c>
      <c r="AA610" t="n">
        <v>199</v>
      </c>
      <c r="AB610" t="n">
        <v>4</v>
      </c>
      <c r="AC610" t="n">
        <v>4</v>
      </c>
      <c r="AD610" t="n">
        <v>11</v>
      </c>
      <c r="AE610" t="n">
        <v>11</v>
      </c>
      <c r="AF610" t="n">
        <v>2</v>
      </c>
      <c r="AG610" t="n">
        <v>2</v>
      </c>
      <c r="AH610" t="n">
        <v>2</v>
      </c>
      <c r="AI610" t="n">
        <v>2</v>
      </c>
      <c r="AJ610" t="n">
        <v>6</v>
      </c>
      <c r="AK610" t="n">
        <v>6</v>
      </c>
      <c r="AL610" t="n">
        <v>3</v>
      </c>
      <c r="AM610" t="n">
        <v>3</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HYPERLINK("https://creighton-primo.hosted.exlibrisgroup.com/primo-explore/search?tab=default_tab&amp;search_scope=EVERYTHING&amp;vid=01CRU&amp;lang=en_US&amp;offset=0&amp;query=any,contains,991004866579702656","Catalog Record")</f>
        <v/>
      </c>
      <c r="AT610">
        <f>HYPERLINK("http://www.worldcat.org/oclc/5727236","WorldCat Record")</f>
        <v/>
      </c>
      <c r="AU610" t="inlineStr">
        <is>
          <t>836643418:eng</t>
        </is>
      </c>
      <c r="AV610" t="inlineStr">
        <is>
          <t>5727236</t>
        </is>
      </c>
      <c r="AW610" t="inlineStr">
        <is>
          <t>991004866579702656</t>
        </is>
      </c>
      <c r="AX610" t="inlineStr">
        <is>
          <t>991004866579702656</t>
        </is>
      </c>
      <c r="AY610" t="inlineStr">
        <is>
          <t>2263447390002656</t>
        </is>
      </c>
      <c r="AZ610" t="inlineStr">
        <is>
          <t>BOOK</t>
        </is>
      </c>
      <c r="BB610" t="inlineStr">
        <is>
          <t>9780878557837</t>
        </is>
      </c>
      <c r="BC610" t="inlineStr">
        <is>
          <t>32285000315746</t>
        </is>
      </c>
      <c r="BD610" t="inlineStr">
        <is>
          <t>893870195</t>
        </is>
      </c>
    </row>
    <row r="611">
      <c r="A611" t="inlineStr">
        <is>
          <t>No</t>
        </is>
      </c>
      <c r="B611" t="inlineStr">
        <is>
          <t>GN325 .S75 1968</t>
        </is>
      </c>
      <c r="C611" t="inlineStr">
        <is>
          <t>0                      GN 0325000S  75          1968</t>
        </is>
      </c>
      <c r="D611" t="inlineStr">
        <is>
          <t>Race, culture, and evolution; essays in the history of anthropology [by] George W. Stocking, Jr.</t>
        </is>
      </c>
      <c r="F611" t="inlineStr">
        <is>
          <t>No</t>
        </is>
      </c>
      <c r="G611" t="inlineStr">
        <is>
          <t>1</t>
        </is>
      </c>
      <c r="H611" t="inlineStr">
        <is>
          <t>No</t>
        </is>
      </c>
      <c r="I611" t="inlineStr">
        <is>
          <t>No</t>
        </is>
      </c>
      <c r="J611" t="inlineStr">
        <is>
          <t>0</t>
        </is>
      </c>
      <c r="K611" t="inlineStr">
        <is>
          <t>Stocking, George W., Jr. (George Ward), 1928-2013.</t>
        </is>
      </c>
      <c r="L611" t="inlineStr">
        <is>
          <t>New York, Free Press [1968]</t>
        </is>
      </c>
      <c r="M611" t="inlineStr">
        <is>
          <t>1968</t>
        </is>
      </c>
      <c r="O611" t="inlineStr">
        <is>
          <t>eng</t>
        </is>
      </c>
      <c r="P611" t="inlineStr">
        <is>
          <t>nyu</t>
        </is>
      </c>
      <c r="R611" t="inlineStr">
        <is>
          <t xml:space="preserve">GN </t>
        </is>
      </c>
      <c r="S611" t="n">
        <v>3</v>
      </c>
      <c r="T611" t="n">
        <v>3</v>
      </c>
      <c r="U611" t="inlineStr">
        <is>
          <t>2000-02-15</t>
        </is>
      </c>
      <c r="V611" t="inlineStr">
        <is>
          <t>2000-02-15</t>
        </is>
      </c>
      <c r="W611" t="inlineStr">
        <is>
          <t>1997-05-28</t>
        </is>
      </c>
      <c r="X611" t="inlineStr">
        <is>
          <t>1997-05-28</t>
        </is>
      </c>
      <c r="Y611" t="n">
        <v>815</v>
      </c>
      <c r="Z611" t="n">
        <v>677</v>
      </c>
      <c r="AA611" t="n">
        <v>807</v>
      </c>
      <c r="AB611" t="n">
        <v>6</v>
      </c>
      <c r="AC611" t="n">
        <v>6</v>
      </c>
      <c r="AD611" t="n">
        <v>28</v>
      </c>
      <c r="AE611" t="n">
        <v>35</v>
      </c>
      <c r="AF611" t="n">
        <v>8</v>
      </c>
      <c r="AG611" t="n">
        <v>12</v>
      </c>
      <c r="AH611" t="n">
        <v>7</v>
      </c>
      <c r="AI611" t="n">
        <v>7</v>
      </c>
      <c r="AJ611" t="n">
        <v>16</v>
      </c>
      <c r="AK611" t="n">
        <v>21</v>
      </c>
      <c r="AL611" t="n">
        <v>5</v>
      </c>
      <c r="AM611" t="n">
        <v>5</v>
      </c>
      <c r="AN611" t="n">
        <v>0</v>
      </c>
      <c r="AO611" t="n">
        <v>1</v>
      </c>
      <c r="AP611" t="inlineStr">
        <is>
          <t>No</t>
        </is>
      </c>
      <c r="AQ611" t="inlineStr">
        <is>
          <t>Yes</t>
        </is>
      </c>
      <c r="AR611">
        <f>HYPERLINK("http://catalog.hathitrust.org/Record/001274560","HathiTrust Record")</f>
        <v/>
      </c>
      <c r="AS611">
        <f>HYPERLINK("https://creighton-primo.hosted.exlibrisgroup.com/primo-explore/search?tab=default_tab&amp;search_scope=EVERYTHING&amp;vid=01CRU&amp;lang=en_US&amp;offset=0&amp;query=any,contains,991000089739702656","Catalog Record")</f>
        <v/>
      </c>
      <c r="AT611">
        <f>HYPERLINK("http://www.worldcat.org/oclc/35928","WorldCat Record")</f>
        <v/>
      </c>
      <c r="AU611" t="inlineStr">
        <is>
          <t>1089550823:eng</t>
        </is>
      </c>
      <c r="AV611" t="inlineStr">
        <is>
          <t>35928</t>
        </is>
      </c>
      <c r="AW611" t="inlineStr">
        <is>
          <t>991000089739702656</t>
        </is>
      </c>
      <c r="AX611" t="inlineStr">
        <is>
          <t>991000089739702656</t>
        </is>
      </c>
      <c r="AY611" t="inlineStr">
        <is>
          <t>2260271550002656</t>
        </is>
      </c>
      <c r="AZ611" t="inlineStr">
        <is>
          <t>BOOK</t>
        </is>
      </c>
      <c r="BB611" t="inlineStr">
        <is>
          <t>9780029315309</t>
        </is>
      </c>
      <c r="BC611" t="inlineStr">
        <is>
          <t>32285002695269</t>
        </is>
      </c>
      <c r="BD611" t="inlineStr">
        <is>
          <t>893783950</t>
        </is>
      </c>
    </row>
    <row r="612">
      <c r="A612" t="inlineStr">
        <is>
          <t>No</t>
        </is>
      </c>
      <c r="B612" t="inlineStr">
        <is>
          <t>GN33 .B34 2000</t>
        </is>
      </c>
      <c r="C612" t="inlineStr">
        <is>
          <t>0                      GN 0033000B  34          2000</t>
        </is>
      </c>
      <c r="D612" t="inlineStr">
        <is>
          <t>History and theory in anthropology / Alan Barnard.</t>
        </is>
      </c>
      <c r="F612" t="inlineStr">
        <is>
          <t>No</t>
        </is>
      </c>
      <c r="G612" t="inlineStr">
        <is>
          <t>1</t>
        </is>
      </c>
      <c r="H612" t="inlineStr">
        <is>
          <t>No</t>
        </is>
      </c>
      <c r="I612" t="inlineStr">
        <is>
          <t>No</t>
        </is>
      </c>
      <c r="J612" t="inlineStr">
        <is>
          <t>0</t>
        </is>
      </c>
      <c r="K612" t="inlineStr">
        <is>
          <t>Barnard, Alan (Alan J.)</t>
        </is>
      </c>
      <c r="L612" t="inlineStr">
        <is>
          <t>Cambridge, U.K. New York : Cambridge University Press, 2000.</t>
        </is>
      </c>
      <c r="M612" t="inlineStr">
        <is>
          <t>2000</t>
        </is>
      </c>
      <c r="O612" t="inlineStr">
        <is>
          <t>eng</t>
        </is>
      </c>
      <c r="P612" t="inlineStr">
        <is>
          <t>enk</t>
        </is>
      </c>
      <c r="R612" t="inlineStr">
        <is>
          <t xml:space="preserve">GN </t>
        </is>
      </c>
      <c r="S612" t="n">
        <v>3</v>
      </c>
      <c r="T612" t="n">
        <v>3</v>
      </c>
      <c r="U612" t="inlineStr">
        <is>
          <t>2007-11-30</t>
        </is>
      </c>
      <c r="V612" t="inlineStr">
        <is>
          <t>2007-11-30</t>
        </is>
      </c>
      <c r="W612" t="inlineStr">
        <is>
          <t>2001-05-03</t>
        </is>
      </c>
      <c r="X612" t="inlineStr">
        <is>
          <t>2001-05-03</t>
        </is>
      </c>
      <c r="Y612" t="n">
        <v>627</v>
      </c>
      <c r="Z612" t="n">
        <v>451</v>
      </c>
      <c r="AA612" t="n">
        <v>843</v>
      </c>
      <c r="AB612" t="n">
        <v>6</v>
      </c>
      <c r="AC612" t="n">
        <v>9</v>
      </c>
      <c r="AD612" t="n">
        <v>25</v>
      </c>
      <c r="AE612" t="n">
        <v>30</v>
      </c>
      <c r="AF612" t="n">
        <v>7</v>
      </c>
      <c r="AG612" t="n">
        <v>8</v>
      </c>
      <c r="AH612" t="n">
        <v>7</v>
      </c>
      <c r="AI612" t="n">
        <v>7</v>
      </c>
      <c r="AJ612" t="n">
        <v>10</v>
      </c>
      <c r="AK612" t="n">
        <v>11</v>
      </c>
      <c r="AL612" t="n">
        <v>5</v>
      </c>
      <c r="AM612" t="n">
        <v>8</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HYPERLINK("https://creighton-primo.hosted.exlibrisgroup.com/primo-explore/search?tab=default_tab&amp;search_scope=EVERYTHING&amp;vid=01CRU&amp;lang=en_US&amp;offset=0&amp;query=any,contains,991003515249702656","Catalog Record")</f>
        <v/>
      </c>
      <c r="AT612">
        <f>HYPERLINK("http://www.worldcat.org/oclc/42296321","WorldCat Record")</f>
        <v/>
      </c>
      <c r="AU612" t="inlineStr">
        <is>
          <t>45284402:eng</t>
        </is>
      </c>
      <c r="AV612" t="inlineStr">
        <is>
          <t>42296321</t>
        </is>
      </c>
      <c r="AW612" t="inlineStr">
        <is>
          <t>991003515249702656</t>
        </is>
      </c>
      <c r="AX612" t="inlineStr">
        <is>
          <t>991003515249702656</t>
        </is>
      </c>
      <c r="AY612" t="inlineStr">
        <is>
          <t>2255755460002656</t>
        </is>
      </c>
      <c r="AZ612" t="inlineStr">
        <is>
          <t>BOOK</t>
        </is>
      </c>
      <c r="BB612" t="inlineStr">
        <is>
          <t>9780521773331</t>
        </is>
      </c>
      <c r="BC612" t="inlineStr">
        <is>
          <t>32285004316419</t>
        </is>
      </c>
      <c r="BD612" t="inlineStr">
        <is>
          <t>893246429</t>
        </is>
      </c>
    </row>
    <row r="613">
      <c r="A613" t="inlineStr">
        <is>
          <t>No</t>
        </is>
      </c>
      <c r="B613" t="inlineStr">
        <is>
          <t>GN33 .C74 1999</t>
        </is>
      </c>
      <c r="C613" t="inlineStr">
        <is>
          <t>0                      GN 0033000C  74          1999</t>
        </is>
      </c>
      <c r="D613" t="inlineStr">
        <is>
          <t>Critical anthropology now : unexpected contexts, shifting constituencies, changing agendas / edited by George E. Marcus.</t>
        </is>
      </c>
      <c r="F613" t="inlineStr">
        <is>
          <t>No</t>
        </is>
      </c>
      <c r="G613" t="inlineStr">
        <is>
          <t>1</t>
        </is>
      </c>
      <c r="H613" t="inlineStr">
        <is>
          <t>No</t>
        </is>
      </c>
      <c r="I613" t="inlineStr">
        <is>
          <t>No</t>
        </is>
      </c>
      <c r="J613" t="inlineStr">
        <is>
          <t>0</t>
        </is>
      </c>
      <c r="L613" t="inlineStr">
        <is>
          <t>Santa Fe, N.M. : School of American Research Press, 1999.</t>
        </is>
      </c>
      <c r="M613" t="inlineStr">
        <is>
          <t>1999</t>
        </is>
      </c>
      <c r="O613" t="inlineStr">
        <is>
          <t>eng</t>
        </is>
      </c>
      <c r="P613" t="inlineStr">
        <is>
          <t>nmu</t>
        </is>
      </c>
      <c r="Q613" t="inlineStr">
        <is>
          <t>School of American Research advanced seminar series</t>
        </is>
      </c>
      <c r="R613" t="inlineStr">
        <is>
          <t xml:space="preserve">GN </t>
        </is>
      </c>
      <c r="S613" t="n">
        <v>4</v>
      </c>
      <c r="T613" t="n">
        <v>4</v>
      </c>
      <c r="U613" t="inlineStr">
        <is>
          <t>2004-04-13</t>
        </is>
      </c>
      <c r="V613" t="inlineStr">
        <is>
          <t>2004-04-13</t>
        </is>
      </c>
      <c r="W613" t="inlineStr">
        <is>
          <t>2000-09-11</t>
        </is>
      </c>
      <c r="X613" t="inlineStr">
        <is>
          <t>2000-09-11</t>
        </is>
      </c>
      <c r="Y613" t="n">
        <v>427</v>
      </c>
      <c r="Z613" t="n">
        <v>331</v>
      </c>
      <c r="AA613" t="n">
        <v>355</v>
      </c>
      <c r="AB613" t="n">
        <v>1</v>
      </c>
      <c r="AC613" t="n">
        <v>1</v>
      </c>
      <c r="AD613" t="n">
        <v>16</v>
      </c>
      <c r="AE613" t="n">
        <v>16</v>
      </c>
      <c r="AF613" t="n">
        <v>7</v>
      </c>
      <c r="AG613" t="n">
        <v>7</v>
      </c>
      <c r="AH613" t="n">
        <v>5</v>
      </c>
      <c r="AI613" t="n">
        <v>5</v>
      </c>
      <c r="AJ613" t="n">
        <v>9</v>
      </c>
      <c r="AK613" t="n">
        <v>9</v>
      </c>
      <c r="AL613" t="n">
        <v>0</v>
      </c>
      <c r="AM613" t="n">
        <v>0</v>
      </c>
      <c r="AN613" t="n">
        <v>0</v>
      </c>
      <c r="AO613" t="n">
        <v>0</v>
      </c>
      <c r="AP613" t="inlineStr">
        <is>
          <t>No</t>
        </is>
      </c>
      <c r="AQ613" t="inlineStr">
        <is>
          <t>Yes</t>
        </is>
      </c>
      <c r="AR613">
        <f>HYPERLINK("http://catalog.hathitrust.org/Record/004079421","HathiTrust Record")</f>
        <v/>
      </c>
      <c r="AS613">
        <f>HYPERLINK("https://creighton-primo.hosted.exlibrisgroup.com/primo-explore/search?tab=default_tab&amp;search_scope=EVERYTHING&amp;vid=01CRU&amp;lang=en_US&amp;offset=0&amp;query=any,contains,991003238779702656","Catalog Record")</f>
        <v/>
      </c>
      <c r="AT613">
        <f>HYPERLINK("http://www.worldcat.org/oclc/40119751","WorldCat Record")</f>
        <v/>
      </c>
      <c r="AU613" t="inlineStr">
        <is>
          <t>837067789:eng</t>
        </is>
      </c>
      <c r="AV613" t="inlineStr">
        <is>
          <t>40119751</t>
        </is>
      </c>
      <c r="AW613" t="inlineStr">
        <is>
          <t>991003238779702656</t>
        </is>
      </c>
      <c r="AX613" t="inlineStr">
        <is>
          <t>991003238779702656</t>
        </is>
      </c>
      <c r="AY613" t="inlineStr">
        <is>
          <t>2258175810002656</t>
        </is>
      </c>
      <c r="AZ613" t="inlineStr">
        <is>
          <t>BOOK</t>
        </is>
      </c>
      <c r="BB613" t="inlineStr">
        <is>
          <t>9780933452503</t>
        </is>
      </c>
      <c r="BC613" t="inlineStr">
        <is>
          <t>32285003760641</t>
        </is>
      </c>
      <c r="BD613" t="inlineStr">
        <is>
          <t>893711177</t>
        </is>
      </c>
    </row>
    <row r="614">
      <c r="A614" t="inlineStr">
        <is>
          <t>No</t>
        </is>
      </c>
      <c r="B614" t="inlineStr">
        <is>
          <t>GN33 .D5 2000</t>
        </is>
      </c>
      <c r="C614" t="inlineStr">
        <is>
          <t>0                      GN 0033000D  5           2000</t>
        </is>
      </c>
      <c r="D614" t="inlineStr">
        <is>
          <t>Exotics at home : anthropologies, others, American modernity / Micaela di Leonardo.</t>
        </is>
      </c>
      <c r="F614" t="inlineStr">
        <is>
          <t>No</t>
        </is>
      </c>
      <c r="G614" t="inlineStr">
        <is>
          <t>1</t>
        </is>
      </c>
      <c r="H614" t="inlineStr">
        <is>
          <t>No</t>
        </is>
      </c>
      <c r="I614" t="inlineStr">
        <is>
          <t>No</t>
        </is>
      </c>
      <c r="J614" t="inlineStr">
        <is>
          <t>0</t>
        </is>
      </c>
      <c r="K614" t="inlineStr">
        <is>
          <t>Di Leonardo, Micaela, 1949-</t>
        </is>
      </c>
      <c r="L614" t="inlineStr">
        <is>
          <t>Chicago, Ill. : University of Chicago Press, 2000, c1998.</t>
        </is>
      </c>
      <c r="M614" t="inlineStr">
        <is>
          <t>2000</t>
        </is>
      </c>
      <c r="N614" t="inlineStr">
        <is>
          <t>pbk. ed.</t>
        </is>
      </c>
      <c r="O614" t="inlineStr">
        <is>
          <t>eng</t>
        </is>
      </c>
      <c r="P614" t="inlineStr">
        <is>
          <t>ilu</t>
        </is>
      </c>
      <c r="Q614" t="inlineStr">
        <is>
          <t>Women in culture and society</t>
        </is>
      </c>
      <c r="R614" t="inlineStr">
        <is>
          <t xml:space="preserve">GN </t>
        </is>
      </c>
      <c r="S614" t="n">
        <v>2</v>
      </c>
      <c r="T614" t="n">
        <v>2</v>
      </c>
      <c r="U614" t="inlineStr">
        <is>
          <t>2003-11-09</t>
        </is>
      </c>
      <c r="V614" t="inlineStr">
        <is>
          <t>2003-11-09</t>
        </is>
      </c>
      <c r="W614" t="inlineStr">
        <is>
          <t>2002-05-14</t>
        </is>
      </c>
      <c r="X614" t="inlineStr">
        <is>
          <t>2002-05-14</t>
        </is>
      </c>
      <c r="Y614" t="n">
        <v>38</v>
      </c>
      <c r="Z614" t="n">
        <v>27</v>
      </c>
      <c r="AA614" t="n">
        <v>476</v>
      </c>
      <c r="AB614" t="n">
        <v>1</v>
      </c>
      <c r="AC614" t="n">
        <v>4</v>
      </c>
      <c r="AD614" t="n">
        <v>0</v>
      </c>
      <c r="AE614" t="n">
        <v>24</v>
      </c>
      <c r="AF614" t="n">
        <v>0</v>
      </c>
      <c r="AG614" t="n">
        <v>5</v>
      </c>
      <c r="AH614" t="n">
        <v>0</v>
      </c>
      <c r="AI614" t="n">
        <v>8</v>
      </c>
      <c r="AJ614" t="n">
        <v>0</v>
      </c>
      <c r="AK614" t="n">
        <v>12</v>
      </c>
      <c r="AL614" t="n">
        <v>0</v>
      </c>
      <c r="AM614" t="n">
        <v>3</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HYPERLINK("https://creighton-primo.hosted.exlibrisgroup.com/primo-explore/search?tab=default_tab&amp;search_scope=EVERYTHING&amp;vid=01CRU&amp;lang=en_US&amp;offset=0&amp;query=any,contains,991003790469702656","Catalog Record")</f>
        <v/>
      </c>
      <c r="AT614">
        <f>HYPERLINK("http://www.worldcat.org/oclc/44571811","WorldCat Record")</f>
        <v/>
      </c>
      <c r="AU614" t="inlineStr">
        <is>
          <t>601730:eng</t>
        </is>
      </c>
      <c r="AV614" t="inlineStr">
        <is>
          <t>44571811</t>
        </is>
      </c>
      <c r="AW614" t="inlineStr">
        <is>
          <t>991003790469702656</t>
        </is>
      </c>
      <c r="AX614" t="inlineStr">
        <is>
          <t>991003790469702656</t>
        </is>
      </c>
      <c r="AY614" t="inlineStr">
        <is>
          <t>2271127990002656</t>
        </is>
      </c>
      <c r="AZ614" t="inlineStr">
        <is>
          <t>BOOK</t>
        </is>
      </c>
      <c r="BB614" t="inlineStr">
        <is>
          <t>9780226472645</t>
        </is>
      </c>
      <c r="BC614" t="inlineStr">
        <is>
          <t>32285004488226</t>
        </is>
      </c>
      <c r="BD614" t="inlineStr">
        <is>
          <t>893441749</t>
        </is>
      </c>
    </row>
    <row r="615">
      <c r="A615" t="inlineStr">
        <is>
          <t>No</t>
        </is>
      </c>
      <c r="B615" t="inlineStr">
        <is>
          <t>GN33 .G65 1990</t>
        </is>
      </c>
      <c r="C615" t="inlineStr">
        <is>
          <t>0                      GN 0033000G  65          1990</t>
        </is>
      </c>
      <c r="D615" t="inlineStr">
        <is>
          <t>The human career : the self in the symbolic world / Walter Goldschmidt.</t>
        </is>
      </c>
      <c r="F615" t="inlineStr">
        <is>
          <t>No</t>
        </is>
      </c>
      <c r="G615" t="inlineStr">
        <is>
          <t>1</t>
        </is>
      </c>
      <c r="H615" t="inlineStr">
        <is>
          <t>No</t>
        </is>
      </c>
      <c r="I615" t="inlineStr">
        <is>
          <t>No</t>
        </is>
      </c>
      <c r="J615" t="inlineStr">
        <is>
          <t>0</t>
        </is>
      </c>
      <c r="K615" t="inlineStr">
        <is>
          <t>Goldschmidt, Walter, 1913-2010.</t>
        </is>
      </c>
      <c r="L615" t="inlineStr">
        <is>
          <t>Cambridge, Mass., USA : B. Blackwell, 1990.</t>
        </is>
      </c>
      <c r="M615" t="inlineStr">
        <is>
          <t>1990</t>
        </is>
      </c>
      <c r="O615" t="inlineStr">
        <is>
          <t>eng</t>
        </is>
      </c>
      <c r="P615" t="inlineStr">
        <is>
          <t>mau</t>
        </is>
      </c>
      <c r="R615" t="inlineStr">
        <is>
          <t xml:space="preserve">GN </t>
        </is>
      </c>
      <c r="S615" t="n">
        <v>2</v>
      </c>
      <c r="T615" t="n">
        <v>2</v>
      </c>
      <c r="U615" t="inlineStr">
        <is>
          <t>1994-06-29</t>
        </is>
      </c>
      <c r="V615" t="inlineStr">
        <is>
          <t>1994-06-29</t>
        </is>
      </c>
      <c r="W615" t="inlineStr">
        <is>
          <t>1991-03-11</t>
        </is>
      </c>
      <c r="X615" t="inlineStr">
        <is>
          <t>1991-03-11</t>
        </is>
      </c>
      <c r="Y615" t="n">
        <v>381</v>
      </c>
      <c r="Z615" t="n">
        <v>291</v>
      </c>
      <c r="AA615" t="n">
        <v>298</v>
      </c>
      <c r="AB615" t="n">
        <v>2</v>
      </c>
      <c r="AC615" t="n">
        <v>2</v>
      </c>
      <c r="AD615" t="n">
        <v>13</v>
      </c>
      <c r="AE615" t="n">
        <v>14</v>
      </c>
      <c r="AF615" t="n">
        <v>4</v>
      </c>
      <c r="AG615" t="n">
        <v>5</v>
      </c>
      <c r="AH615" t="n">
        <v>4</v>
      </c>
      <c r="AI615" t="n">
        <v>4</v>
      </c>
      <c r="AJ615" t="n">
        <v>8</v>
      </c>
      <c r="AK615" t="n">
        <v>9</v>
      </c>
      <c r="AL615" t="n">
        <v>1</v>
      </c>
      <c r="AM615" t="n">
        <v>1</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HYPERLINK("https://creighton-primo.hosted.exlibrisgroup.com/primo-explore/search?tab=default_tab&amp;search_scope=EVERYTHING&amp;vid=01CRU&amp;lang=en_US&amp;offset=0&amp;query=any,contains,991001547279702656","Catalog Record")</f>
        <v/>
      </c>
      <c r="AT615">
        <f>HYPERLINK("http://www.worldcat.org/oclc/20169916","WorldCat Record")</f>
        <v/>
      </c>
      <c r="AU615" t="inlineStr">
        <is>
          <t>836722150:eng</t>
        </is>
      </c>
      <c r="AV615" t="inlineStr">
        <is>
          <t>20169916</t>
        </is>
      </c>
      <c r="AW615" t="inlineStr">
        <is>
          <t>991001547279702656</t>
        </is>
      </c>
      <c r="AX615" t="inlineStr">
        <is>
          <t>991001547279702656</t>
        </is>
      </c>
      <c r="AY615" t="inlineStr">
        <is>
          <t>2269181460002656</t>
        </is>
      </c>
      <c r="AZ615" t="inlineStr">
        <is>
          <t>BOOK</t>
        </is>
      </c>
      <c r="BB615" t="inlineStr">
        <is>
          <t>9781557860552</t>
        </is>
      </c>
      <c r="BC615" t="inlineStr">
        <is>
          <t>32285000511138</t>
        </is>
      </c>
      <c r="BD615" t="inlineStr">
        <is>
          <t>893256302</t>
        </is>
      </c>
    </row>
    <row r="616">
      <c r="A616" t="inlineStr">
        <is>
          <t>No</t>
        </is>
      </c>
      <c r="B616" t="inlineStr">
        <is>
          <t>GN33 .H47 1987</t>
        </is>
      </c>
      <c r="C616" t="inlineStr">
        <is>
          <t>0                      GN 0033000H  47          1987</t>
        </is>
      </c>
      <c r="D616" t="inlineStr">
        <is>
          <t>Anthropology through the looking-glass : critical ethnography in the margins of Europe / Michael Herzfeld.</t>
        </is>
      </c>
      <c r="F616" t="inlineStr">
        <is>
          <t>No</t>
        </is>
      </c>
      <c r="G616" t="inlineStr">
        <is>
          <t>1</t>
        </is>
      </c>
      <c r="H616" t="inlineStr">
        <is>
          <t>No</t>
        </is>
      </c>
      <c r="I616" t="inlineStr">
        <is>
          <t>No</t>
        </is>
      </c>
      <c r="J616" t="inlineStr">
        <is>
          <t>0</t>
        </is>
      </c>
      <c r="K616" t="inlineStr">
        <is>
          <t>Herzfeld, Michael, 1947-</t>
        </is>
      </c>
      <c r="L616" t="inlineStr">
        <is>
          <t>Cambridge [Cambridgeshire] ; New York : Cambridge University Press, 1987.</t>
        </is>
      </c>
      <c r="M616" t="inlineStr">
        <is>
          <t>1987</t>
        </is>
      </c>
      <c r="O616" t="inlineStr">
        <is>
          <t>eng</t>
        </is>
      </c>
      <c r="P616" t="inlineStr">
        <is>
          <t>enk</t>
        </is>
      </c>
      <c r="R616" t="inlineStr">
        <is>
          <t xml:space="preserve">GN </t>
        </is>
      </c>
      <c r="S616" t="n">
        <v>3</v>
      </c>
      <c r="T616" t="n">
        <v>3</v>
      </c>
      <c r="U616" t="inlineStr">
        <is>
          <t>1997-02-22</t>
        </is>
      </c>
      <c r="V616" t="inlineStr">
        <is>
          <t>1997-02-22</t>
        </is>
      </c>
      <c r="W616" t="inlineStr">
        <is>
          <t>1990-09-18</t>
        </is>
      </c>
      <c r="X616" t="inlineStr">
        <is>
          <t>1990-09-18</t>
        </is>
      </c>
      <c r="Y616" t="n">
        <v>473</v>
      </c>
      <c r="Z616" t="n">
        <v>329</v>
      </c>
      <c r="AA616" t="n">
        <v>350</v>
      </c>
      <c r="AB616" t="n">
        <v>2</v>
      </c>
      <c r="AC616" t="n">
        <v>2</v>
      </c>
      <c r="AD616" t="n">
        <v>15</v>
      </c>
      <c r="AE616" t="n">
        <v>15</v>
      </c>
      <c r="AF616" t="n">
        <v>5</v>
      </c>
      <c r="AG616" t="n">
        <v>5</v>
      </c>
      <c r="AH616" t="n">
        <v>6</v>
      </c>
      <c r="AI616" t="n">
        <v>6</v>
      </c>
      <c r="AJ616" t="n">
        <v>9</v>
      </c>
      <c r="AK616" t="n">
        <v>9</v>
      </c>
      <c r="AL616" t="n">
        <v>1</v>
      </c>
      <c r="AM616" t="n">
        <v>1</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HYPERLINK("https://creighton-primo.hosted.exlibrisgroup.com/primo-explore/search?tab=default_tab&amp;search_scope=EVERYTHING&amp;vid=01CRU&amp;lang=en_US&amp;offset=0&amp;query=any,contains,991001029649702656","Catalog Record")</f>
        <v/>
      </c>
      <c r="AT616">
        <f>HYPERLINK("http://www.worldcat.org/oclc/15489866","WorldCat Record")</f>
        <v/>
      </c>
      <c r="AU616" t="inlineStr">
        <is>
          <t>1090135056:eng</t>
        </is>
      </c>
      <c r="AV616" t="inlineStr">
        <is>
          <t>15489866</t>
        </is>
      </c>
      <c r="AW616" t="inlineStr">
        <is>
          <t>991001029649702656</t>
        </is>
      </c>
      <c r="AX616" t="inlineStr">
        <is>
          <t>991001029649702656</t>
        </is>
      </c>
      <c r="AY616" t="inlineStr">
        <is>
          <t>2272520990002656</t>
        </is>
      </c>
      <c r="AZ616" t="inlineStr">
        <is>
          <t>BOOK</t>
        </is>
      </c>
      <c r="BB616" t="inlineStr">
        <is>
          <t>9780521340038</t>
        </is>
      </c>
      <c r="BC616" t="inlineStr">
        <is>
          <t>32285000289578</t>
        </is>
      </c>
      <c r="BD616" t="inlineStr">
        <is>
          <t>893690257</t>
        </is>
      </c>
    </row>
    <row r="617">
      <c r="A617" t="inlineStr">
        <is>
          <t>No</t>
        </is>
      </c>
      <c r="B617" t="inlineStr">
        <is>
          <t>GN33 .R3</t>
        </is>
      </c>
      <c r="C617" t="inlineStr">
        <is>
          <t>0                      GN 0033000R  3</t>
        </is>
      </c>
      <c r="D617" t="inlineStr">
        <is>
          <t>The method and theory of ethnology; an essay in criticism, by Paul Radin ...</t>
        </is>
      </c>
      <c r="F617" t="inlineStr">
        <is>
          <t>No</t>
        </is>
      </c>
      <c r="G617" t="inlineStr">
        <is>
          <t>1</t>
        </is>
      </c>
      <c r="H617" t="inlineStr">
        <is>
          <t>No</t>
        </is>
      </c>
      <c r="I617" t="inlineStr">
        <is>
          <t>No</t>
        </is>
      </c>
      <c r="J617" t="inlineStr">
        <is>
          <t>0</t>
        </is>
      </c>
      <c r="K617" t="inlineStr">
        <is>
          <t>Radin, Paul, 1883-1959.</t>
        </is>
      </c>
      <c r="L617" t="inlineStr">
        <is>
          <t>New York, London, McGraw-Hill Book Company, inc., 1933.</t>
        </is>
      </c>
      <c r="M617" t="inlineStr">
        <is>
          <t>1933</t>
        </is>
      </c>
      <c r="N617" t="inlineStr">
        <is>
          <t>1st ed.</t>
        </is>
      </c>
      <c r="O617" t="inlineStr">
        <is>
          <t>eng</t>
        </is>
      </c>
      <c r="P617" t="inlineStr">
        <is>
          <t>nyu</t>
        </is>
      </c>
      <c r="R617" t="inlineStr">
        <is>
          <t xml:space="preserve">GN </t>
        </is>
      </c>
      <c r="S617" t="n">
        <v>2</v>
      </c>
      <c r="T617" t="n">
        <v>2</v>
      </c>
      <c r="U617" t="inlineStr">
        <is>
          <t>2001-02-21</t>
        </is>
      </c>
      <c r="V617" t="inlineStr">
        <is>
          <t>2001-02-21</t>
        </is>
      </c>
      <c r="W617" t="inlineStr">
        <is>
          <t>1997-05-28</t>
        </is>
      </c>
      <c r="X617" t="inlineStr">
        <is>
          <t>1997-05-28</t>
        </is>
      </c>
      <c r="Y617" t="n">
        <v>167</v>
      </c>
      <c r="Z617" t="n">
        <v>138</v>
      </c>
      <c r="AA617" t="n">
        <v>431</v>
      </c>
      <c r="AB617" t="n">
        <v>1</v>
      </c>
      <c r="AC617" t="n">
        <v>3</v>
      </c>
      <c r="AD617" t="n">
        <v>2</v>
      </c>
      <c r="AE617" t="n">
        <v>13</v>
      </c>
      <c r="AF617" t="n">
        <v>0</v>
      </c>
      <c r="AG617" t="n">
        <v>2</v>
      </c>
      <c r="AH617" t="n">
        <v>1</v>
      </c>
      <c r="AI617" t="n">
        <v>2</v>
      </c>
      <c r="AJ617" t="n">
        <v>2</v>
      </c>
      <c r="AK617" t="n">
        <v>8</v>
      </c>
      <c r="AL617" t="n">
        <v>0</v>
      </c>
      <c r="AM617" t="n">
        <v>2</v>
      </c>
      <c r="AN617" t="n">
        <v>0</v>
      </c>
      <c r="AO617" t="n">
        <v>0</v>
      </c>
      <c r="AP617" t="inlineStr">
        <is>
          <t>No</t>
        </is>
      </c>
      <c r="AQ617" t="inlineStr">
        <is>
          <t>Yes</t>
        </is>
      </c>
      <c r="AR617">
        <f>HYPERLINK("http://catalog.hathitrust.org/Record/001274489","HathiTrust Record")</f>
        <v/>
      </c>
      <c r="AS617">
        <f>HYPERLINK("https://creighton-primo.hosted.exlibrisgroup.com/primo-explore/search?tab=default_tab&amp;search_scope=EVERYTHING&amp;vid=01CRU&amp;lang=en_US&amp;offset=0&amp;query=any,contains,991003744369702656","Catalog Record")</f>
        <v/>
      </c>
      <c r="AT617">
        <f>HYPERLINK("http://www.worldcat.org/oclc/1412906","WorldCat Record")</f>
        <v/>
      </c>
      <c r="AU617" t="inlineStr">
        <is>
          <t>1886914:eng</t>
        </is>
      </c>
      <c r="AV617" t="inlineStr">
        <is>
          <t>1412906</t>
        </is>
      </c>
      <c r="AW617" t="inlineStr">
        <is>
          <t>991003744369702656</t>
        </is>
      </c>
      <c r="AX617" t="inlineStr">
        <is>
          <t>991003744369702656</t>
        </is>
      </c>
      <c r="AY617" t="inlineStr">
        <is>
          <t>2255599480002656</t>
        </is>
      </c>
      <c r="AZ617" t="inlineStr">
        <is>
          <t>BOOK</t>
        </is>
      </c>
      <c r="BC617" t="inlineStr">
        <is>
          <t>32285002694650</t>
        </is>
      </c>
      <c r="BD617" t="inlineStr">
        <is>
          <t>893718028</t>
        </is>
      </c>
    </row>
    <row r="618">
      <c r="A618" t="inlineStr">
        <is>
          <t>No</t>
        </is>
      </c>
      <c r="B618" t="inlineStr">
        <is>
          <t>GN33 .R87 1996</t>
        </is>
      </c>
      <c r="C618" t="inlineStr">
        <is>
          <t>0                      GN 0033000R  87          1996</t>
        </is>
      </c>
      <c r="D618" t="inlineStr">
        <is>
          <t>Clinical anthropology : an application of anthropological concepts within clinical settings / John A. Rush.</t>
        </is>
      </c>
      <c r="F618" t="inlineStr">
        <is>
          <t>No</t>
        </is>
      </c>
      <c r="G618" t="inlineStr">
        <is>
          <t>1</t>
        </is>
      </c>
      <c r="H618" t="inlineStr">
        <is>
          <t>No</t>
        </is>
      </c>
      <c r="I618" t="inlineStr">
        <is>
          <t>No</t>
        </is>
      </c>
      <c r="J618" t="inlineStr">
        <is>
          <t>0</t>
        </is>
      </c>
      <c r="K618" t="inlineStr">
        <is>
          <t>Rush, John A.</t>
        </is>
      </c>
      <c r="L618" t="inlineStr">
        <is>
          <t>Westport, Conn. : Praeger, 1996.</t>
        </is>
      </c>
      <c r="M618" t="inlineStr">
        <is>
          <t>1996</t>
        </is>
      </c>
      <c r="O618" t="inlineStr">
        <is>
          <t>eng</t>
        </is>
      </c>
      <c r="P618" t="inlineStr">
        <is>
          <t>ctu</t>
        </is>
      </c>
      <c r="R618" t="inlineStr">
        <is>
          <t xml:space="preserve">GN </t>
        </is>
      </c>
      <c r="S618" t="n">
        <v>1</v>
      </c>
      <c r="T618" t="n">
        <v>1</v>
      </c>
      <c r="U618" t="inlineStr">
        <is>
          <t>2007-03-28</t>
        </is>
      </c>
      <c r="V618" t="inlineStr">
        <is>
          <t>2007-03-28</t>
        </is>
      </c>
      <c r="W618" t="inlineStr">
        <is>
          <t>2007-03-28</t>
        </is>
      </c>
      <c r="X618" t="inlineStr">
        <is>
          <t>2007-03-28</t>
        </is>
      </c>
      <c r="Y618" t="n">
        <v>279</v>
      </c>
      <c r="Z618" t="n">
        <v>228</v>
      </c>
      <c r="AA618" t="n">
        <v>230</v>
      </c>
      <c r="AB618" t="n">
        <v>3</v>
      </c>
      <c r="AC618" t="n">
        <v>3</v>
      </c>
      <c r="AD618" t="n">
        <v>10</v>
      </c>
      <c r="AE618" t="n">
        <v>10</v>
      </c>
      <c r="AF618" t="n">
        <v>1</v>
      </c>
      <c r="AG618" t="n">
        <v>1</v>
      </c>
      <c r="AH618" t="n">
        <v>4</v>
      </c>
      <c r="AI618" t="n">
        <v>4</v>
      </c>
      <c r="AJ618" t="n">
        <v>6</v>
      </c>
      <c r="AK618" t="n">
        <v>6</v>
      </c>
      <c r="AL618" t="n">
        <v>2</v>
      </c>
      <c r="AM618" t="n">
        <v>2</v>
      </c>
      <c r="AN618" t="n">
        <v>0</v>
      </c>
      <c r="AO618" t="n">
        <v>0</v>
      </c>
      <c r="AP618" t="inlineStr">
        <is>
          <t>No</t>
        </is>
      </c>
      <c r="AQ618" t="inlineStr">
        <is>
          <t>Yes</t>
        </is>
      </c>
      <c r="AR618">
        <f>HYPERLINK("http://catalog.hathitrust.org/Record/003096338","HathiTrust Record")</f>
        <v/>
      </c>
      <c r="AS618">
        <f>HYPERLINK("https://creighton-primo.hosted.exlibrisgroup.com/primo-explore/search?tab=default_tab&amp;search_scope=EVERYTHING&amp;vid=01CRU&amp;lang=en_US&amp;offset=0&amp;query=any,contains,991005052359702656","Catalog Record")</f>
        <v/>
      </c>
      <c r="AT618">
        <f>HYPERLINK("http://www.worldcat.org/oclc/34117380","WorldCat Record")</f>
        <v/>
      </c>
      <c r="AU618" t="inlineStr">
        <is>
          <t>334994085:eng</t>
        </is>
      </c>
      <c r="AV618" t="inlineStr">
        <is>
          <t>34117380</t>
        </is>
      </c>
      <c r="AW618" t="inlineStr">
        <is>
          <t>991005052359702656</t>
        </is>
      </c>
      <c r="AX618" t="inlineStr">
        <is>
          <t>991005052359702656</t>
        </is>
      </c>
      <c r="AY618" t="inlineStr">
        <is>
          <t>2272309840002656</t>
        </is>
      </c>
      <c r="AZ618" t="inlineStr">
        <is>
          <t>BOOK</t>
        </is>
      </c>
      <c r="BB618" t="inlineStr">
        <is>
          <t>9780275955717</t>
        </is>
      </c>
      <c r="BC618" t="inlineStr">
        <is>
          <t>32285005284186</t>
        </is>
      </c>
      <c r="BD618" t="inlineStr">
        <is>
          <t>893801643</t>
        </is>
      </c>
    </row>
    <row r="619">
      <c r="A619" t="inlineStr">
        <is>
          <t>No</t>
        </is>
      </c>
      <c r="B619" t="inlineStr">
        <is>
          <t>GN33.5 .F34 1990</t>
        </is>
      </c>
      <c r="C619" t="inlineStr">
        <is>
          <t>0                      GN 0033500F  34          1990</t>
        </is>
      </c>
      <c r="D619" t="inlineStr">
        <is>
          <t>The journey from Eden : the peopling of our world / Brian M. Fagan.</t>
        </is>
      </c>
      <c r="F619" t="inlineStr">
        <is>
          <t>No</t>
        </is>
      </c>
      <c r="G619" t="inlineStr">
        <is>
          <t>1</t>
        </is>
      </c>
      <c r="H619" t="inlineStr">
        <is>
          <t>No</t>
        </is>
      </c>
      <c r="I619" t="inlineStr">
        <is>
          <t>No</t>
        </is>
      </c>
      <c r="J619" t="inlineStr">
        <is>
          <t>0</t>
        </is>
      </c>
      <c r="K619" t="inlineStr">
        <is>
          <t>Fagan, Brian M.</t>
        </is>
      </c>
      <c r="L619" t="inlineStr">
        <is>
          <t>New York : Thames and Hudson, c1990.</t>
        </is>
      </c>
      <c r="M619" t="inlineStr">
        <is>
          <t>1990</t>
        </is>
      </c>
      <c r="O619" t="inlineStr">
        <is>
          <t>eng</t>
        </is>
      </c>
      <c r="P619" t="inlineStr">
        <is>
          <t>nyu</t>
        </is>
      </c>
      <c r="R619" t="inlineStr">
        <is>
          <t xml:space="preserve">GN </t>
        </is>
      </c>
      <c r="S619" t="n">
        <v>8</v>
      </c>
      <c r="T619" t="n">
        <v>8</v>
      </c>
      <c r="U619" t="inlineStr">
        <is>
          <t>2007-02-05</t>
        </is>
      </c>
      <c r="V619" t="inlineStr">
        <is>
          <t>2007-02-05</t>
        </is>
      </c>
      <c r="W619" t="inlineStr">
        <is>
          <t>1991-01-03</t>
        </is>
      </c>
      <c r="X619" t="inlineStr">
        <is>
          <t>1991-01-03</t>
        </is>
      </c>
      <c r="Y619" t="n">
        <v>1018</v>
      </c>
      <c r="Z619" t="n">
        <v>878</v>
      </c>
      <c r="AA619" t="n">
        <v>1031</v>
      </c>
      <c r="AB619" t="n">
        <v>7</v>
      </c>
      <c r="AC619" t="n">
        <v>9</v>
      </c>
      <c r="AD619" t="n">
        <v>19</v>
      </c>
      <c r="AE619" t="n">
        <v>31</v>
      </c>
      <c r="AF619" t="n">
        <v>6</v>
      </c>
      <c r="AG619" t="n">
        <v>12</v>
      </c>
      <c r="AH619" t="n">
        <v>5</v>
      </c>
      <c r="AI619" t="n">
        <v>9</v>
      </c>
      <c r="AJ619" t="n">
        <v>9</v>
      </c>
      <c r="AK619" t="n">
        <v>12</v>
      </c>
      <c r="AL619" t="n">
        <v>3</v>
      </c>
      <c r="AM619" t="n">
        <v>5</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HYPERLINK("https://creighton-primo.hosted.exlibrisgroup.com/primo-explore/search?tab=default_tab&amp;search_scope=EVERYTHING&amp;vid=01CRU&amp;lang=en_US&amp;offset=0&amp;query=any,contains,991001800979702656","Catalog Record")</f>
        <v/>
      </c>
      <c r="AT619">
        <f>HYPERLINK("http://www.worldcat.org/oclc/22633749","WorldCat Record")</f>
        <v/>
      </c>
      <c r="AU619" t="inlineStr">
        <is>
          <t>24420027:eng</t>
        </is>
      </c>
      <c r="AV619" t="inlineStr">
        <is>
          <t>22633749</t>
        </is>
      </c>
      <c r="AW619" t="inlineStr">
        <is>
          <t>991001800979702656</t>
        </is>
      </c>
      <c r="AX619" t="inlineStr">
        <is>
          <t>991001800979702656</t>
        </is>
      </c>
      <c r="AY619" t="inlineStr">
        <is>
          <t>2268380040002656</t>
        </is>
      </c>
      <c r="AZ619" t="inlineStr">
        <is>
          <t>BOOK</t>
        </is>
      </c>
      <c r="BB619" t="inlineStr">
        <is>
          <t>9780500050576</t>
        </is>
      </c>
      <c r="BC619" t="inlineStr">
        <is>
          <t>32285000407048</t>
        </is>
      </c>
      <c r="BD619" t="inlineStr">
        <is>
          <t>893497386</t>
        </is>
      </c>
    </row>
    <row r="620">
      <c r="A620" t="inlineStr">
        <is>
          <t>No</t>
        </is>
      </c>
      <c r="B620" t="inlineStr">
        <is>
          <t>GN33.6 .A6</t>
        </is>
      </c>
      <c r="C620" t="inlineStr">
        <is>
          <t>0                      GN 0033600A  6</t>
        </is>
      </c>
      <c r="D620" t="inlineStr">
        <is>
          <t>Ethical dilemmas in anthropological inquiry : a case book / by G. N. Appell.</t>
        </is>
      </c>
      <c r="F620" t="inlineStr">
        <is>
          <t>No</t>
        </is>
      </c>
      <c r="G620" t="inlineStr">
        <is>
          <t>1</t>
        </is>
      </c>
      <c r="H620" t="inlineStr">
        <is>
          <t>Yes</t>
        </is>
      </c>
      <c r="I620" t="inlineStr">
        <is>
          <t>No</t>
        </is>
      </c>
      <c r="J620" t="inlineStr">
        <is>
          <t>0</t>
        </is>
      </c>
      <c r="K620" t="inlineStr">
        <is>
          <t>Appell, George N.</t>
        </is>
      </c>
      <c r="L620" t="inlineStr">
        <is>
          <t>[Waltham, Mass.?] : Crossroads Press, c1978.</t>
        </is>
      </c>
      <c r="M620" t="inlineStr">
        <is>
          <t>1978</t>
        </is>
      </c>
      <c r="O620" t="inlineStr">
        <is>
          <t>eng</t>
        </is>
      </c>
      <c r="P620" t="inlineStr">
        <is>
          <t>mau</t>
        </is>
      </c>
      <c r="R620" t="inlineStr">
        <is>
          <t xml:space="preserve">GN </t>
        </is>
      </c>
      <c r="S620" t="n">
        <v>1</v>
      </c>
      <c r="T620" t="n">
        <v>1</v>
      </c>
      <c r="U620" t="inlineStr">
        <is>
          <t>2002-12-01</t>
        </is>
      </c>
      <c r="V620" t="inlineStr">
        <is>
          <t>2002-12-01</t>
        </is>
      </c>
      <c r="W620" t="inlineStr">
        <is>
          <t>1990-09-18</t>
        </is>
      </c>
      <c r="X620" t="inlineStr">
        <is>
          <t>1990-09-18</t>
        </is>
      </c>
      <c r="Y620" t="n">
        <v>336</v>
      </c>
      <c r="Z620" t="n">
        <v>266</v>
      </c>
      <c r="AA620" t="n">
        <v>266</v>
      </c>
      <c r="AB620" t="n">
        <v>4</v>
      </c>
      <c r="AC620" t="n">
        <v>4</v>
      </c>
      <c r="AD620" t="n">
        <v>11</v>
      </c>
      <c r="AE620" t="n">
        <v>11</v>
      </c>
      <c r="AF620" t="n">
        <v>3</v>
      </c>
      <c r="AG620" t="n">
        <v>3</v>
      </c>
      <c r="AH620" t="n">
        <v>3</v>
      </c>
      <c r="AI620" t="n">
        <v>3</v>
      </c>
      <c r="AJ620" t="n">
        <v>5</v>
      </c>
      <c r="AK620" t="n">
        <v>5</v>
      </c>
      <c r="AL620" t="n">
        <v>2</v>
      </c>
      <c r="AM620" t="n">
        <v>2</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HYPERLINK("https://creighton-primo.hosted.exlibrisgroup.com/primo-explore/search?tab=default_tab&amp;search_scope=EVERYTHING&amp;vid=01CRU&amp;lang=en_US&amp;offset=0&amp;query=any,contains,991001765009702656","Catalog Record")</f>
        <v/>
      </c>
      <c r="AT620">
        <f>HYPERLINK("http://www.worldcat.org/oclc/10710629","WorldCat Record")</f>
        <v/>
      </c>
      <c r="AU620" t="inlineStr">
        <is>
          <t>257243392:eng</t>
        </is>
      </c>
      <c r="AV620" t="inlineStr">
        <is>
          <t>10710629</t>
        </is>
      </c>
      <c r="AW620" t="inlineStr">
        <is>
          <t>991001765009702656</t>
        </is>
      </c>
      <c r="AX620" t="inlineStr">
        <is>
          <t>991001765009702656</t>
        </is>
      </c>
      <c r="AY620" t="inlineStr">
        <is>
          <t>2272473300002656</t>
        </is>
      </c>
      <c r="AZ620" t="inlineStr">
        <is>
          <t>BOOK</t>
        </is>
      </c>
      <c r="BB620" t="inlineStr">
        <is>
          <t>9780773502970</t>
        </is>
      </c>
      <c r="BC620" t="inlineStr">
        <is>
          <t>32285000289602</t>
        </is>
      </c>
      <c r="BD620" t="inlineStr">
        <is>
          <t>893433099</t>
        </is>
      </c>
    </row>
    <row r="621">
      <c r="A621" t="inlineStr">
        <is>
          <t>No</t>
        </is>
      </c>
      <c r="B621" t="inlineStr">
        <is>
          <t>GN345 .A34 1986</t>
        </is>
      </c>
      <c r="C621" t="inlineStr">
        <is>
          <t>0                      GN 0345000A  34          1986</t>
        </is>
      </c>
      <c r="D621" t="inlineStr">
        <is>
          <t>Speaking of ethnography / Michael H. Agar.</t>
        </is>
      </c>
      <c r="F621" t="inlineStr">
        <is>
          <t>No</t>
        </is>
      </c>
      <c r="G621" t="inlineStr">
        <is>
          <t>1</t>
        </is>
      </c>
      <c r="H621" t="inlineStr">
        <is>
          <t>No</t>
        </is>
      </c>
      <c r="I621" t="inlineStr">
        <is>
          <t>No</t>
        </is>
      </c>
      <c r="J621" t="inlineStr">
        <is>
          <t>0</t>
        </is>
      </c>
      <c r="K621" t="inlineStr">
        <is>
          <t>Agar, Michael.</t>
        </is>
      </c>
      <c r="L621" t="inlineStr">
        <is>
          <t>Beverly Hills : Sage Publications, c1986.</t>
        </is>
      </c>
      <c r="M621" t="inlineStr">
        <is>
          <t>1986</t>
        </is>
      </c>
      <c r="O621" t="inlineStr">
        <is>
          <t>eng</t>
        </is>
      </c>
      <c r="P621" t="inlineStr">
        <is>
          <t>cau</t>
        </is>
      </c>
      <c r="Q621" t="inlineStr">
        <is>
          <t>Qualitative research methods ; v. 2</t>
        </is>
      </c>
      <c r="R621" t="inlineStr">
        <is>
          <t xml:space="preserve">GN </t>
        </is>
      </c>
      <c r="S621" t="n">
        <v>3</v>
      </c>
      <c r="T621" t="n">
        <v>3</v>
      </c>
      <c r="U621" t="inlineStr">
        <is>
          <t>1996-04-29</t>
        </is>
      </c>
      <c r="V621" t="inlineStr">
        <is>
          <t>1996-04-29</t>
        </is>
      </c>
      <c r="W621" t="inlineStr">
        <is>
          <t>1990-09-20</t>
        </is>
      </c>
      <c r="X621" t="inlineStr">
        <is>
          <t>1990-09-20</t>
        </is>
      </c>
      <c r="Y621" t="n">
        <v>763</v>
      </c>
      <c r="Z621" t="n">
        <v>543</v>
      </c>
      <c r="AA621" t="n">
        <v>582</v>
      </c>
      <c r="AB621" t="n">
        <v>4</v>
      </c>
      <c r="AC621" t="n">
        <v>4</v>
      </c>
      <c r="AD621" t="n">
        <v>25</v>
      </c>
      <c r="AE621" t="n">
        <v>26</v>
      </c>
      <c r="AF621" t="n">
        <v>7</v>
      </c>
      <c r="AG621" t="n">
        <v>8</v>
      </c>
      <c r="AH621" t="n">
        <v>7</v>
      </c>
      <c r="AI621" t="n">
        <v>7</v>
      </c>
      <c r="AJ621" t="n">
        <v>13</v>
      </c>
      <c r="AK621" t="n">
        <v>13</v>
      </c>
      <c r="AL621" t="n">
        <v>3</v>
      </c>
      <c r="AM621" t="n">
        <v>3</v>
      </c>
      <c r="AN621" t="n">
        <v>0</v>
      </c>
      <c r="AO621" t="n">
        <v>0</v>
      </c>
      <c r="AP621" t="inlineStr">
        <is>
          <t>No</t>
        </is>
      </c>
      <c r="AQ621" t="inlineStr">
        <is>
          <t>Yes</t>
        </is>
      </c>
      <c r="AR621">
        <f>HYPERLINK("http://catalog.hathitrust.org/Record/000628968","HathiTrust Record")</f>
        <v/>
      </c>
      <c r="AS621">
        <f>HYPERLINK("https://creighton-primo.hosted.exlibrisgroup.com/primo-explore/search?tab=default_tab&amp;search_scope=EVERYTHING&amp;vid=01CRU&amp;lang=en_US&amp;offset=0&amp;query=any,contains,991000757769702656","Catalog Record")</f>
        <v/>
      </c>
      <c r="AT621">
        <f>HYPERLINK("http://www.worldcat.org/oclc/12954832","WorldCat Record")</f>
        <v/>
      </c>
      <c r="AU621" t="inlineStr">
        <is>
          <t>143621018:eng</t>
        </is>
      </c>
      <c r="AV621" t="inlineStr">
        <is>
          <t>12954832</t>
        </is>
      </c>
      <c r="AW621" t="inlineStr">
        <is>
          <t>991000757769702656</t>
        </is>
      </c>
      <c r="AX621" t="inlineStr">
        <is>
          <t>991000757769702656</t>
        </is>
      </c>
      <c r="AY621" t="inlineStr">
        <is>
          <t>2254752300002656</t>
        </is>
      </c>
      <c r="AZ621" t="inlineStr">
        <is>
          <t>BOOK</t>
        </is>
      </c>
      <c r="BB621" t="inlineStr">
        <is>
          <t>9780803925618</t>
        </is>
      </c>
      <c r="BC621" t="inlineStr">
        <is>
          <t>32285000315761</t>
        </is>
      </c>
      <c r="BD621" t="inlineStr">
        <is>
          <t>893243547</t>
        </is>
      </c>
    </row>
    <row r="622">
      <c r="A622" t="inlineStr">
        <is>
          <t>No</t>
        </is>
      </c>
      <c r="B622" t="inlineStr">
        <is>
          <t>GN345 .A56 2007</t>
        </is>
      </c>
      <c r="C622" t="inlineStr">
        <is>
          <t>0                      GN 0345000A  56          2007</t>
        </is>
      </c>
      <c r="D622" t="inlineStr">
        <is>
          <t>Naturalistic observation / Michael V. Angrosino.</t>
        </is>
      </c>
      <c r="F622" t="inlineStr">
        <is>
          <t>No</t>
        </is>
      </c>
      <c r="G622" t="inlineStr">
        <is>
          <t>1</t>
        </is>
      </c>
      <c r="H622" t="inlineStr">
        <is>
          <t>No</t>
        </is>
      </c>
      <c r="I622" t="inlineStr">
        <is>
          <t>No</t>
        </is>
      </c>
      <c r="J622" t="inlineStr">
        <is>
          <t>0</t>
        </is>
      </c>
      <c r="K622" t="inlineStr">
        <is>
          <t>Angrosino, Michael V.</t>
        </is>
      </c>
      <c r="L622" t="inlineStr">
        <is>
          <t>Walnut Creek, Calif. : Left Coast Press, c2007.</t>
        </is>
      </c>
      <c r="M622" t="inlineStr">
        <is>
          <t>2007</t>
        </is>
      </c>
      <c r="O622" t="inlineStr">
        <is>
          <t>eng</t>
        </is>
      </c>
      <c r="P622" t="inlineStr">
        <is>
          <t>cau</t>
        </is>
      </c>
      <c r="Q622" t="inlineStr">
        <is>
          <t>Qualitative essentials</t>
        </is>
      </c>
      <c r="R622" t="inlineStr">
        <is>
          <t xml:space="preserve">GN </t>
        </is>
      </c>
      <c r="S622" t="n">
        <v>1</v>
      </c>
      <c r="T622" t="n">
        <v>1</v>
      </c>
      <c r="U622" t="inlineStr">
        <is>
          <t>2007-10-03</t>
        </is>
      </c>
      <c r="V622" t="inlineStr">
        <is>
          <t>2007-10-03</t>
        </is>
      </c>
      <c r="W622" t="inlineStr">
        <is>
          <t>2007-10-03</t>
        </is>
      </c>
      <c r="X622" t="inlineStr">
        <is>
          <t>2007-10-03</t>
        </is>
      </c>
      <c r="Y622" t="n">
        <v>160</v>
      </c>
      <c r="Z622" t="n">
        <v>101</v>
      </c>
      <c r="AA622" t="n">
        <v>121</v>
      </c>
      <c r="AB622" t="n">
        <v>1</v>
      </c>
      <c r="AC622" t="n">
        <v>1</v>
      </c>
      <c r="AD622" t="n">
        <v>6</v>
      </c>
      <c r="AE622" t="n">
        <v>6</v>
      </c>
      <c r="AF622" t="n">
        <v>2</v>
      </c>
      <c r="AG622" t="n">
        <v>2</v>
      </c>
      <c r="AH622" t="n">
        <v>3</v>
      </c>
      <c r="AI622" t="n">
        <v>3</v>
      </c>
      <c r="AJ622" t="n">
        <v>4</v>
      </c>
      <c r="AK622" t="n">
        <v>4</v>
      </c>
      <c r="AL622" t="n">
        <v>0</v>
      </c>
      <c r="AM622" t="n">
        <v>0</v>
      </c>
      <c r="AN622" t="n">
        <v>0</v>
      </c>
      <c r="AO622" t="n">
        <v>0</v>
      </c>
      <c r="AP622" t="inlineStr">
        <is>
          <t>No</t>
        </is>
      </c>
      <c r="AQ622" t="inlineStr">
        <is>
          <t>Yes</t>
        </is>
      </c>
      <c r="AR622">
        <f>HYPERLINK("http://catalog.hathitrust.org/Record/005627292","HathiTrust Record")</f>
        <v/>
      </c>
      <c r="AS622">
        <f>HYPERLINK("https://creighton-primo.hosted.exlibrisgroup.com/primo-explore/search?tab=default_tab&amp;search_scope=EVERYTHING&amp;vid=01CRU&amp;lang=en_US&amp;offset=0&amp;query=any,contains,991005121769702656","Catalog Record")</f>
        <v/>
      </c>
      <c r="AT622">
        <f>HYPERLINK("http://www.worldcat.org/oclc/85161964","WorldCat Record")</f>
        <v/>
      </c>
      <c r="AU622" t="inlineStr">
        <is>
          <t>69161007:eng</t>
        </is>
      </c>
      <c r="AV622" t="inlineStr">
        <is>
          <t>85161964</t>
        </is>
      </c>
      <c r="AW622" t="inlineStr">
        <is>
          <t>991005121769702656</t>
        </is>
      </c>
      <c r="AX622" t="inlineStr">
        <is>
          <t>991005121769702656</t>
        </is>
      </c>
      <c r="AY622" t="inlineStr">
        <is>
          <t>2271111010002656</t>
        </is>
      </c>
      <c r="AZ622" t="inlineStr">
        <is>
          <t>BOOK</t>
        </is>
      </c>
      <c r="BB622" t="inlineStr">
        <is>
          <t>9781598740592</t>
        </is>
      </c>
      <c r="BC622" t="inlineStr">
        <is>
          <t>32285005328686</t>
        </is>
      </c>
      <c r="BD622" t="inlineStr">
        <is>
          <t>893795645</t>
        </is>
      </c>
    </row>
    <row r="623">
      <c r="A623" t="inlineStr">
        <is>
          <t>No</t>
        </is>
      </c>
      <c r="B623" t="inlineStr">
        <is>
          <t>GN345 .B27</t>
        </is>
      </c>
      <c r="C623" t="inlineStr">
        <is>
          <t>0                      GN 0345000B  27</t>
        </is>
      </c>
      <c r="D623" t="inlineStr">
        <is>
          <t>Ideology and everyday life : anthropology, neomarxist thought, and the problem of ideology and the social whole / Steve Barnett, Martin G. Silverman.</t>
        </is>
      </c>
      <c r="F623" t="inlineStr">
        <is>
          <t>No</t>
        </is>
      </c>
      <c r="G623" t="inlineStr">
        <is>
          <t>1</t>
        </is>
      </c>
      <c r="H623" t="inlineStr">
        <is>
          <t>No</t>
        </is>
      </c>
      <c r="I623" t="inlineStr">
        <is>
          <t>No</t>
        </is>
      </c>
      <c r="J623" t="inlineStr">
        <is>
          <t>0</t>
        </is>
      </c>
      <c r="K623" t="inlineStr">
        <is>
          <t>Barnett, Steve, 1941-</t>
        </is>
      </c>
      <c r="L623" t="inlineStr">
        <is>
          <t>Ann Arbor : University of Michigan Press, c1979.</t>
        </is>
      </c>
      <c r="M623" t="inlineStr">
        <is>
          <t>1979</t>
        </is>
      </c>
      <c r="O623" t="inlineStr">
        <is>
          <t>eng</t>
        </is>
      </c>
      <c r="P623" t="inlineStr">
        <is>
          <t>miu</t>
        </is>
      </c>
      <c r="Q623" t="inlineStr">
        <is>
          <t>Anthropology series : Studies in cultural analysis</t>
        </is>
      </c>
      <c r="R623" t="inlineStr">
        <is>
          <t xml:space="preserve">GN </t>
        </is>
      </c>
      <c r="S623" t="n">
        <v>2</v>
      </c>
      <c r="T623" t="n">
        <v>2</v>
      </c>
      <c r="U623" t="inlineStr">
        <is>
          <t>2007-11-12</t>
        </is>
      </c>
      <c r="V623" t="inlineStr">
        <is>
          <t>2007-11-12</t>
        </is>
      </c>
      <c r="W623" t="inlineStr">
        <is>
          <t>1990-09-20</t>
        </is>
      </c>
      <c r="X623" t="inlineStr">
        <is>
          <t>1990-09-20</t>
        </is>
      </c>
      <c r="Y623" t="n">
        <v>357</v>
      </c>
      <c r="Z623" t="n">
        <v>284</v>
      </c>
      <c r="AA623" t="n">
        <v>286</v>
      </c>
      <c r="AB623" t="n">
        <v>2</v>
      </c>
      <c r="AC623" t="n">
        <v>2</v>
      </c>
      <c r="AD623" t="n">
        <v>10</v>
      </c>
      <c r="AE623" t="n">
        <v>10</v>
      </c>
      <c r="AF623" t="n">
        <v>2</v>
      </c>
      <c r="AG623" t="n">
        <v>2</v>
      </c>
      <c r="AH623" t="n">
        <v>3</v>
      </c>
      <c r="AI623" t="n">
        <v>3</v>
      </c>
      <c r="AJ623" t="n">
        <v>7</v>
      </c>
      <c r="AK623" t="n">
        <v>7</v>
      </c>
      <c r="AL623" t="n">
        <v>1</v>
      </c>
      <c r="AM623" t="n">
        <v>1</v>
      </c>
      <c r="AN623" t="n">
        <v>0</v>
      </c>
      <c r="AO623" t="n">
        <v>0</v>
      </c>
      <c r="AP623" t="inlineStr">
        <is>
          <t>No</t>
        </is>
      </c>
      <c r="AQ623" t="inlineStr">
        <is>
          <t>Yes</t>
        </is>
      </c>
      <c r="AR623">
        <f>HYPERLINK("http://catalog.hathitrust.org/Record/000299950","HathiTrust Record")</f>
        <v/>
      </c>
      <c r="AS623">
        <f>HYPERLINK("https://creighton-primo.hosted.exlibrisgroup.com/primo-explore/search?tab=default_tab&amp;search_scope=EVERYTHING&amp;vid=01CRU&amp;lang=en_US&amp;offset=0&amp;query=any,contains,991004741069702656","Catalog Record")</f>
        <v/>
      </c>
      <c r="AT623">
        <f>HYPERLINK("http://www.worldcat.org/oclc/4883586","WorldCat Record")</f>
        <v/>
      </c>
      <c r="AU623" t="inlineStr">
        <is>
          <t>15076665:eng</t>
        </is>
      </c>
      <c r="AV623" t="inlineStr">
        <is>
          <t>4883586</t>
        </is>
      </c>
      <c r="AW623" t="inlineStr">
        <is>
          <t>991004741069702656</t>
        </is>
      </c>
      <c r="AX623" t="inlineStr">
        <is>
          <t>991004741069702656</t>
        </is>
      </c>
      <c r="AY623" t="inlineStr">
        <is>
          <t>2264012150002656</t>
        </is>
      </c>
      <c r="AZ623" t="inlineStr">
        <is>
          <t>BOOK</t>
        </is>
      </c>
      <c r="BB623" t="inlineStr">
        <is>
          <t>9780472027040</t>
        </is>
      </c>
      <c r="BC623" t="inlineStr">
        <is>
          <t>32285000315779</t>
        </is>
      </c>
      <c r="BD623" t="inlineStr">
        <is>
          <t>893700594</t>
        </is>
      </c>
    </row>
    <row r="624">
      <c r="A624" t="inlineStr">
        <is>
          <t>No</t>
        </is>
      </c>
      <c r="B624" t="inlineStr">
        <is>
          <t>GN345 .B66 1982</t>
        </is>
      </c>
      <c r="C624" t="inlineStr">
        <is>
          <t>0                      GN 0345000B  66          1982</t>
        </is>
      </c>
      <c r="D624" t="inlineStr">
        <is>
          <t>Other tribes, other scribes : symbolic anthropology in the comparative study of cultures, histories, religions, and texts / James A. Boon.</t>
        </is>
      </c>
      <c r="F624" t="inlineStr">
        <is>
          <t>No</t>
        </is>
      </c>
      <c r="G624" t="inlineStr">
        <is>
          <t>1</t>
        </is>
      </c>
      <c r="H624" t="inlineStr">
        <is>
          <t>No</t>
        </is>
      </c>
      <c r="I624" t="inlineStr">
        <is>
          <t>No</t>
        </is>
      </c>
      <c r="J624" t="inlineStr">
        <is>
          <t>0</t>
        </is>
      </c>
      <c r="K624" t="inlineStr">
        <is>
          <t>Boon, James A.</t>
        </is>
      </c>
      <c r="L624" t="inlineStr">
        <is>
          <t>Cambridge [Cambridgeshire] ; New York : Cambridge University Press, c1982, 1987 printing.</t>
        </is>
      </c>
      <c r="M624" t="inlineStr">
        <is>
          <t>1982</t>
        </is>
      </c>
      <c r="O624" t="inlineStr">
        <is>
          <t>eng</t>
        </is>
      </c>
      <c r="P624" t="inlineStr">
        <is>
          <t>enk</t>
        </is>
      </c>
      <c r="R624" t="inlineStr">
        <is>
          <t xml:space="preserve">GN </t>
        </is>
      </c>
      <c r="S624" t="n">
        <v>2</v>
      </c>
      <c r="T624" t="n">
        <v>2</v>
      </c>
      <c r="U624" t="inlineStr">
        <is>
          <t>2005-02-07</t>
        </is>
      </c>
      <c r="V624" t="inlineStr">
        <is>
          <t>2005-02-07</t>
        </is>
      </c>
      <c r="W624" t="inlineStr">
        <is>
          <t>1990-09-20</t>
        </is>
      </c>
      <c r="X624" t="inlineStr">
        <is>
          <t>1990-09-20</t>
        </is>
      </c>
      <c r="Y624" t="n">
        <v>583</v>
      </c>
      <c r="Z624" t="n">
        <v>424</v>
      </c>
      <c r="AA624" t="n">
        <v>430</v>
      </c>
      <c r="AB624" t="n">
        <v>3</v>
      </c>
      <c r="AC624" t="n">
        <v>3</v>
      </c>
      <c r="AD624" t="n">
        <v>17</v>
      </c>
      <c r="AE624" t="n">
        <v>17</v>
      </c>
      <c r="AF624" t="n">
        <v>5</v>
      </c>
      <c r="AG624" t="n">
        <v>5</v>
      </c>
      <c r="AH624" t="n">
        <v>6</v>
      </c>
      <c r="AI624" t="n">
        <v>6</v>
      </c>
      <c r="AJ624" t="n">
        <v>9</v>
      </c>
      <c r="AK624" t="n">
        <v>9</v>
      </c>
      <c r="AL624" t="n">
        <v>2</v>
      </c>
      <c r="AM624" t="n">
        <v>2</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HYPERLINK("https://creighton-primo.hosted.exlibrisgroup.com/primo-explore/search?tab=default_tab&amp;search_scope=EVERYTHING&amp;vid=01CRU&amp;lang=en_US&amp;offset=0&amp;query=any,contains,991005251119702656","Catalog Record")</f>
        <v/>
      </c>
      <c r="AT624">
        <f>HYPERLINK("http://www.worldcat.org/oclc/8493432","WorldCat Record")</f>
        <v/>
      </c>
      <c r="AU624" t="inlineStr">
        <is>
          <t>32064035:eng</t>
        </is>
      </c>
      <c r="AV624" t="inlineStr">
        <is>
          <t>8493432</t>
        </is>
      </c>
      <c r="AW624" t="inlineStr">
        <is>
          <t>991005251119702656</t>
        </is>
      </c>
      <c r="AX624" t="inlineStr">
        <is>
          <t>991005251119702656</t>
        </is>
      </c>
      <c r="AY624" t="inlineStr">
        <is>
          <t>2261541740002656</t>
        </is>
      </c>
      <c r="AZ624" t="inlineStr">
        <is>
          <t>BOOK</t>
        </is>
      </c>
      <c r="BB624" t="inlineStr">
        <is>
          <t>9780521250818</t>
        </is>
      </c>
      <c r="BC624" t="inlineStr">
        <is>
          <t>32285000315795</t>
        </is>
      </c>
      <c r="BD624" t="inlineStr">
        <is>
          <t>893263707</t>
        </is>
      </c>
    </row>
    <row r="625">
      <c r="A625" t="inlineStr">
        <is>
          <t>No</t>
        </is>
      </c>
      <c r="B625" t="inlineStr">
        <is>
          <t>GN345 .C55 1992</t>
        </is>
      </c>
      <c r="C625" t="inlineStr">
        <is>
          <t>0                      GN 0345000C  55          1992</t>
        </is>
      </c>
      <c r="D625" t="inlineStr">
        <is>
          <t>The end(s) of ethnography : from realism to social criticism / Patricia Ticineto Clough.</t>
        </is>
      </c>
      <c r="F625" t="inlineStr">
        <is>
          <t>No</t>
        </is>
      </c>
      <c r="G625" t="inlineStr">
        <is>
          <t>1</t>
        </is>
      </c>
      <c r="H625" t="inlineStr">
        <is>
          <t>No</t>
        </is>
      </c>
      <c r="I625" t="inlineStr">
        <is>
          <t>No</t>
        </is>
      </c>
      <c r="J625" t="inlineStr">
        <is>
          <t>0</t>
        </is>
      </c>
      <c r="K625" t="inlineStr">
        <is>
          <t>Clough, Patricia Ticineto, 1945-</t>
        </is>
      </c>
      <c r="L625" t="inlineStr">
        <is>
          <t>Newbury Park, Calif. : Sage Publications, 1992.</t>
        </is>
      </c>
      <c r="M625" t="inlineStr">
        <is>
          <t>1992</t>
        </is>
      </c>
      <c r="O625" t="inlineStr">
        <is>
          <t>eng</t>
        </is>
      </c>
      <c r="P625" t="inlineStr">
        <is>
          <t>cau</t>
        </is>
      </c>
      <c r="Q625" t="inlineStr">
        <is>
          <t>Sociological observations ; 21</t>
        </is>
      </c>
      <c r="R625" t="inlineStr">
        <is>
          <t xml:space="preserve">GN </t>
        </is>
      </c>
      <c r="S625" t="n">
        <v>1</v>
      </c>
      <c r="T625" t="n">
        <v>1</v>
      </c>
      <c r="U625" t="inlineStr">
        <is>
          <t>1994-12-01</t>
        </is>
      </c>
      <c r="V625" t="inlineStr">
        <is>
          <t>1994-12-01</t>
        </is>
      </c>
      <c r="W625" t="inlineStr">
        <is>
          <t>1992-09-03</t>
        </is>
      </c>
      <c r="X625" t="inlineStr">
        <is>
          <t>1992-09-03</t>
        </is>
      </c>
      <c r="Y625" t="n">
        <v>402</v>
      </c>
      <c r="Z625" t="n">
        <v>254</v>
      </c>
      <c r="AA625" t="n">
        <v>311</v>
      </c>
      <c r="AB625" t="n">
        <v>3</v>
      </c>
      <c r="AC625" t="n">
        <v>3</v>
      </c>
      <c r="AD625" t="n">
        <v>14</v>
      </c>
      <c r="AE625" t="n">
        <v>21</v>
      </c>
      <c r="AF625" t="n">
        <v>5</v>
      </c>
      <c r="AG625" t="n">
        <v>6</v>
      </c>
      <c r="AH625" t="n">
        <v>3</v>
      </c>
      <c r="AI625" t="n">
        <v>6</v>
      </c>
      <c r="AJ625" t="n">
        <v>7</v>
      </c>
      <c r="AK625" t="n">
        <v>11</v>
      </c>
      <c r="AL625" t="n">
        <v>2</v>
      </c>
      <c r="AM625" t="n">
        <v>2</v>
      </c>
      <c r="AN625" t="n">
        <v>0</v>
      </c>
      <c r="AO625" t="n">
        <v>0</v>
      </c>
      <c r="AP625" t="inlineStr">
        <is>
          <t>No</t>
        </is>
      </c>
      <c r="AQ625" t="inlineStr">
        <is>
          <t>Yes</t>
        </is>
      </c>
      <c r="AR625">
        <f>HYPERLINK("http://catalog.hathitrust.org/Record/002575133","HathiTrust Record")</f>
        <v/>
      </c>
      <c r="AS625">
        <f>HYPERLINK("https://creighton-primo.hosted.exlibrisgroup.com/primo-explore/search?tab=default_tab&amp;search_scope=EVERYTHING&amp;vid=01CRU&amp;lang=en_US&amp;offset=0&amp;query=any,contains,991002013629702656","Catalog Record")</f>
        <v/>
      </c>
      <c r="AT625">
        <f>HYPERLINK("http://www.worldcat.org/oclc/25629349","WorldCat Record")</f>
        <v/>
      </c>
      <c r="AU625" t="inlineStr">
        <is>
          <t>836726495:eng</t>
        </is>
      </c>
      <c r="AV625" t="inlineStr">
        <is>
          <t>25629349</t>
        </is>
      </c>
      <c r="AW625" t="inlineStr">
        <is>
          <t>991002013629702656</t>
        </is>
      </c>
      <c r="AX625" t="inlineStr">
        <is>
          <t>991002013629702656</t>
        </is>
      </c>
      <c r="AY625" t="inlineStr">
        <is>
          <t>2259894680002656</t>
        </is>
      </c>
      <c r="AZ625" t="inlineStr">
        <is>
          <t>BOOK</t>
        </is>
      </c>
      <c r="BB625" t="inlineStr">
        <is>
          <t>9780803946309</t>
        </is>
      </c>
      <c r="BC625" t="inlineStr">
        <is>
          <t>32285001285500</t>
        </is>
      </c>
      <c r="BD625" t="inlineStr">
        <is>
          <t>893238526</t>
        </is>
      </c>
    </row>
    <row r="626">
      <c r="A626" t="inlineStr">
        <is>
          <t>No</t>
        </is>
      </c>
      <c r="B626" t="inlineStr">
        <is>
          <t>GN345 .D43 1991</t>
        </is>
      </c>
      <c r="C626" t="inlineStr">
        <is>
          <t>0                      GN 0345000D  43          1991</t>
        </is>
      </c>
      <c r="D626" t="inlineStr">
        <is>
          <t>Decolonizing anthropology : moving further toward an anthropology for liberation / edited by Faye V. Harrison.</t>
        </is>
      </c>
      <c r="F626" t="inlineStr">
        <is>
          <t>No</t>
        </is>
      </c>
      <c r="G626" t="inlineStr">
        <is>
          <t>1</t>
        </is>
      </c>
      <c r="H626" t="inlineStr">
        <is>
          <t>No</t>
        </is>
      </c>
      <c r="I626" t="inlineStr">
        <is>
          <t>No</t>
        </is>
      </c>
      <c r="J626" t="inlineStr">
        <is>
          <t>0</t>
        </is>
      </c>
      <c r="L626" t="inlineStr">
        <is>
          <t>Washington, D.C. : Association of Black Anthropologists : American Anthropological Association, c1991.</t>
        </is>
      </c>
      <c r="M626" t="inlineStr">
        <is>
          <t>1991</t>
        </is>
      </c>
      <c r="O626" t="inlineStr">
        <is>
          <t>eng</t>
        </is>
      </c>
      <c r="P626" t="inlineStr">
        <is>
          <t>dcu</t>
        </is>
      </c>
      <c r="R626" t="inlineStr">
        <is>
          <t xml:space="preserve">GN </t>
        </is>
      </c>
      <c r="S626" t="n">
        <v>4</v>
      </c>
      <c r="T626" t="n">
        <v>4</v>
      </c>
      <c r="U626" t="inlineStr">
        <is>
          <t>2002-12-01</t>
        </is>
      </c>
      <c r="V626" t="inlineStr">
        <is>
          <t>2002-12-01</t>
        </is>
      </c>
      <c r="W626" t="inlineStr">
        <is>
          <t>1992-06-22</t>
        </is>
      </c>
      <c r="X626" t="inlineStr">
        <is>
          <t>1992-06-22</t>
        </is>
      </c>
      <c r="Y626" t="n">
        <v>103</v>
      </c>
      <c r="Z626" t="n">
        <v>83</v>
      </c>
      <c r="AA626" t="n">
        <v>147</v>
      </c>
      <c r="AB626" t="n">
        <v>1</v>
      </c>
      <c r="AC626" t="n">
        <v>1</v>
      </c>
      <c r="AD626" t="n">
        <v>2</v>
      </c>
      <c r="AE626" t="n">
        <v>4</v>
      </c>
      <c r="AF626" t="n">
        <v>0</v>
      </c>
      <c r="AG626" t="n">
        <v>0</v>
      </c>
      <c r="AH626" t="n">
        <v>2</v>
      </c>
      <c r="AI626" t="n">
        <v>3</v>
      </c>
      <c r="AJ626" t="n">
        <v>0</v>
      </c>
      <c r="AK626" t="n">
        <v>2</v>
      </c>
      <c r="AL626" t="n">
        <v>0</v>
      </c>
      <c r="AM626" t="n">
        <v>0</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HYPERLINK("https://creighton-primo.hosted.exlibrisgroup.com/primo-explore/search?tab=default_tab&amp;search_scope=EVERYTHING&amp;vid=01CRU&amp;lang=en_US&amp;offset=0&amp;query=any,contains,991001919079702656","Catalog Record")</f>
        <v/>
      </c>
      <c r="AT626">
        <f>HYPERLINK("http://www.worldcat.org/oclc/24219111","WorldCat Record")</f>
        <v/>
      </c>
      <c r="AU626" t="inlineStr">
        <is>
          <t>890234054:eng</t>
        </is>
      </c>
      <c r="AV626" t="inlineStr">
        <is>
          <t>24219111</t>
        </is>
      </c>
      <c r="AW626" t="inlineStr">
        <is>
          <t>991001919079702656</t>
        </is>
      </c>
      <c r="AX626" t="inlineStr">
        <is>
          <t>991001919079702656</t>
        </is>
      </c>
      <c r="AY626" t="inlineStr">
        <is>
          <t>2269275960002656</t>
        </is>
      </c>
      <c r="AZ626" t="inlineStr">
        <is>
          <t>BOOK</t>
        </is>
      </c>
      <c r="BB626" t="inlineStr">
        <is>
          <t>9780913167458</t>
        </is>
      </c>
      <c r="BC626" t="inlineStr">
        <is>
          <t>32285001129104</t>
        </is>
      </c>
      <c r="BD626" t="inlineStr">
        <is>
          <t>893891933</t>
        </is>
      </c>
    </row>
    <row r="627">
      <c r="A627" t="inlineStr">
        <is>
          <t>No</t>
        </is>
      </c>
      <c r="B627" t="inlineStr">
        <is>
          <t>GN345 .G55 1989</t>
        </is>
      </c>
      <c r="C627" t="inlineStr">
        <is>
          <t>0                      GN 0345000G  55          1989</t>
        </is>
      </c>
      <c r="D627" t="inlineStr">
        <is>
          <t>Ethnographic decision tree modeling / Christina H. Gladwin.</t>
        </is>
      </c>
      <c r="F627" t="inlineStr">
        <is>
          <t>No</t>
        </is>
      </c>
      <c r="G627" t="inlineStr">
        <is>
          <t>1</t>
        </is>
      </c>
      <c r="H627" t="inlineStr">
        <is>
          <t>No</t>
        </is>
      </c>
      <c r="I627" t="inlineStr">
        <is>
          <t>No</t>
        </is>
      </c>
      <c r="J627" t="inlineStr">
        <is>
          <t>0</t>
        </is>
      </c>
      <c r="K627" t="inlineStr">
        <is>
          <t>Gladwin, Christina H.</t>
        </is>
      </c>
      <c r="L627" t="inlineStr">
        <is>
          <t>Newbury Park : Sage, c1989.</t>
        </is>
      </c>
      <c r="M627" t="inlineStr">
        <is>
          <t>1989</t>
        </is>
      </c>
      <c r="O627" t="inlineStr">
        <is>
          <t>eng</t>
        </is>
      </c>
      <c r="P627" t="inlineStr">
        <is>
          <t>cau</t>
        </is>
      </c>
      <c r="Q627" t="inlineStr">
        <is>
          <t>Qualitative research methods ; v. 19</t>
        </is>
      </c>
      <c r="R627" t="inlineStr">
        <is>
          <t xml:space="preserve">GN </t>
        </is>
      </c>
      <c r="S627" t="n">
        <v>4</v>
      </c>
      <c r="T627" t="n">
        <v>4</v>
      </c>
      <c r="U627" t="inlineStr">
        <is>
          <t>1996-04-29</t>
        </is>
      </c>
      <c r="V627" t="inlineStr">
        <is>
          <t>1996-04-29</t>
        </is>
      </c>
      <c r="W627" t="inlineStr">
        <is>
          <t>1991-02-11</t>
        </is>
      </c>
      <c r="X627" t="inlineStr">
        <is>
          <t>1991-02-11</t>
        </is>
      </c>
      <c r="Y627" t="n">
        <v>467</v>
      </c>
      <c r="Z627" t="n">
        <v>316</v>
      </c>
      <c r="AA627" t="n">
        <v>374</v>
      </c>
      <c r="AB627" t="n">
        <v>4</v>
      </c>
      <c r="AC627" t="n">
        <v>4</v>
      </c>
      <c r="AD627" t="n">
        <v>20</v>
      </c>
      <c r="AE627" t="n">
        <v>22</v>
      </c>
      <c r="AF627" t="n">
        <v>7</v>
      </c>
      <c r="AG627" t="n">
        <v>8</v>
      </c>
      <c r="AH627" t="n">
        <v>4</v>
      </c>
      <c r="AI627" t="n">
        <v>5</v>
      </c>
      <c r="AJ627" t="n">
        <v>12</v>
      </c>
      <c r="AK627" t="n">
        <v>12</v>
      </c>
      <c r="AL627" t="n">
        <v>3</v>
      </c>
      <c r="AM627" t="n">
        <v>3</v>
      </c>
      <c r="AN627" t="n">
        <v>0</v>
      </c>
      <c r="AO627" t="n">
        <v>0</v>
      </c>
      <c r="AP627" t="inlineStr">
        <is>
          <t>No</t>
        </is>
      </c>
      <c r="AQ627" t="inlineStr">
        <is>
          <t>Yes</t>
        </is>
      </c>
      <c r="AR627">
        <f>HYPERLINK("http://catalog.hathitrust.org/Record/001843836","HathiTrust Record")</f>
        <v/>
      </c>
      <c r="AS627">
        <f>HYPERLINK("https://creighton-primo.hosted.exlibrisgroup.com/primo-explore/search?tab=default_tab&amp;search_scope=EVERYTHING&amp;vid=01CRU&amp;lang=en_US&amp;offset=0&amp;query=any,contains,991001527159702656","Catalog Record")</f>
        <v/>
      </c>
      <c r="AT627">
        <f>HYPERLINK("http://www.worldcat.org/oclc/20013552","WorldCat Record")</f>
        <v/>
      </c>
      <c r="AU627" t="inlineStr">
        <is>
          <t>21339031:eng</t>
        </is>
      </c>
      <c r="AV627" t="inlineStr">
        <is>
          <t>20013552</t>
        </is>
      </c>
      <c r="AW627" t="inlineStr">
        <is>
          <t>991001527159702656</t>
        </is>
      </c>
      <c r="AX627" t="inlineStr">
        <is>
          <t>991001527159702656</t>
        </is>
      </c>
      <c r="AY627" t="inlineStr">
        <is>
          <t>2262304090002656</t>
        </is>
      </c>
      <c r="AZ627" t="inlineStr">
        <is>
          <t>BOOK</t>
        </is>
      </c>
      <c r="BB627" t="inlineStr">
        <is>
          <t>9780803934870</t>
        </is>
      </c>
      <c r="BC627" t="inlineStr">
        <is>
          <t>32285000463850</t>
        </is>
      </c>
      <c r="BD627" t="inlineStr">
        <is>
          <t>893891621</t>
        </is>
      </c>
    </row>
    <row r="628">
      <c r="A628" t="inlineStr">
        <is>
          <t>No</t>
        </is>
      </c>
      <c r="B628" t="inlineStr">
        <is>
          <t>GN345 .H47 2001</t>
        </is>
      </c>
      <c r="C628" t="inlineStr">
        <is>
          <t>0                      GN 0345000H  47          2001</t>
        </is>
      </c>
      <c r="D628" t="inlineStr">
        <is>
          <t>Anthropology : theoretical practice in culture and society / Michael Herzfeld.</t>
        </is>
      </c>
      <c r="F628" t="inlineStr">
        <is>
          <t>No</t>
        </is>
      </c>
      <c r="G628" t="inlineStr">
        <is>
          <t>1</t>
        </is>
      </c>
      <c r="H628" t="inlineStr">
        <is>
          <t>No</t>
        </is>
      </c>
      <c r="I628" t="inlineStr">
        <is>
          <t>No</t>
        </is>
      </c>
      <c r="J628" t="inlineStr">
        <is>
          <t>0</t>
        </is>
      </c>
      <c r="K628" t="inlineStr">
        <is>
          <t>Herzfeld, Michael, 1947-</t>
        </is>
      </c>
      <c r="L628" t="inlineStr">
        <is>
          <t>Malden, Mass. : Blackwell Publishers, 2001.</t>
        </is>
      </c>
      <c r="M628" t="inlineStr">
        <is>
          <t>2001</t>
        </is>
      </c>
      <c r="O628" t="inlineStr">
        <is>
          <t>eng</t>
        </is>
      </c>
      <c r="P628" t="inlineStr">
        <is>
          <t>mau</t>
        </is>
      </c>
      <c r="R628" t="inlineStr">
        <is>
          <t xml:space="preserve">GN </t>
        </is>
      </c>
      <c r="S628" t="n">
        <v>2</v>
      </c>
      <c r="T628" t="n">
        <v>2</v>
      </c>
      <c r="U628" t="inlineStr">
        <is>
          <t>2002-07-18</t>
        </is>
      </c>
      <c r="V628" t="inlineStr">
        <is>
          <t>2002-07-18</t>
        </is>
      </c>
      <c r="W628" t="inlineStr">
        <is>
          <t>2002-07-15</t>
        </is>
      </c>
      <c r="X628" t="inlineStr">
        <is>
          <t>2002-07-15</t>
        </is>
      </c>
      <c r="Y628" t="n">
        <v>671</v>
      </c>
      <c r="Z628" t="n">
        <v>480</v>
      </c>
      <c r="AA628" t="n">
        <v>482</v>
      </c>
      <c r="AB628" t="n">
        <v>2</v>
      </c>
      <c r="AC628" t="n">
        <v>2</v>
      </c>
      <c r="AD628" t="n">
        <v>18</v>
      </c>
      <c r="AE628" t="n">
        <v>18</v>
      </c>
      <c r="AF628" t="n">
        <v>8</v>
      </c>
      <c r="AG628" t="n">
        <v>8</v>
      </c>
      <c r="AH628" t="n">
        <v>5</v>
      </c>
      <c r="AI628" t="n">
        <v>5</v>
      </c>
      <c r="AJ628" t="n">
        <v>10</v>
      </c>
      <c r="AK628" t="n">
        <v>10</v>
      </c>
      <c r="AL628" t="n">
        <v>1</v>
      </c>
      <c r="AM628" t="n">
        <v>1</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HYPERLINK("https://creighton-primo.hosted.exlibrisgroup.com/primo-explore/search?tab=default_tab&amp;search_scope=EVERYTHING&amp;vid=01CRU&amp;lang=en_US&amp;offset=0&amp;query=any,contains,991003825779702656","Catalog Record")</f>
        <v/>
      </c>
      <c r="AT628">
        <f>HYPERLINK("http://www.worldcat.org/oclc/44579001","WorldCat Record")</f>
        <v/>
      </c>
      <c r="AU628" t="inlineStr">
        <is>
          <t>344087370:eng</t>
        </is>
      </c>
      <c r="AV628" t="inlineStr">
        <is>
          <t>44579001</t>
        </is>
      </c>
      <c r="AW628" t="inlineStr">
        <is>
          <t>991003825779702656</t>
        </is>
      </c>
      <c r="AX628" t="inlineStr">
        <is>
          <t>991003825779702656</t>
        </is>
      </c>
      <c r="AY628" t="inlineStr">
        <is>
          <t>2270343250002656</t>
        </is>
      </c>
      <c r="AZ628" t="inlineStr">
        <is>
          <t>BOOK</t>
        </is>
      </c>
      <c r="BB628" t="inlineStr">
        <is>
          <t>9780631206583</t>
        </is>
      </c>
      <c r="BC628" t="inlineStr">
        <is>
          <t>32285004497672</t>
        </is>
      </c>
      <c r="BD628" t="inlineStr">
        <is>
          <t>893605256</t>
        </is>
      </c>
    </row>
    <row r="629">
      <c r="A629" t="inlineStr">
        <is>
          <t>No</t>
        </is>
      </c>
      <c r="B629" t="inlineStr">
        <is>
          <t>GN345 .N38 2007</t>
        </is>
      </c>
      <c r="C629" t="inlineStr">
        <is>
          <t>0                      GN 0345000N  38          2007</t>
        </is>
      </c>
      <c r="D629" t="inlineStr">
        <is>
          <t>Practicing ethnography in a globalizing world : an anthropological odyssey / June C. Nash.</t>
        </is>
      </c>
      <c r="F629" t="inlineStr">
        <is>
          <t>No</t>
        </is>
      </c>
      <c r="G629" t="inlineStr">
        <is>
          <t>1</t>
        </is>
      </c>
      <c r="H629" t="inlineStr">
        <is>
          <t>No</t>
        </is>
      </c>
      <c r="I629" t="inlineStr">
        <is>
          <t>No</t>
        </is>
      </c>
      <c r="J629" t="inlineStr">
        <is>
          <t>0</t>
        </is>
      </c>
      <c r="K629" t="inlineStr">
        <is>
          <t>Nash, June C., 1927-</t>
        </is>
      </c>
      <c r="L629" t="inlineStr">
        <is>
          <t>Lanham, MD : AltaMira Press, c2007.</t>
        </is>
      </c>
      <c r="M629" t="inlineStr">
        <is>
          <t>2007</t>
        </is>
      </c>
      <c r="O629" t="inlineStr">
        <is>
          <t>eng</t>
        </is>
      </c>
      <c r="P629" t="inlineStr">
        <is>
          <t>mdu</t>
        </is>
      </c>
      <c r="R629" t="inlineStr">
        <is>
          <t xml:space="preserve">GN </t>
        </is>
      </c>
      <c r="S629" t="n">
        <v>1</v>
      </c>
      <c r="T629" t="n">
        <v>1</v>
      </c>
      <c r="U629" t="inlineStr">
        <is>
          <t>2008-02-13</t>
        </is>
      </c>
      <c r="V629" t="inlineStr">
        <is>
          <t>2008-02-13</t>
        </is>
      </c>
      <c r="W629" t="inlineStr">
        <is>
          <t>2008-02-13</t>
        </is>
      </c>
      <c r="X629" t="inlineStr">
        <is>
          <t>2008-02-13</t>
        </is>
      </c>
      <c r="Y629" t="n">
        <v>437</v>
      </c>
      <c r="Z629" t="n">
        <v>356</v>
      </c>
      <c r="AA629" t="n">
        <v>374</v>
      </c>
      <c r="AB629" t="n">
        <v>4</v>
      </c>
      <c r="AC629" t="n">
        <v>4</v>
      </c>
      <c r="AD629" t="n">
        <v>18</v>
      </c>
      <c r="AE629" t="n">
        <v>21</v>
      </c>
      <c r="AF629" t="n">
        <v>8</v>
      </c>
      <c r="AG629" t="n">
        <v>9</v>
      </c>
      <c r="AH629" t="n">
        <v>4</v>
      </c>
      <c r="AI629" t="n">
        <v>6</v>
      </c>
      <c r="AJ629" t="n">
        <v>8</v>
      </c>
      <c r="AK629" t="n">
        <v>8</v>
      </c>
      <c r="AL629" t="n">
        <v>3</v>
      </c>
      <c r="AM629" t="n">
        <v>3</v>
      </c>
      <c r="AN629" t="n">
        <v>0</v>
      </c>
      <c r="AO629" t="n">
        <v>1</v>
      </c>
      <c r="AP629" t="inlineStr">
        <is>
          <t>No</t>
        </is>
      </c>
      <c r="AQ629" t="inlineStr">
        <is>
          <t>Yes</t>
        </is>
      </c>
      <c r="AR629">
        <f>HYPERLINK("http://catalog.hathitrust.org/Record/005414637","HathiTrust Record")</f>
        <v/>
      </c>
      <c r="AS629">
        <f>HYPERLINK("https://creighton-primo.hosted.exlibrisgroup.com/primo-explore/search?tab=default_tab&amp;search_scope=EVERYTHING&amp;vid=01CRU&amp;lang=en_US&amp;offset=0&amp;query=any,contains,991005173089702656","Catalog Record")</f>
        <v/>
      </c>
      <c r="AT629">
        <f>HYPERLINK("http://www.worldcat.org/oclc/70407779","WorldCat Record")</f>
        <v/>
      </c>
      <c r="AU629" t="inlineStr">
        <is>
          <t>329114396:eng</t>
        </is>
      </c>
      <c r="AV629" t="inlineStr">
        <is>
          <t>70407779</t>
        </is>
      </c>
      <c r="AW629" t="inlineStr">
        <is>
          <t>991005173089702656</t>
        </is>
      </c>
      <c r="AX629" t="inlineStr">
        <is>
          <t>991005173089702656</t>
        </is>
      </c>
      <c r="AY629" t="inlineStr">
        <is>
          <t>2261502440002656</t>
        </is>
      </c>
      <c r="AZ629" t="inlineStr">
        <is>
          <t>BOOK</t>
        </is>
      </c>
      <c r="BB629" t="inlineStr">
        <is>
          <t>9780759108806</t>
        </is>
      </c>
      <c r="BC629" t="inlineStr">
        <is>
          <t>32285005392864</t>
        </is>
      </c>
      <c r="BD629" t="inlineStr">
        <is>
          <t>893619583</t>
        </is>
      </c>
    </row>
    <row r="630">
      <c r="A630" t="inlineStr">
        <is>
          <t>No</t>
        </is>
      </c>
      <c r="B630" t="inlineStr">
        <is>
          <t>GN345 .N63 1988</t>
        </is>
      </c>
      <c r="C630" t="inlineStr">
        <is>
          <t>0                      GN 0345000N  63          1988</t>
        </is>
      </c>
      <c r="D630" t="inlineStr">
        <is>
          <t>Meta-ethnography : synthesizing qualitative studies / George W. Noblit, R. Dwight Hare.</t>
        </is>
      </c>
      <c r="F630" t="inlineStr">
        <is>
          <t>No</t>
        </is>
      </c>
      <c r="G630" t="inlineStr">
        <is>
          <t>1</t>
        </is>
      </c>
      <c r="H630" t="inlineStr">
        <is>
          <t>No</t>
        </is>
      </c>
      <c r="I630" t="inlineStr">
        <is>
          <t>No</t>
        </is>
      </c>
      <c r="J630" t="inlineStr">
        <is>
          <t>0</t>
        </is>
      </c>
      <c r="K630" t="inlineStr">
        <is>
          <t>Noblit, George W.</t>
        </is>
      </c>
      <c r="L630" t="inlineStr">
        <is>
          <t>Beverly Hills, Calif. : Sage Publications, c1988.</t>
        </is>
      </c>
      <c r="M630" t="inlineStr">
        <is>
          <t>1987</t>
        </is>
      </c>
      <c r="O630" t="inlineStr">
        <is>
          <t>eng</t>
        </is>
      </c>
      <c r="P630" t="inlineStr">
        <is>
          <t>cau</t>
        </is>
      </c>
      <c r="Q630" t="inlineStr">
        <is>
          <t>Qualitative research methods ; v. 11</t>
        </is>
      </c>
      <c r="R630" t="inlineStr">
        <is>
          <t xml:space="preserve">GN </t>
        </is>
      </c>
      <c r="S630" t="n">
        <v>2</v>
      </c>
      <c r="T630" t="n">
        <v>2</v>
      </c>
      <c r="U630" t="inlineStr">
        <is>
          <t>1996-04-29</t>
        </is>
      </c>
      <c r="V630" t="inlineStr">
        <is>
          <t>1996-04-29</t>
        </is>
      </c>
      <c r="W630" t="inlineStr">
        <is>
          <t>1990-09-20</t>
        </is>
      </c>
      <c r="X630" t="inlineStr">
        <is>
          <t>1990-09-20</t>
        </is>
      </c>
      <c r="Y630" t="n">
        <v>576</v>
      </c>
      <c r="Z630" t="n">
        <v>365</v>
      </c>
      <c r="AA630" t="n">
        <v>413</v>
      </c>
      <c r="AB630" t="n">
        <v>4</v>
      </c>
      <c r="AC630" t="n">
        <v>4</v>
      </c>
      <c r="AD630" t="n">
        <v>20</v>
      </c>
      <c r="AE630" t="n">
        <v>22</v>
      </c>
      <c r="AF630" t="n">
        <v>6</v>
      </c>
      <c r="AG630" t="n">
        <v>7</v>
      </c>
      <c r="AH630" t="n">
        <v>4</v>
      </c>
      <c r="AI630" t="n">
        <v>5</v>
      </c>
      <c r="AJ630" t="n">
        <v>11</v>
      </c>
      <c r="AK630" t="n">
        <v>11</v>
      </c>
      <c r="AL630" t="n">
        <v>3</v>
      </c>
      <c r="AM630" t="n">
        <v>3</v>
      </c>
      <c r="AN630" t="n">
        <v>0</v>
      </c>
      <c r="AO630" t="n">
        <v>0</v>
      </c>
      <c r="AP630" t="inlineStr">
        <is>
          <t>No</t>
        </is>
      </c>
      <c r="AQ630" t="inlineStr">
        <is>
          <t>Yes</t>
        </is>
      </c>
      <c r="AR630">
        <f>HYPERLINK("http://catalog.hathitrust.org/Record/001532867","HathiTrust Record")</f>
        <v/>
      </c>
      <c r="AS630">
        <f>HYPERLINK("https://creighton-primo.hosted.exlibrisgroup.com/primo-explore/search?tab=default_tab&amp;search_scope=EVERYTHING&amp;vid=01CRU&amp;lang=en_US&amp;offset=0&amp;query=any,contains,991001124389702656","Catalog Record")</f>
        <v/>
      </c>
      <c r="AT630">
        <f>HYPERLINK("http://www.worldcat.org/oclc/16647196","WorldCat Record")</f>
        <v/>
      </c>
      <c r="AU630" t="inlineStr">
        <is>
          <t>808110192:eng</t>
        </is>
      </c>
      <c r="AV630" t="inlineStr">
        <is>
          <t>16647196</t>
        </is>
      </c>
      <c r="AW630" t="inlineStr">
        <is>
          <t>991001124389702656</t>
        </is>
      </c>
      <c r="AX630" t="inlineStr">
        <is>
          <t>991001124389702656</t>
        </is>
      </c>
      <c r="AY630" t="inlineStr">
        <is>
          <t>2262670010002656</t>
        </is>
      </c>
      <c r="AZ630" t="inlineStr">
        <is>
          <t>BOOK</t>
        </is>
      </c>
      <c r="BB630" t="inlineStr">
        <is>
          <t>9780803930230</t>
        </is>
      </c>
      <c r="BC630" t="inlineStr">
        <is>
          <t>32285000315811</t>
        </is>
      </c>
      <c r="BD630" t="inlineStr">
        <is>
          <t>893772335</t>
        </is>
      </c>
    </row>
    <row r="631">
      <c r="A631" t="inlineStr">
        <is>
          <t>No</t>
        </is>
      </c>
      <c r="B631" t="inlineStr">
        <is>
          <t>GN345 .S24</t>
        </is>
      </c>
      <c r="C631" t="inlineStr">
        <is>
          <t>0                      GN 0345000S  24</t>
        </is>
      </c>
      <c r="D631" t="inlineStr">
        <is>
          <t>Culture and practical reason / Marshall Sahlins.</t>
        </is>
      </c>
      <c r="F631" t="inlineStr">
        <is>
          <t>No</t>
        </is>
      </c>
      <c r="G631" t="inlineStr">
        <is>
          <t>1</t>
        </is>
      </c>
      <c r="H631" t="inlineStr">
        <is>
          <t>No</t>
        </is>
      </c>
      <c r="I631" t="inlineStr">
        <is>
          <t>No</t>
        </is>
      </c>
      <c r="J631" t="inlineStr">
        <is>
          <t>0</t>
        </is>
      </c>
      <c r="K631" t="inlineStr">
        <is>
          <t>Sahlins, Marshall, 1930-</t>
        </is>
      </c>
      <c r="L631" t="inlineStr">
        <is>
          <t>Chicago : University of Chicago Press, 1976.</t>
        </is>
      </c>
      <c r="M631" t="inlineStr">
        <is>
          <t>1976</t>
        </is>
      </c>
      <c r="O631" t="inlineStr">
        <is>
          <t>eng</t>
        </is>
      </c>
      <c r="P631" t="inlineStr">
        <is>
          <t>ilu</t>
        </is>
      </c>
      <c r="R631" t="inlineStr">
        <is>
          <t xml:space="preserve">GN </t>
        </is>
      </c>
      <c r="S631" t="n">
        <v>5</v>
      </c>
      <c r="T631" t="n">
        <v>5</v>
      </c>
      <c r="U631" t="inlineStr">
        <is>
          <t>2009-04-20</t>
        </is>
      </c>
      <c r="V631" t="inlineStr">
        <is>
          <t>2009-04-20</t>
        </is>
      </c>
      <c r="W631" t="inlineStr">
        <is>
          <t>1990-09-20</t>
        </is>
      </c>
      <c r="X631" t="inlineStr">
        <is>
          <t>1990-09-20</t>
        </is>
      </c>
      <c r="Y631" t="n">
        <v>860</v>
      </c>
      <c r="Z631" t="n">
        <v>671</v>
      </c>
      <c r="AA631" t="n">
        <v>725</v>
      </c>
      <c r="AB631" t="n">
        <v>4</v>
      </c>
      <c r="AC631" t="n">
        <v>4</v>
      </c>
      <c r="AD631" t="n">
        <v>31</v>
      </c>
      <c r="AE631" t="n">
        <v>33</v>
      </c>
      <c r="AF631" t="n">
        <v>12</v>
      </c>
      <c r="AG631" t="n">
        <v>13</v>
      </c>
      <c r="AH631" t="n">
        <v>7</v>
      </c>
      <c r="AI631" t="n">
        <v>8</v>
      </c>
      <c r="AJ631" t="n">
        <v>16</v>
      </c>
      <c r="AK631" t="n">
        <v>17</v>
      </c>
      <c r="AL631" t="n">
        <v>3</v>
      </c>
      <c r="AM631" t="n">
        <v>3</v>
      </c>
      <c r="AN631" t="n">
        <v>1</v>
      </c>
      <c r="AO631" t="n">
        <v>1</v>
      </c>
      <c r="AP631" t="inlineStr">
        <is>
          <t>No</t>
        </is>
      </c>
      <c r="AQ631" t="inlineStr">
        <is>
          <t>No</t>
        </is>
      </c>
      <c r="AS631">
        <f>HYPERLINK("https://creighton-primo.hosted.exlibrisgroup.com/primo-explore/search?tab=default_tab&amp;search_scope=EVERYTHING&amp;vid=01CRU&amp;lang=en_US&amp;offset=0&amp;query=any,contains,991004347409702656","Catalog Record")</f>
        <v/>
      </c>
      <c r="AT631">
        <f>HYPERLINK("http://www.worldcat.org/oclc/3104067","WorldCat Record")</f>
        <v/>
      </c>
      <c r="AU631" t="inlineStr">
        <is>
          <t>419222:eng</t>
        </is>
      </c>
      <c r="AV631" t="inlineStr">
        <is>
          <t>3104067</t>
        </is>
      </c>
      <c r="AW631" t="inlineStr">
        <is>
          <t>991004347409702656</t>
        </is>
      </c>
      <c r="AX631" t="inlineStr">
        <is>
          <t>991004347409702656</t>
        </is>
      </c>
      <c r="AY631" t="inlineStr">
        <is>
          <t>2271193490002656</t>
        </is>
      </c>
      <c r="AZ631" t="inlineStr">
        <is>
          <t>BOOK</t>
        </is>
      </c>
      <c r="BB631" t="inlineStr">
        <is>
          <t>9780226733593</t>
        </is>
      </c>
      <c r="BC631" t="inlineStr">
        <is>
          <t>32285000315829</t>
        </is>
      </c>
      <c r="BD631" t="inlineStr">
        <is>
          <t>893253583</t>
        </is>
      </c>
    </row>
    <row r="632">
      <c r="A632" t="inlineStr">
        <is>
          <t>No</t>
        </is>
      </c>
      <c r="B632" t="inlineStr">
        <is>
          <t>GN345.5 .H37 1983</t>
        </is>
      </c>
      <c r="C632" t="inlineStr">
        <is>
          <t>0                      GN 0345500H  37          1983</t>
        </is>
      </c>
      <c r="D632" t="inlineStr">
        <is>
          <t>Culture and morality : the relativity of values in anthropology / Elvin Hatch.</t>
        </is>
      </c>
      <c r="F632" t="inlineStr">
        <is>
          <t>No</t>
        </is>
      </c>
      <c r="G632" t="inlineStr">
        <is>
          <t>1</t>
        </is>
      </c>
      <c r="H632" t="inlineStr">
        <is>
          <t>No</t>
        </is>
      </c>
      <c r="I632" t="inlineStr">
        <is>
          <t>No</t>
        </is>
      </c>
      <c r="J632" t="inlineStr">
        <is>
          <t>0</t>
        </is>
      </c>
      <c r="K632" t="inlineStr">
        <is>
          <t>Hatch, Elvin.</t>
        </is>
      </c>
      <c r="L632" t="inlineStr">
        <is>
          <t>New York : Columbia University Press, 1983.</t>
        </is>
      </c>
      <c r="M632" t="inlineStr">
        <is>
          <t>1983</t>
        </is>
      </c>
      <c r="O632" t="inlineStr">
        <is>
          <t>eng</t>
        </is>
      </c>
      <c r="P632" t="inlineStr">
        <is>
          <t>nyu</t>
        </is>
      </c>
      <c r="R632" t="inlineStr">
        <is>
          <t xml:space="preserve">GN </t>
        </is>
      </c>
      <c r="S632" t="n">
        <v>6</v>
      </c>
      <c r="T632" t="n">
        <v>6</v>
      </c>
      <c r="U632" t="inlineStr">
        <is>
          <t>2000-05-30</t>
        </is>
      </c>
      <c r="V632" t="inlineStr">
        <is>
          <t>2000-05-30</t>
        </is>
      </c>
      <c r="W632" t="inlineStr">
        <is>
          <t>1990-07-19</t>
        </is>
      </c>
      <c r="X632" t="inlineStr">
        <is>
          <t>1990-07-19</t>
        </is>
      </c>
      <c r="Y632" t="n">
        <v>566</v>
      </c>
      <c r="Z632" t="n">
        <v>434</v>
      </c>
      <c r="AA632" t="n">
        <v>441</v>
      </c>
      <c r="AB632" t="n">
        <v>2</v>
      </c>
      <c r="AC632" t="n">
        <v>2</v>
      </c>
      <c r="AD632" t="n">
        <v>17</v>
      </c>
      <c r="AE632" t="n">
        <v>17</v>
      </c>
      <c r="AF632" t="n">
        <v>4</v>
      </c>
      <c r="AG632" t="n">
        <v>4</v>
      </c>
      <c r="AH632" t="n">
        <v>4</v>
      </c>
      <c r="AI632" t="n">
        <v>4</v>
      </c>
      <c r="AJ632" t="n">
        <v>11</v>
      </c>
      <c r="AK632" t="n">
        <v>11</v>
      </c>
      <c r="AL632" t="n">
        <v>1</v>
      </c>
      <c r="AM632" t="n">
        <v>1</v>
      </c>
      <c r="AN632" t="n">
        <v>1</v>
      </c>
      <c r="AO632" t="n">
        <v>1</v>
      </c>
      <c r="AP632" t="inlineStr">
        <is>
          <t>No</t>
        </is>
      </c>
      <c r="AQ632" t="inlineStr">
        <is>
          <t>No</t>
        </is>
      </c>
      <c r="AS632">
        <f>HYPERLINK("https://creighton-primo.hosted.exlibrisgroup.com/primo-explore/search?tab=default_tab&amp;search_scope=EVERYTHING&amp;vid=01CRU&amp;lang=en_US&amp;offset=0&amp;query=any,contains,991000007929702656","Catalog Record")</f>
        <v/>
      </c>
      <c r="AT632">
        <f>HYPERLINK("http://www.worldcat.org/oclc/8532814","WorldCat Record")</f>
        <v/>
      </c>
      <c r="AU632" t="inlineStr">
        <is>
          <t>865041693:eng</t>
        </is>
      </c>
      <c r="AV632" t="inlineStr">
        <is>
          <t>8532814</t>
        </is>
      </c>
      <c r="AW632" t="inlineStr">
        <is>
          <t>991000007929702656</t>
        </is>
      </c>
      <c r="AX632" t="inlineStr">
        <is>
          <t>991000007929702656</t>
        </is>
      </c>
      <c r="AY632" t="inlineStr">
        <is>
          <t>2269257130002656</t>
        </is>
      </c>
      <c r="AZ632" t="inlineStr">
        <is>
          <t>BOOK</t>
        </is>
      </c>
      <c r="BB632" t="inlineStr">
        <is>
          <t>9780231055895</t>
        </is>
      </c>
      <c r="BC632" t="inlineStr">
        <is>
          <t>32285000239631</t>
        </is>
      </c>
      <c r="BD632" t="inlineStr">
        <is>
          <t>893902873</t>
        </is>
      </c>
    </row>
    <row r="633">
      <c r="A633" t="inlineStr">
        <is>
          <t>No</t>
        </is>
      </c>
      <c r="B633" t="inlineStr">
        <is>
          <t>GN345.6 .B46 1993</t>
        </is>
      </c>
      <c r="C633" t="inlineStr">
        <is>
          <t>0                      GN 0345600B  46          1993</t>
        </is>
      </c>
      <c r="D633" t="inlineStr">
        <is>
          <t>Old world encounters : cross-cultural contacts and exchanges in pre-modern times / Jerry H. Bentley.</t>
        </is>
      </c>
      <c r="F633" t="inlineStr">
        <is>
          <t>No</t>
        </is>
      </c>
      <c r="G633" t="inlineStr">
        <is>
          <t>1</t>
        </is>
      </c>
      <c r="H633" t="inlineStr">
        <is>
          <t>No</t>
        </is>
      </c>
      <c r="I633" t="inlineStr">
        <is>
          <t>No</t>
        </is>
      </c>
      <c r="J633" t="inlineStr">
        <is>
          <t>0</t>
        </is>
      </c>
      <c r="K633" t="inlineStr">
        <is>
          <t>Bentley, Jerry H., 1949-2012.</t>
        </is>
      </c>
      <c r="L633" t="inlineStr">
        <is>
          <t>New York : Oxford University Press, 1993.</t>
        </is>
      </c>
      <c r="M633" t="inlineStr">
        <is>
          <t>1993</t>
        </is>
      </c>
      <c r="O633" t="inlineStr">
        <is>
          <t>eng</t>
        </is>
      </c>
      <c r="P633" t="inlineStr">
        <is>
          <t>nyu</t>
        </is>
      </c>
      <c r="R633" t="inlineStr">
        <is>
          <t xml:space="preserve">GN </t>
        </is>
      </c>
      <c r="S633" t="n">
        <v>2</v>
      </c>
      <c r="T633" t="n">
        <v>2</v>
      </c>
      <c r="U633" t="inlineStr">
        <is>
          <t>2004-05-03</t>
        </is>
      </c>
      <c r="V633" t="inlineStr">
        <is>
          <t>2004-05-03</t>
        </is>
      </c>
      <c r="W633" t="inlineStr">
        <is>
          <t>1993-10-26</t>
        </is>
      </c>
      <c r="X633" t="inlineStr">
        <is>
          <t>1993-10-26</t>
        </is>
      </c>
      <c r="Y633" t="n">
        <v>849</v>
      </c>
      <c r="Z633" t="n">
        <v>697</v>
      </c>
      <c r="AA633" t="n">
        <v>810</v>
      </c>
      <c r="AB633" t="n">
        <v>6</v>
      </c>
      <c r="AC633" t="n">
        <v>7</v>
      </c>
      <c r="AD633" t="n">
        <v>33</v>
      </c>
      <c r="AE633" t="n">
        <v>37</v>
      </c>
      <c r="AF633" t="n">
        <v>14</v>
      </c>
      <c r="AG633" t="n">
        <v>16</v>
      </c>
      <c r="AH633" t="n">
        <v>7</v>
      </c>
      <c r="AI633" t="n">
        <v>9</v>
      </c>
      <c r="AJ633" t="n">
        <v>16</v>
      </c>
      <c r="AK633" t="n">
        <v>17</v>
      </c>
      <c r="AL633" t="n">
        <v>5</v>
      </c>
      <c r="AM633" t="n">
        <v>6</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HYPERLINK("https://creighton-primo.hosted.exlibrisgroup.com/primo-explore/search?tab=default_tab&amp;search_scope=EVERYTHING&amp;vid=01CRU&amp;lang=en_US&amp;offset=0&amp;query=any,contains,991002033779702656","Catalog Record")</f>
        <v/>
      </c>
      <c r="AT633">
        <f>HYPERLINK("http://www.worldcat.org/oclc/25914023","WorldCat Record")</f>
        <v/>
      </c>
      <c r="AU633" t="inlineStr">
        <is>
          <t>806781917:eng</t>
        </is>
      </c>
      <c r="AV633" t="inlineStr">
        <is>
          <t>25914023</t>
        </is>
      </c>
      <c r="AW633" t="inlineStr">
        <is>
          <t>991002033779702656</t>
        </is>
      </c>
      <c r="AX633" t="inlineStr">
        <is>
          <t>991002033779702656</t>
        </is>
      </c>
      <c r="AY633" t="inlineStr">
        <is>
          <t>2272085230002656</t>
        </is>
      </c>
      <c r="AZ633" t="inlineStr">
        <is>
          <t>BOOK</t>
        </is>
      </c>
      <c r="BB633" t="inlineStr">
        <is>
          <t>9780195076394</t>
        </is>
      </c>
      <c r="BC633" t="inlineStr">
        <is>
          <t>32285001788396</t>
        </is>
      </c>
      <c r="BD633" t="inlineStr">
        <is>
          <t>893352125</t>
        </is>
      </c>
    </row>
    <row r="634">
      <c r="A634" t="inlineStr">
        <is>
          <t>No</t>
        </is>
      </c>
      <c r="B634" t="inlineStr">
        <is>
          <t>GN345.6 .I52 2004</t>
        </is>
      </c>
      <c r="C634" t="inlineStr">
        <is>
          <t>0                      GN 0345600I  52          2004</t>
        </is>
      </c>
      <c r="D634" t="inlineStr">
        <is>
          <t>International relations and the problem of difference / Naeem Inayatullah and David L. Blaney.</t>
        </is>
      </c>
      <c r="F634" t="inlineStr">
        <is>
          <t>No</t>
        </is>
      </c>
      <c r="G634" t="inlineStr">
        <is>
          <t>1</t>
        </is>
      </c>
      <c r="H634" t="inlineStr">
        <is>
          <t>No</t>
        </is>
      </c>
      <c r="I634" t="inlineStr">
        <is>
          <t>No</t>
        </is>
      </c>
      <c r="J634" t="inlineStr">
        <is>
          <t>0</t>
        </is>
      </c>
      <c r="K634" t="inlineStr">
        <is>
          <t>Inayatullah, Naeem.</t>
        </is>
      </c>
      <c r="L634" t="inlineStr">
        <is>
          <t>New York : Routledge, 2004.</t>
        </is>
      </c>
      <c r="M634" t="inlineStr">
        <is>
          <t>2004</t>
        </is>
      </c>
      <c r="O634" t="inlineStr">
        <is>
          <t>eng</t>
        </is>
      </c>
      <c r="P634" t="inlineStr">
        <is>
          <t>nyu</t>
        </is>
      </c>
      <c r="Q634" t="inlineStr">
        <is>
          <t>Global horizons series ; v. 1</t>
        </is>
      </c>
      <c r="R634" t="inlineStr">
        <is>
          <t xml:space="preserve">GN </t>
        </is>
      </c>
      <c r="S634" t="n">
        <v>1</v>
      </c>
      <c r="T634" t="n">
        <v>1</v>
      </c>
      <c r="U634" t="inlineStr">
        <is>
          <t>2004-10-12</t>
        </is>
      </c>
      <c r="V634" t="inlineStr">
        <is>
          <t>2004-10-12</t>
        </is>
      </c>
      <c r="W634" t="inlineStr">
        <is>
          <t>2004-10-12</t>
        </is>
      </c>
      <c r="X634" t="inlineStr">
        <is>
          <t>2004-10-12</t>
        </is>
      </c>
      <c r="Y634" t="n">
        <v>299</v>
      </c>
      <c r="Z634" t="n">
        <v>201</v>
      </c>
      <c r="AA634" t="n">
        <v>722</v>
      </c>
      <c r="AB634" t="n">
        <v>3</v>
      </c>
      <c r="AC634" t="n">
        <v>13</v>
      </c>
      <c r="AD634" t="n">
        <v>13</v>
      </c>
      <c r="AE634" t="n">
        <v>35</v>
      </c>
      <c r="AF634" t="n">
        <v>2</v>
      </c>
      <c r="AG634" t="n">
        <v>9</v>
      </c>
      <c r="AH634" t="n">
        <v>6</v>
      </c>
      <c r="AI634" t="n">
        <v>8</v>
      </c>
      <c r="AJ634" t="n">
        <v>5</v>
      </c>
      <c r="AK634" t="n">
        <v>11</v>
      </c>
      <c r="AL634" t="n">
        <v>2</v>
      </c>
      <c r="AM634" t="n">
        <v>11</v>
      </c>
      <c r="AN634" t="n">
        <v>0</v>
      </c>
      <c r="AO634" t="n">
        <v>1</v>
      </c>
      <c r="AP634" t="inlineStr">
        <is>
          <t>No</t>
        </is>
      </c>
      <c r="AQ634" t="inlineStr">
        <is>
          <t>No</t>
        </is>
      </c>
      <c r="AS634">
        <f>HYPERLINK("https://creighton-primo.hosted.exlibrisgroup.com/primo-explore/search?tab=default_tab&amp;search_scope=EVERYTHING&amp;vid=01CRU&amp;lang=en_US&amp;offset=0&amp;query=any,contains,991004374579702656","Catalog Record")</f>
        <v/>
      </c>
      <c r="AT634">
        <f>HYPERLINK("http://www.worldcat.org/oclc/52417989","WorldCat Record")</f>
        <v/>
      </c>
      <c r="AU634" t="inlineStr">
        <is>
          <t>697270:eng</t>
        </is>
      </c>
      <c r="AV634" t="inlineStr">
        <is>
          <t>52417989</t>
        </is>
      </c>
      <c r="AW634" t="inlineStr">
        <is>
          <t>991004374579702656</t>
        </is>
      </c>
      <c r="AX634" t="inlineStr">
        <is>
          <t>991004374579702656</t>
        </is>
      </c>
      <c r="AY634" t="inlineStr">
        <is>
          <t>2263527240002656</t>
        </is>
      </c>
      <c r="AZ634" t="inlineStr">
        <is>
          <t>BOOK</t>
        </is>
      </c>
      <c r="BB634" t="inlineStr">
        <is>
          <t>9780415946377</t>
        </is>
      </c>
      <c r="BC634" t="inlineStr">
        <is>
          <t>32285005003107</t>
        </is>
      </c>
      <c r="BD634" t="inlineStr">
        <is>
          <t>893869640</t>
        </is>
      </c>
    </row>
    <row r="635">
      <c r="A635" t="inlineStr">
        <is>
          <t>No</t>
        </is>
      </c>
      <c r="B635" t="inlineStr">
        <is>
          <t>GN346 .W47 1987, v.1</t>
        </is>
      </c>
      <c r="C635" t="inlineStr">
        <is>
          <t>0                      GN 0346000W  47          1987                                        v.1</t>
        </is>
      </c>
      <c r="D635" t="inlineStr">
        <is>
          <t>Foundations of ethnography and interviewing / Oswald Werner, G. Mark Schoepfle ; in collaboration with Julie Ahern ... [et al.]</t>
        </is>
      </c>
      <c r="E635" t="inlineStr">
        <is>
          <t>V.1</t>
        </is>
      </c>
      <c r="F635" t="inlineStr">
        <is>
          <t>No</t>
        </is>
      </c>
      <c r="G635" t="inlineStr">
        <is>
          <t>1</t>
        </is>
      </c>
      <c r="H635" t="inlineStr">
        <is>
          <t>No</t>
        </is>
      </c>
      <c r="I635" t="inlineStr">
        <is>
          <t>No</t>
        </is>
      </c>
      <c r="J635" t="inlineStr">
        <is>
          <t>0</t>
        </is>
      </c>
      <c r="K635" t="inlineStr">
        <is>
          <t>Werner, Oswald.</t>
        </is>
      </c>
      <c r="L635" t="inlineStr">
        <is>
          <t>Newbury Park, Calif. : Sage, c1987.</t>
        </is>
      </c>
      <c r="M635" t="inlineStr">
        <is>
          <t>1987</t>
        </is>
      </c>
      <c r="O635" t="inlineStr">
        <is>
          <t>eng</t>
        </is>
      </c>
      <c r="P635" t="inlineStr">
        <is>
          <t>cau</t>
        </is>
      </c>
      <c r="Q635" t="inlineStr">
        <is>
          <t>Systematic fieldwork ; v. 1</t>
        </is>
      </c>
      <c r="R635" t="inlineStr">
        <is>
          <t xml:space="preserve">GN </t>
        </is>
      </c>
      <c r="S635" t="n">
        <v>7</v>
      </c>
      <c r="T635" t="n">
        <v>7</v>
      </c>
      <c r="U635" t="inlineStr">
        <is>
          <t>2001-04-09</t>
        </is>
      </c>
      <c r="V635" t="inlineStr">
        <is>
          <t>2001-04-09</t>
        </is>
      </c>
      <c r="W635" t="inlineStr">
        <is>
          <t>1993-03-25</t>
        </is>
      </c>
      <c r="X635" t="inlineStr">
        <is>
          <t>1993-03-25</t>
        </is>
      </c>
      <c r="Y635" t="n">
        <v>18</v>
      </c>
      <c r="Z635" t="n">
        <v>7</v>
      </c>
      <c r="AA635" t="n">
        <v>7</v>
      </c>
      <c r="AB635" t="n">
        <v>1</v>
      </c>
      <c r="AC635" t="n">
        <v>1</v>
      </c>
      <c r="AD635" t="n">
        <v>0</v>
      </c>
      <c r="AE635" t="n">
        <v>0</v>
      </c>
      <c r="AF635" t="n">
        <v>0</v>
      </c>
      <c r="AG635" t="n">
        <v>0</v>
      </c>
      <c r="AH635" t="n">
        <v>0</v>
      </c>
      <c r="AI635" t="n">
        <v>0</v>
      </c>
      <c r="AJ635" t="n">
        <v>0</v>
      </c>
      <c r="AK635" t="n">
        <v>0</v>
      </c>
      <c r="AL635" t="n">
        <v>0</v>
      </c>
      <c r="AM635" t="n">
        <v>0</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HYPERLINK("https://creighton-primo.hosted.exlibrisgroup.com/primo-explore/search?tab=default_tab&amp;search_scope=EVERYTHING&amp;vid=01CRU&amp;lang=en_US&amp;offset=0&amp;query=any,contains,991001021929702656","Catalog Record")</f>
        <v/>
      </c>
      <c r="AT635">
        <f>HYPERLINK("http://www.worldcat.org/oclc/15373365","WorldCat Record")</f>
        <v/>
      </c>
      <c r="AU635" t="inlineStr">
        <is>
          <t>10241016:eng</t>
        </is>
      </c>
      <c r="AV635" t="inlineStr">
        <is>
          <t>15373365</t>
        </is>
      </c>
      <c r="AW635" t="inlineStr">
        <is>
          <t>991001021929702656</t>
        </is>
      </c>
      <c r="AX635" t="inlineStr">
        <is>
          <t>991001021929702656</t>
        </is>
      </c>
      <c r="AY635" t="inlineStr">
        <is>
          <t>2266432300002656</t>
        </is>
      </c>
      <c r="AZ635" t="inlineStr">
        <is>
          <t>BOOK</t>
        </is>
      </c>
      <c r="BB635" t="inlineStr">
        <is>
          <t>9780803925595</t>
        </is>
      </c>
      <c r="BC635" t="inlineStr">
        <is>
          <t>32285000315886</t>
        </is>
      </c>
      <c r="BD635" t="inlineStr">
        <is>
          <t>893903252</t>
        </is>
      </c>
    </row>
    <row r="636">
      <c r="A636" t="inlineStr">
        <is>
          <t>No</t>
        </is>
      </c>
      <c r="B636" t="inlineStr">
        <is>
          <t>GN346 .W47 1987, v.2</t>
        </is>
      </c>
      <c r="C636" t="inlineStr">
        <is>
          <t>0                      GN 0346000W  47          1987                                        v.2</t>
        </is>
      </c>
      <c r="D636" t="inlineStr">
        <is>
          <t>Ethnographic analysis and data management / Oswald Werner, G. Mark Schoepfle ; in collaboration with Judith Abbott ... [et al.]</t>
        </is>
      </c>
      <c r="E636" t="inlineStr">
        <is>
          <t>V.2</t>
        </is>
      </c>
      <c r="F636" t="inlineStr">
        <is>
          <t>No</t>
        </is>
      </c>
      <c r="G636" t="inlineStr">
        <is>
          <t>1</t>
        </is>
      </c>
      <c r="H636" t="inlineStr">
        <is>
          <t>No</t>
        </is>
      </c>
      <c r="I636" t="inlineStr">
        <is>
          <t>No</t>
        </is>
      </c>
      <c r="J636" t="inlineStr">
        <is>
          <t>0</t>
        </is>
      </c>
      <c r="K636" t="inlineStr">
        <is>
          <t>Werner, Oswald.</t>
        </is>
      </c>
      <c r="L636" t="inlineStr">
        <is>
          <t>Newbury Park, Calif. : Sage, c1987.</t>
        </is>
      </c>
      <c r="M636" t="inlineStr">
        <is>
          <t>1987</t>
        </is>
      </c>
      <c r="O636" t="inlineStr">
        <is>
          <t>eng</t>
        </is>
      </c>
      <c r="P636" t="inlineStr">
        <is>
          <t>cau</t>
        </is>
      </c>
      <c r="Q636" t="inlineStr">
        <is>
          <t>Systematic fieldwork ; v. 2</t>
        </is>
      </c>
      <c r="R636" t="inlineStr">
        <is>
          <t xml:space="preserve">GN </t>
        </is>
      </c>
      <c r="S636" t="n">
        <v>3</v>
      </c>
      <c r="T636" t="n">
        <v>3</v>
      </c>
      <c r="U636" t="inlineStr">
        <is>
          <t>1999-03-08</t>
        </is>
      </c>
      <c r="V636" t="inlineStr">
        <is>
          <t>1999-03-08</t>
        </is>
      </c>
      <c r="W636" t="inlineStr">
        <is>
          <t>1993-03-25</t>
        </is>
      </c>
      <c r="X636" t="inlineStr">
        <is>
          <t>1993-03-25</t>
        </is>
      </c>
      <c r="Y636" t="n">
        <v>18</v>
      </c>
      <c r="Z636" t="n">
        <v>8</v>
      </c>
      <c r="AA636" t="n">
        <v>8</v>
      </c>
      <c r="AB636" t="n">
        <v>1</v>
      </c>
      <c r="AC636" t="n">
        <v>1</v>
      </c>
      <c r="AD636" t="n">
        <v>0</v>
      </c>
      <c r="AE636" t="n">
        <v>0</v>
      </c>
      <c r="AF636" t="n">
        <v>0</v>
      </c>
      <c r="AG636" t="n">
        <v>0</v>
      </c>
      <c r="AH636" t="n">
        <v>0</v>
      </c>
      <c r="AI636" t="n">
        <v>0</v>
      </c>
      <c r="AJ636" t="n">
        <v>0</v>
      </c>
      <c r="AK636" t="n">
        <v>0</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HYPERLINK("https://creighton-primo.hosted.exlibrisgroup.com/primo-explore/search?tab=default_tab&amp;search_scope=EVERYTHING&amp;vid=01CRU&amp;lang=en_US&amp;offset=0&amp;query=any,contains,991001021959702656","Catalog Record")</f>
        <v/>
      </c>
      <c r="AT636">
        <f>HYPERLINK("http://www.worldcat.org/oclc/15373372","WorldCat Record")</f>
        <v/>
      </c>
      <c r="AU636" t="inlineStr">
        <is>
          <t>5609168885:eng</t>
        </is>
      </c>
      <c r="AV636" t="inlineStr">
        <is>
          <t>15373372</t>
        </is>
      </c>
      <c r="AW636" t="inlineStr">
        <is>
          <t>991001021959702656</t>
        </is>
      </c>
      <c r="AX636" t="inlineStr">
        <is>
          <t>991001021959702656</t>
        </is>
      </c>
      <c r="AY636" t="inlineStr">
        <is>
          <t>2266430160002656</t>
        </is>
      </c>
      <c r="AZ636" t="inlineStr">
        <is>
          <t>BOOK</t>
        </is>
      </c>
      <c r="BB636" t="inlineStr">
        <is>
          <t>9780803928534</t>
        </is>
      </c>
      <c r="BC636" t="inlineStr">
        <is>
          <t>32285000315894</t>
        </is>
      </c>
      <c r="BD636" t="inlineStr">
        <is>
          <t>893426258</t>
        </is>
      </c>
    </row>
    <row r="637">
      <c r="A637" t="inlineStr">
        <is>
          <t>No</t>
        </is>
      </c>
      <c r="B637" t="inlineStr">
        <is>
          <t>GN346.3 .J64 1990</t>
        </is>
      </c>
      <c r="C637" t="inlineStr">
        <is>
          <t>0                      GN 0346300J  64          1990</t>
        </is>
      </c>
      <c r="D637" t="inlineStr">
        <is>
          <t>Selecting ethnographic informants / Jeffrey C. Johnson.</t>
        </is>
      </c>
      <c r="F637" t="inlineStr">
        <is>
          <t>No</t>
        </is>
      </c>
      <c r="G637" t="inlineStr">
        <is>
          <t>1</t>
        </is>
      </c>
      <c r="H637" t="inlineStr">
        <is>
          <t>No</t>
        </is>
      </c>
      <c r="I637" t="inlineStr">
        <is>
          <t>No</t>
        </is>
      </c>
      <c r="J637" t="inlineStr">
        <is>
          <t>0</t>
        </is>
      </c>
      <c r="K637" t="inlineStr">
        <is>
          <t>Johnson, Jeffrey C.</t>
        </is>
      </c>
      <c r="L637" t="inlineStr">
        <is>
          <t>Newbury Park, Calif. : Sage Publications, c1990.</t>
        </is>
      </c>
      <c r="M637" t="inlineStr">
        <is>
          <t>1990</t>
        </is>
      </c>
      <c r="O637" t="inlineStr">
        <is>
          <t>eng</t>
        </is>
      </c>
      <c r="P637" t="inlineStr">
        <is>
          <t>cau</t>
        </is>
      </c>
      <c r="Q637" t="inlineStr">
        <is>
          <t>Qualitative research methods ; v. 22</t>
        </is>
      </c>
      <c r="R637" t="inlineStr">
        <is>
          <t xml:space="preserve">GN </t>
        </is>
      </c>
      <c r="S637" t="n">
        <v>7</v>
      </c>
      <c r="T637" t="n">
        <v>7</v>
      </c>
      <c r="U637" t="inlineStr">
        <is>
          <t>1997-12-02</t>
        </is>
      </c>
      <c r="V637" t="inlineStr">
        <is>
          <t>1997-12-02</t>
        </is>
      </c>
      <c r="W637" t="inlineStr">
        <is>
          <t>1991-03-22</t>
        </is>
      </c>
      <c r="X637" t="inlineStr">
        <is>
          <t>1991-03-22</t>
        </is>
      </c>
      <c r="Y637" t="n">
        <v>513</v>
      </c>
      <c r="Z637" t="n">
        <v>345</v>
      </c>
      <c r="AA637" t="n">
        <v>347</v>
      </c>
      <c r="AB637" t="n">
        <v>3</v>
      </c>
      <c r="AC637" t="n">
        <v>3</v>
      </c>
      <c r="AD637" t="n">
        <v>24</v>
      </c>
      <c r="AE637" t="n">
        <v>24</v>
      </c>
      <c r="AF637" t="n">
        <v>9</v>
      </c>
      <c r="AG637" t="n">
        <v>9</v>
      </c>
      <c r="AH637" t="n">
        <v>5</v>
      </c>
      <c r="AI637" t="n">
        <v>5</v>
      </c>
      <c r="AJ637" t="n">
        <v>15</v>
      </c>
      <c r="AK637" t="n">
        <v>15</v>
      </c>
      <c r="AL637" t="n">
        <v>2</v>
      </c>
      <c r="AM637" t="n">
        <v>2</v>
      </c>
      <c r="AN637" t="n">
        <v>0</v>
      </c>
      <c r="AO637" t="n">
        <v>0</v>
      </c>
      <c r="AP637" t="inlineStr">
        <is>
          <t>No</t>
        </is>
      </c>
      <c r="AQ637" t="inlineStr">
        <is>
          <t>Yes</t>
        </is>
      </c>
      <c r="AR637">
        <f>HYPERLINK("http://catalog.hathitrust.org/Record/002422503","HathiTrust Record")</f>
        <v/>
      </c>
      <c r="AS637">
        <f>HYPERLINK("https://creighton-primo.hosted.exlibrisgroup.com/primo-explore/search?tab=default_tab&amp;search_scope=EVERYTHING&amp;vid=01CRU&amp;lang=en_US&amp;offset=0&amp;query=any,contains,991001752409702656","Catalog Record")</f>
        <v/>
      </c>
      <c r="AT637">
        <f>HYPERLINK("http://www.worldcat.org/oclc/22183908","WorldCat Record")</f>
        <v/>
      </c>
      <c r="AU637" t="inlineStr">
        <is>
          <t>23650447:eng</t>
        </is>
      </c>
      <c r="AV637" t="inlineStr">
        <is>
          <t>22183908</t>
        </is>
      </c>
      <c r="AW637" t="inlineStr">
        <is>
          <t>991001752409702656</t>
        </is>
      </c>
      <c r="AX637" t="inlineStr">
        <is>
          <t>991001752409702656</t>
        </is>
      </c>
      <c r="AY637" t="inlineStr">
        <is>
          <t>2258919570002656</t>
        </is>
      </c>
      <c r="AZ637" t="inlineStr">
        <is>
          <t>BOOK</t>
        </is>
      </c>
      <c r="BB637" t="inlineStr">
        <is>
          <t>9780803935877</t>
        </is>
      </c>
      <c r="BC637" t="inlineStr">
        <is>
          <t>32285000512920</t>
        </is>
      </c>
      <c r="BD637" t="inlineStr">
        <is>
          <t>893426821</t>
        </is>
      </c>
    </row>
    <row r="638">
      <c r="A638" t="inlineStr">
        <is>
          <t>No</t>
        </is>
      </c>
      <c r="B638" t="inlineStr">
        <is>
          <t>GN347 .P66 1997</t>
        </is>
      </c>
      <c r="C638" t="inlineStr">
        <is>
          <t>0                      GN 0347000P  66          1997</t>
        </is>
      </c>
      <c r="D638" t="inlineStr">
        <is>
          <t>Vision, race, and modernity : a visual economy of the Andean image world / Deborah Poole.</t>
        </is>
      </c>
      <c r="F638" t="inlineStr">
        <is>
          <t>No</t>
        </is>
      </c>
      <c r="G638" t="inlineStr">
        <is>
          <t>1</t>
        </is>
      </c>
      <c r="H638" t="inlineStr">
        <is>
          <t>No</t>
        </is>
      </c>
      <c r="I638" t="inlineStr">
        <is>
          <t>No</t>
        </is>
      </c>
      <c r="J638" t="inlineStr">
        <is>
          <t>0</t>
        </is>
      </c>
      <c r="K638" t="inlineStr">
        <is>
          <t>Poole, Deborah.</t>
        </is>
      </c>
      <c r="L638" t="inlineStr">
        <is>
          <t>Princeton, N.J. : Princeton University Press, c1997.</t>
        </is>
      </c>
      <c r="M638" t="inlineStr">
        <is>
          <t>1997</t>
        </is>
      </c>
      <c r="O638" t="inlineStr">
        <is>
          <t>eng</t>
        </is>
      </c>
      <c r="P638" t="inlineStr">
        <is>
          <t>nju</t>
        </is>
      </c>
      <c r="Q638" t="inlineStr">
        <is>
          <t>Princeton studies in culture/power/history</t>
        </is>
      </c>
      <c r="R638" t="inlineStr">
        <is>
          <t xml:space="preserve">GN </t>
        </is>
      </c>
      <c r="S638" t="n">
        <v>4</v>
      </c>
      <c r="T638" t="n">
        <v>4</v>
      </c>
      <c r="U638" t="inlineStr">
        <is>
          <t>2000-02-23</t>
        </is>
      </c>
      <c r="V638" t="inlineStr">
        <is>
          <t>2000-02-23</t>
        </is>
      </c>
      <c r="W638" t="inlineStr">
        <is>
          <t>1999-10-04</t>
        </is>
      </c>
      <c r="X638" t="inlineStr">
        <is>
          <t>1999-10-04</t>
        </is>
      </c>
      <c r="Y638" t="n">
        <v>513</v>
      </c>
      <c r="Z638" t="n">
        <v>379</v>
      </c>
      <c r="AA638" t="n">
        <v>380</v>
      </c>
      <c r="AB638" t="n">
        <v>1</v>
      </c>
      <c r="AC638" t="n">
        <v>1</v>
      </c>
      <c r="AD638" t="n">
        <v>15</v>
      </c>
      <c r="AE638" t="n">
        <v>15</v>
      </c>
      <c r="AF638" t="n">
        <v>6</v>
      </c>
      <c r="AG638" t="n">
        <v>6</v>
      </c>
      <c r="AH638" t="n">
        <v>4</v>
      </c>
      <c r="AI638" t="n">
        <v>4</v>
      </c>
      <c r="AJ638" t="n">
        <v>9</v>
      </c>
      <c r="AK638" t="n">
        <v>9</v>
      </c>
      <c r="AL638" t="n">
        <v>0</v>
      </c>
      <c r="AM638" t="n">
        <v>0</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HYPERLINK("https://creighton-primo.hosted.exlibrisgroup.com/primo-explore/search?tab=default_tab&amp;search_scope=EVERYTHING&amp;vid=01CRU&amp;lang=en_US&amp;offset=0&amp;query=any,contains,991002734789702656","Catalog Record")</f>
        <v/>
      </c>
      <c r="AT638">
        <f>HYPERLINK("http://www.worldcat.org/oclc/35885685","WorldCat Record")</f>
        <v/>
      </c>
      <c r="AU638" t="inlineStr">
        <is>
          <t>837034984:eng</t>
        </is>
      </c>
      <c r="AV638" t="inlineStr">
        <is>
          <t>35885685</t>
        </is>
      </c>
      <c r="AW638" t="inlineStr">
        <is>
          <t>991002734789702656</t>
        </is>
      </c>
      <c r="AX638" t="inlineStr">
        <is>
          <t>991002734789702656</t>
        </is>
      </c>
      <c r="AY638" t="inlineStr">
        <is>
          <t>2262158990002656</t>
        </is>
      </c>
      <c r="AZ638" t="inlineStr">
        <is>
          <t>BOOK</t>
        </is>
      </c>
      <c r="BB638" t="inlineStr">
        <is>
          <t>9780691006451</t>
        </is>
      </c>
      <c r="BC638" t="inlineStr">
        <is>
          <t>32285003592234</t>
        </is>
      </c>
      <c r="BD638" t="inlineStr">
        <is>
          <t>893603944</t>
        </is>
      </c>
    </row>
    <row r="639">
      <c r="A639" t="inlineStr">
        <is>
          <t>No</t>
        </is>
      </c>
      <c r="B639" t="inlineStr">
        <is>
          <t>GN35 .A33 2001</t>
        </is>
      </c>
      <c r="C639" t="inlineStr">
        <is>
          <t>0                      GN 0035000A  33          2001</t>
        </is>
      </c>
      <c r="D639" t="inlineStr">
        <is>
          <t>Academic anthropology and the museum : back to the future / edited by Mary Bouquet.</t>
        </is>
      </c>
      <c r="F639" t="inlineStr">
        <is>
          <t>No</t>
        </is>
      </c>
      <c r="G639" t="inlineStr">
        <is>
          <t>1</t>
        </is>
      </c>
      <c r="H639" t="inlineStr">
        <is>
          <t>No</t>
        </is>
      </c>
      <c r="I639" t="inlineStr">
        <is>
          <t>No</t>
        </is>
      </c>
      <c r="J639" t="inlineStr">
        <is>
          <t>0</t>
        </is>
      </c>
      <c r="L639" t="inlineStr">
        <is>
          <t>New York : Berghahn Books, c2001.</t>
        </is>
      </c>
      <c r="M639" t="inlineStr">
        <is>
          <t>2001</t>
        </is>
      </c>
      <c r="O639" t="inlineStr">
        <is>
          <t>eng</t>
        </is>
      </c>
      <c r="P639" t="inlineStr">
        <is>
          <t>nyu</t>
        </is>
      </c>
      <c r="Q639" t="inlineStr">
        <is>
          <t>New directions in anthropology ; v. 13</t>
        </is>
      </c>
      <c r="R639" t="inlineStr">
        <is>
          <t xml:space="preserve">GN </t>
        </is>
      </c>
      <c r="S639" t="n">
        <v>2</v>
      </c>
      <c r="T639" t="n">
        <v>2</v>
      </c>
      <c r="U639" t="inlineStr">
        <is>
          <t>2003-05-14</t>
        </is>
      </c>
      <c r="V639" t="inlineStr">
        <is>
          <t>2003-05-14</t>
        </is>
      </c>
      <c r="W639" t="inlineStr">
        <is>
          <t>2002-02-05</t>
        </is>
      </c>
      <c r="X639" t="inlineStr">
        <is>
          <t>2002-02-05</t>
        </is>
      </c>
      <c r="Y639" t="n">
        <v>325</v>
      </c>
      <c r="Z639" t="n">
        <v>206</v>
      </c>
      <c r="AA639" t="n">
        <v>402</v>
      </c>
      <c r="AB639" t="n">
        <v>3</v>
      </c>
      <c r="AC639" t="n">
        <v>3</v>
      </c>
      <c r="AD639" t="n">
        <v>9</v>
      </c>
      <c r="AE639" t="n">
        <v>20</v>
      </c>
      <c r="AF639" t="n">
        <v>1</v>
      </c>
      <c r="AG639" t="n">
        <v>7</v>
      </c>
      <c r="AH639" t="n">
        <v>5</v>
      </c>
      <c r="AI639" t="n">
        <v>8</v>
      </c>
      <c r="AJ639" t="n">
        <v>4</v>
      </c>
      <c r="AK639" t="n">
        <v>10</v>
      </c>
      <c r="AL639" t="n">
        <v>2</v>
      </c>
      <c r="AM639" t="n">
        <v>2</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HYPERLINK("https://creighton-primo.hosted.exlibrisgroup.com/primo-explore/search?tab=default_tab&amp;search_scope=EVERYTHING&amp;vid=01CRU&amp;lang=en_US&amp;offset=0&amp;query=any,contains,991003608929702656","Catalog Record")</f>
        <v/>
      </c>
      <c r="AT639">
        <f>HYPERLINK("http://www.worldcat.org/oclc/45356551","WorldCat Record")</f>
        <v/>
      </c>
      <c r="AU639" t="inlineStr">
        <is>
          <t>51191830:eng</t>
        </is>
      </c>
      <c r="AV639" t="inlineStr">
        <is>
          <t>45356551</t>
        </is>
      </c>
      <c r="AW639" t="inlineStr">
        <is>
          <t>991003608929702656</t>
        </is>
      </c>
      <c r="AX639" t="inlineStr">
        <is>
          <t>991003608929702656</t>
        </is>
      </c>
      <c r="AY639" t="inlineStr">
        <is>
          <t>2263352010002656</t>
        </is>
      </c>
      <c r="AZ639" t="inlineStr">
        <is>
          <t>BOOK</t>
        </is>
      </c>
      <c r="BB639" t="inlineStr">
        <is>
          <t>9781571813213</t>
        </is>
      </c>
      <c r="BC639" t="inlineStr">
        <is>
          <t>32285004451950</t>
        </is>
      </c>
      <c r="BD639" t="inlineStr">
        <is>
          <t>893900167</t>
        </is>
      </c>
    </row>
    <row r="640">
      <c r="A640" t="inlineStr">
        <is>
          <t>No</t>
        </is>
      </c>
      <c r="B640" t="inlineStr">
        <is>
          <t>GN35 .S58 1996</t>
        </is>
      </c>
      <c r="C640" t="inlineStr">
        <is>
          <t>0                      GN 0035000S  58          1996</t>
        </is>
      </c>
      <c r="D640" t="inlineStr">
        <is>
          <t>Making representations : museums in the post-colonial era / Moira G. Simpson.</t>
        </is>
      </c>
      <c r="F640" t="inlineStr">
        <is>
          <t>No</t>
        </is>
      </c>
      <c r="G640" t="inlineStr">
        <is>
          <t>1</t>
        </is>
      </c>
      <c r="H640" t="inlineStr">
        <is>
          <t>No</t>
        </is>
      </c>
      <c r="I640" t="inlineStr">
        <is>
          <t>No</t>
        </is>
      </c>
      <c r="J640" t="inlineStr">
        <is>
          <t>0</t>
        </is>
      </c>
      <c r="K640" t="inlineStr">
        <is>
          <t>Simpson, Moira G., 1957-</t>
        </is>
      </c>
      <c r="L640" t="inlineStr">
        <is>
          <t>London ; New York : Routledge, 1996.</t>
        </is>
      </c>
      <c r="M640" t="inlineStr">
        <is>
          <t>1996</t>
        </is>
      </c>
      <c r="O640" t="inlineStr">
        <is>
          <t>eng</t>
        </is>
      </c>
      <c r="P640" t="inlineStr">
        <is>
          <t>enk</t>
        </is>
      </c>
      <c r="R640" t="inlineStr">
        <is>
          <t xml:space="preserve">GN </t>
        </is>
      </c>
      <c r="S640" t="n">
        <v>2</v>
      </c>
      <c r="T640" t="n">
        <v>2</v>
      </c>
      <c r="U640" t="inlineStr">
        <is>
          <t>2001-06-26</t>
        </is>
      </c>
      <c r="V640" t="inlineStr">
        <is>
          <t>2001-06-26</t>
        </is>
      </c>
      <c r="W640" t="inlineStr">
        <is>
          <t>2001-06-26</t>
        </is>
      </c>
      <c r="X640" t="inlineStr">
        <is>
          <t>2001-06-26</t>
        </is>
      </c>
      <c r="Y640" t="n">
        <v>318</v>
      </c>
      <c r="Z640" t="n">
        <v>183</v>
      </c>
      <c r="AA640" t="n">
        <v>271</v>
      </c>
      <c r="AB640" t="n">
        <v>2</v>
      </c>
      <c r="AC640" t="n">
        <v>4</v>
      </c>
      <c r="AD640" t="n">
        <v>8</v>
      </c>
      <c r="AE640" t="n">
        <v>13</v>
      </c>
      <c r="AF640" t="n">
        <v>1</v>
      </c>
      <c r="AG640" t="n">
        <v>4</v>
      </c>
      <c r="AH640" t="n">
        <v>2</v>
      </c>
      <c r="AI640" t="n">
        <v>2</v>
      </c>
      <c r="AJ640" t="n">
        <v>5</v>
      </c>
      <c r="AK640" t="n">
        <v>6</v>
      </c>
      <c r="AL640" t="n">
        <v>1</v>
      </c>
      <c r="AM640" t="n">
        <v>3</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HYPERLINK("https://creighton-primo.hosted.exlibrisgroup.com/primo-explore/search?tab=default_tab&amp;search_scope=EVERYTHING&amp;vid=01CRU&amp;lang=en_US&amp;offset=0&amp;query=any,contains,991003526029702656","Catalog Record")</f>
        <v/>
      </c>
      <c r="AT640">
        <f>HYPERLINK("http://www.worldcat.org/oclc/34354553","WorldCat Record")</f>
        <v/>
      </c>
      <c r="AU640" t="inlineStr">
        <is>
          <t>4926752226:eng</t>
        </is>
      </c>
      <c r="AV640" t="inlineStr">
        <is>
          <t>34354553</t>
        </is>
      </c>
      <c r="AW640" t="inlineStr">
        <is>
          <t>991003526029702656</t>
        </is>
      </c>
      <c r="AX640" t="inlineStr">
        <is>
          <t>991003526029702656</t>
        </is>
      </c>
      <c r="AY640" t="inlineStr">
        <is>
          <t>2265215680002656</t>
        </is>
      </c>
      <c r="AZ640" t="inlineStr">
        <is>
          <t>BOOK</t>
        </is>
      </c>
      <c r="BB640" t="inlineStr">
        <is>
          <t>9780415067850</t>
        </is>
      </c>
      <c r="BC640" t="inlineStr">
        <is>
          <t>32285004329214</t>
        </is>
      </c>
      <c r="BD640" t="inlineStr">
        <is>
          <t>893228132</t>
        </is>
      </c>
    </row>
    <row r="641">
      <c r="A641" t="inlineStr">
        <is>
          <t>No</t>
        </is>
      </c>
      <c r="B641" t="inlineStr">
        <is>
          <t>GN357 .L35</t>
        </is>
      </c>
      <c r="C641" t="inlineStr">
        <is>
          <t>0                      GN 0357000L  35</t>
        </is>
      </c>
      <c r="D641" t="inlineStr">
        <is>
          <t>Ancient civilizations : the Near East and Mesoamerica / C. C. Lamberg-Karlovsky, and Jeremy A. Sabloff.</t>
        </is>
      </c>
      <c r="F641" t="inlineStr">
        <is>
          <t>No</t>
        </is>
      </c>
      <c r="G641" t="inlineStr">
        <is>
          <t>1</t>
        </is>
      </c>
      <c r="H641" t="inlineStr">
        <is>
          <t>No</t>
        </is>
      </c>
      <c r="I641" t="inlineStr">
        <is>
          <t>No</t>
        </is>
      </c>
      <c r="J641" t="inlineStr">
        <is>
          <t>0</t>
        </is>
      </c>
      <c r="K641" t="inlineStr">
        <is>
          <t>Lamberg-Karlovsky, C. C., 1937-</t>
        </is>
      </c>
      <c r="L641" t="inlineStr">
        <is>
          <t>Menlo Park, Calif. : Benjamin/Cummings Pub. Co., c1979.</t>
        </is>
      </c>
      <c r="M641" t="inlineStr">
        <is>
          <t>1979</t>
        </is>
      </c>
      <c r="O641" t="inlineStr">
        <is>
          <t>eng</t>
        </is>
      </c>
      <c r="P641" t="inlineStr">
        <is>
          <t>cau</t>
        </is>
      </c>
      <c r="R641" t="inlineStr">
        <is>
          <t xml:space="preserve">GN </t>
        </is>
      </c>
      <c r="S641" t="n">
        <v>6</v>
      </c>
      <c r="T641" t="n">
        <v>6</v>
      </c>
      <c r="U641" t="inlineStr">
        <is>
          <t>1999-11-26</t>
        </is>
      </c>
      <c r="V641" t="inlineStr">
        <is>
          <t>1999-11-26</t>
        </is>
      </c>
      <c r="W641" t="inlineStr">
        <is>
          <t>1990-09-24</t>
        </is>
      </c>
      <c r="X641" t="inlineStr">
        <is>
          <t>1990-09-24</t>
        </is>
      </c>
      <c r="Y641" t="n">
        <v>426</v>
      </c>
      <c r="Z641" t="n">
        <v>345</v>
      </c>
      <c r="AA641" t="n">
        <v>550</v>
      </c>
      <c r="AB641" t="n">
        <v>2</v>
      </c>
      <c r="AC641" t="n">
        <v>2</v>
      </c>
      <c r="AD641" t="n">
        <v>7</v>
      </c>
      <c r="AE641" t="n">
        <v>20</v>
      </c>
      <c r="AF641" t="n">
        <v>2</v>
      </c>
      <c r="AG641" t="n">
        <v>7</v>
      </c>
      <c r="AH641" t="n">
        <v>0</v>
      </c>
      <c r="AI641" t="n">
        <v>5</v>
      </c>
      <c r="AJ641" t="n">
        <v>4</v>
      </c>
      <c r="AK641" t="n">
        <v>11</v>
      </c>
      <c r="AL641" t="n">
        <v>1</v>
      </c>
      <c r="AM641" t="n">
        <v>1</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HYPERLINK("https://creighton-primo.hosted.exlibrisgroup.com/primo-explore/search?tab=default_tab&amp;search_scope=EVERYTHING&amp;vid=01CRU&amp;lang=en_US&amp;offset=0&amp;query=any,contains,991004677079702656","Catalog Record")</f>
        <v/>
      </c>
      <c r="AT641">
        <f>HYPERLINK("http://www.worldcat.org/oclc/4549308","WorldCat Record")</f>
        <v/>
      </c>
      <c r="AU641" t="inlineStr">
        <is>
          <t>13398644:eng</t>
        </is>
      </c>
      <c r="AV641" t="inlineStr">
        <is>
          <t>4549308</t>
        </is>
      </c>
      <c r="AW641" t="inlineStr">
        <is>
          <t>991004677079702656</t>
        </is>
      </c>
      <c r="AX641" t="inlineStr">
        <is>
          <t>991004677079702656</t>
        </is>
      </c>
      <c r="AY641" t="inlineStr">
        <is>
          <t>2272702330002656</t>
        </is>
      </c>
      <c r="AZ641" t="inlineStr">
        <is>
          <t>BOOK</t>
        </is>
      </c>
      <c r="BB641" t="inlineStr">
        <is>
          <t>9780805356724</t>
        </is>
      </c>
      <c r="BC641" t="inlineStr">
        <is>
          <t>32285000315944</t>
        </is>
      </c>
      <c r="BD641" t="inlineStr">
        <is>
          <t>893876442</t>
        </is>
      </c>
    </row>
    <row r="642">
      <c r="A642" t="inlineStr">
        <is>
          <t>No</t>
        </is>
      </c>
      <c r="B642" t="inlineStr">
        <is>
          <t>GN357 .S66 1996</t>
        </is>
      </c>
      <c r="C642" t="inlineStr">
        <is>
          <t>0                      GN 0357000S  66          1996</t>
        </is>
      </c>
      <c r="D642" t="inlineStr">
        <is>
          <t>Explaining culture : a naturalistic approach / Dan Sperber.</t>
        </is>
      </c>
      <c r="F642" t="inlineStr">
        <is>
          <t>No</t>
        </is>
      </c>
      <c r="G642" t="inlineStr">
        <is>
          <t>1</t>
        </is>
      </c>
      <c r="H642" t="inlineStr">
        <is>
          <t>No</t>
        </is>
      </c>
      <c r="I642" t="inlineStr">
        <is>
          <t>No</t>
        </is>
      </c>
      <c r="J642" t="inlineStr">
        <is>
          <t>0</t>
        </is>
      </c>
      <c r="K642" t="inlineStr">
        <is>
          <t>Sperber, Dan.</t>
        </is>
      </c>
      <c r="L642" t="inlineStr">
        <is>
          <t>Oxford, UK ; Cambridge, Mass. : Blackwell, 1996.</t>
        </is>
      </c>
      <c r="M642" t="inlineStr">
        <is>
          <t>1996</t>
        </is>
      </c>
      <c r="O642" t="inlineStr">
        <is>
          <t>eng</t>
        </is>
      </c>
      <c r="P642" t="inlineStr">
        <is>
          <t>enk</t>
        </is>
      </c>
      <c r="R642" t="inlineStr">
        <is>
          <t xml:space="preserve">GN </t>
        </is>
      </c>
      <c r="S642" t="n">
        <v>14</v>
      </c>
      <c r="T642" t="n">
        <v>14</v>
      </c>
      <c r="U642" t="inlineStr">
        <is>
          <t>2000-04-05</t>
        </is>
      </c>
      <c r="V642" t="inlineStr">
        <is>
          <t>2000-04-05</t>
        </is>
      </c>
      <c r="W642" t="inlineStr">
        <is>
          <t>1996-10-28</t>
        </is>
      </c>
      <c r="X642" t="inlineStr">
        <is>
          <t>1996-10-28</t>
        </is>
      </c>
      <c r="Y642" t="n">
        <v>491</v>
      </c>
      <c r="Z642" t="n">
        <v>275</v>
      </c>
      <c r="AA642" t="n">
        <v>276</v>
      </c>
      <c r="AB642" t="n">
        <v>1</v>
      </c>
      <c r="AC642" t="n">
        <v>1</v>
      </c>
      <c r="AD642" t="n">
        <v>17</v>
      </c>
      <c r="AE642" t="n">
        <v>17</v>
      </c>
      <c r="AF642" t="n">
        <v>6</v>
      </c>
      <c r="AG642" t="n">
        <v>6</v>
      </c>
      <c r="AH642" t="n">
        <v>8</v>
      </c>
      <c r="AI642" t="n">
        <v>8</v>
      </c>
      <c r="AJ642" t="n">
        <v>10</v>
      </c>
      <c r="AK642" t="n">
        <v>10</v>
      </c>
      <c r="AL642" t="n">
        <v>0</v>
      </c>
      <c r="AM642" t="n">
        <v>0</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HYPERLINK("https://creighton-primo.hosted.exlibrisgroup.com/primo-explore/search?tab=default_tab&amp;search_scope=EVERYTHING&amp;vid=01CRU&amp;lang=en_US&amp;offset=0&amp;query=any,contains,991002613199702656","Catalog Record")</f>
        <v/>
      </c>
      <c r="AT642">
        <f>HYPERLINK("http://www.worldcat.org/oclc/34245065","WorldCat Record")</f>
        <v/>
      </c>
      <c r="AU642" t="inlineStr">
        <is>
          <t>39854394:eng</t>
        </is>
      </c>
      <c r="AV642" t="inlineStr">
        <is>
          <t>34245065</t>
        </is>
      </c>
      <c r="AW642" t="inlineStr">
        <is>
          <t>991002613199702656</t>
        </is>
      </c>
      <c r="AX642" t="inlineStr">
        <is>
          <t>991002613199702656</t>
        </is>
      </c>
      <c r="AY642" t="inlineStr">
        <is>
          <t>2264438550002656</t>
        </is>
      </c>
      <c r="AZ642" t="inlineStr">
        <is>
          <t>BOOK</t>
        </is>
      </c>
      <c r="BB642" t="inlineStr">
        <is>
          <t>9780631200444</t>
        </is>
      </c>
      <c r="BC642" t="inlineStr">
        <is>
          <t>32285002369279</t>
        </is>
      </c>
      <c r="BD642" t="inlineStr">
        <is>
          <t>893622485</t>
        </is>
      </c>
    </row>
    <row r="643">
      <c r="A643" t="inlineStr">
        <is>
          <t>No</t>
        </is>
      </c>
      <c r="B643" t="inlineStr">
        <is>
          <t>GN357 .W33 1981</t>
        </is>
      </c>
      <c r="C643" t="inlineStr">
        <is>
          <t>0                      GN 0357000W  33          1981</t>
        </is>
      </c>
      <c r="D643" t="inlineStr">
        <is>
          <t>The invention of culture / Roy Wagner.</t>
        </is>
      </c>
      <c r="F643" t="inlineStr">
        <is>
          <t>No</t>
        </is>
      </c>
      <c r="G643" t="inlineStr">
        <is>
          <t>1</t>
        </is>
      </c>
      <c r="H643" t="inlineStr">
        <is>
          <t>No</t>
        </is>
      </c>
      <c r="I643" t="inlineStr">
        <is>
          <t>No</t>
        </is>
      </c>
      <c r="J643" t="inlineStr">
        <is>
          <t>0</t>
        </is>
      </c>
      <c r="K643" t="inlineStr">
        <is>
          <t>Wagner, Roy, 1938-</t>
        </is>
      </c>
      <c r="L643" t="inlineStr">
        <is>
          <t>Chicago : University of Chicago Press, 1981.</t>
        </is>
      </c>
      <c r="M643" t="inlineStr">
        <is>
          <t>1981</t>
        </is>
      </c>
      <c r="N643" t="inlineStr">
        <is>
          <t>Rev. and expanded ed.</t>
        </is>
      </c>
      <c r="O643" t="inlineStr">
        <is>
          <t>eng</t>
        </is>
      </c>
      <c r="P643" t="inlineStr">
        <is>
          <t>ilu</t>
        </is>
      </c>
      <c r="Q643" t="inlineStr">
        <is>
          <t>A Phoenix book</t>
        </is>
      </c>
      <c r="R643" t="inlineStr">
        <is>
          <t xml:space="preserve">GN </t>
        </is>
      </c>
      <c r="S643" t="n">
        <v>1</v>
      </c>
      <c r="T643" t="n">
        <v>1</v>
      </c>
      <c r="U643" t="inlineStr">
        <is>
          <t>1992-02-16</t>
        </is>
      </c>
      <c r="V643" t="inlineStr">
        <is>
          <t>1992-02-16</t>
        </is>
      </c>
      <c r="W643" t="inlineStr">
        <is>
          <t>1991-09-17</t>
        </is>
      </c>
      <c r="X643" t="inlineStr">
        <is>
          <t>1991-09-17</t>
        </is>
      </c>
      <c r="Y643" t="n">
        <v>464</v>
      </c>
      <c r="Z643" t="n">
        <v>346</v>
      </c>
      <c r="AA643" t="n">
        <v>563</v>
      </c>
      <c r="AB643" t="n">
        <v>2</v>
      </c>
      <c r="AC643" t="n">
        <v>3</v>
      </c>
      <c r="AD643" t="n">
        <v>12</v>
      </c>
      <c r="AE643" t="n">
        <v>22</v>
      </c>
      <c r="AF643" t="n">
        <v>3</v>
      </c>
      <c r="AG643" t="n">
        <v>6</v>
      </c>
      <c r="AH643" t="n">
        <v>1</v>
      </c>
      <c r="AI643" t="n">
        <v>6</v>
      </c>
      <c r="AJ643" t="n">
        <v>9</v>
      </c>
      <c r="AK643" t="n">
        <v>13</v>
      </c>
      <c r="AL643" t="n">
        <v>1</v>
      </c>
      <c r="AM643" t="n">
        <v>2</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HYPERLINK("https://creighton-primo.hosted.exlibrisgroup.com/primo-explore/search?tab=default_tab&amp;search_scope=EVERYTHING&amp;vid=01CRU&amp;lang=en_US&amp;offset=0&amp;query=any,contains,991005054299702656","Catalog Record")</f>
        <v/>
      </c>
      <c r="AT643">
        <f>HYPERLINK("http://www.worldcat.org/oclc/6890138","WorldCat Record")</f>
        <v/>
      </c>
      <c r="AU643" t="inlineStr">
        <is>
          <t>419489:eng</t>
        </is>
      </c>
      <c r="AV643" t="inlineStr">
        <is>
          <t>6890138</t>
        </is>
      </c>
      <c r="AW643" t="inlineStr">
        <is>
          <t>991005054299702656</t>
        </is>
      </c>
      <c r="AX643" t="inlineStr">
        <is>
          <t>991005054299702656</t>
        </is>
      </c>
      <c r="AY643" t="inlineStr">
        <is>
          <t>2264049210002656</t>
        </is>
      </c>
      <c r="AZ643" t="inlineStr">
        <is>
          <t>BOOK</t>
        </is>
      </c>
      <c r="BB643" t="inlineStr">
        <is>
          <t>9780226869339</t>
        </is>
      </c>
      <c r="BC643" t="inlineStr">
        <is>
          <t>32285000703719</t>
        </is>
      </c>
      <c r="BD643" t="inlineStr">
        <is>
          <t>893789368</t>
        </is>
      </c>
    </row>
    <row r="644">
      <c r="A644" t="inlineStr">
        <is>
          <t>No</t>
        </is>
      </c>
      <c r="B644" t="inlineStr">
        <is>
          <t>GN358 .W35 2003</t>
        </is>
      </c>
      <c r="C644" t="inlineStr">
        <is>
          <t>0                      GN 0358000W  35          2003</t>
        </is>
      </c>
      <c r="D644" t="inlineStr">
        <is>
          <t>Essays on culture change / Anthony F.C. Wallace ; edited by Robert S. Grumet.</t>
        </is>
      </c>
      <c r="E644" t="inlineStr">
        <is>
          <t>V. 1</t>
        </is>
      </c>
      <c r="F644" t="inlineStr">
        <is>
          <t>No</t>
        </is>
      </c>
      <c r="G644" t="inlineStr">
        <is>
          <t>1</t>
        </is>
      </c>
      <c r="H644" t="inlineStr">
        <is>
          <t>No</t>
        </is>
      </c>
      <c r="I644" t="inlineStr">
        <is>
          <t>No</t>
        </is>
      </c>
      <c r="J644" t="inlineStr">
        <is>
          <t>0</t>
        </is>
      </c>
      <c r="K644" t="inlineStr">
        <is>
          <t>Wallace, Anthony F. C., 1923-</t>
        </is>
      </c>
      <c r="L644" t="inlineStr">
        <is>
          <t>Lincoln : University of Nebraska Press, c2003-</t>
        </is>
      </c>
      <c r="M644" t="inlineStr">
        <is>
          <t>2003</t>
        </is>
      </c>
      <c r="O644" t="inlineStr">
        <is>
          <t>eng</t>
        </is>
      </c>
      <c r="P644" t="inlineStr">
        <is>
          <t>nbu</t>
        </is>
      </c>
      <c r="R644" t="inlineStr">
        <is>
          <t xml:space="preserve">GN </t>
        </is>
      </c>
      <c r="S644" t="n">
        <v>2</v>
      </c>
      <c r="T644" t="n">
        <v>2</v>
      </c>
      <c r="U644" t="inlineStr">
        <is>
          <t>2006-04-02</t>
        </is>
      </c>
      <c r="V644" t="inlineStr">
        <is>
          <t>2006-04-02</t>
        </is>
      </c>
      <c r="W644" t="inlineStr">
        <is>
          <t>2004-04-07</t>
        </is>
      </c>
      <c r="X644" t="inlineStr">
        <is>
          <t>2004-04-07</t>
        </is>
      </c>
      <c r="Y644" t="n">
        <v>243</v>
      </c>
      <c r="Z644" t="n">
        <v>210</v>
      </c>
      <c r="AA644" t="n">
        <v>211</v>
      </c>
      <c r="AB644" t="n">
        <v>4</v>
      </c>
      <c r="AC644" t="n">
        <v>4</v>
      </c>
      <c r="AD644" t="n">
        <v>12</v>
      </c>
      <c r="AE644" t="n">
        <v>12</v>
      </c>
      <c r="AF644" t="n">
        <v>5</v>
      </c>
      <c r="AG644" t="n">
        <v>5</v>
      </c>
      <c r="AH644" t="n">
        <v>4</v>
      </c>
      <c r="AI644" t="n">
        <v>4</v>
      </c>
      <c r="AJ644" t="n">
        <v>5</v>
      </c>
      <c r="AK644" t="n">
        <v>5</v>
      </c>
      <c r="AL644" t="n">
        <v>2</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HYPERLINK("https://creighton-primo.hosted.exlibrisgroup.com/primo-explore/search?tab=default_tab&amp;search_scope=EVERYTHING&amp;vid=01CRU&amp;lang=en_US&amp;offset=0&amp;query=any,contains,991004249259702656","Catalog Record")</f>
        <v/>
      </c>
      <c r="AT644">
        <f>HYPERLINK("http://www.worldcat.org/oclc/51770176","WorldCat Record")</f>
        <v/>
      </c>
      <c r="AU644" t="inlineStr">
        <is>
          <t>782484:eng</t>
        </is>
      </c>
      <c r="AV644" t="inlineStr">
        <is>
          <t>51770176</t>
        </is>
      </c>
      <c r="AW644" t="inlineStr">
        <is>
          <t>991004249259702656</t>
        </is>
      </c>
      <c r="AX644" t="inlineStr">
        <is>
          <t>991004249259702656</t>
        </is>
      </c>
      <c r="AY644" t="inlineStr">
        <is>
          <t>2268227380002656</t>
        </is>
      </c>
      <c r="AZ644" t="inlineStr">
        <is>
          <t>BOOK</t>
        </is>
      </c>
      <c r="BB644" t="inlineStr">
        <is>
          <t>9780803247925</t>
        </is>
      </c>
      <c r="BC644" t="inlineStr">
        <is>
          <t>32285004898432</t>
        </is>
      </c>
      <c r="BD644" t="inlineStr">
        <is>
          <t>893506623</t>
        </is>
      </c>
    </row>
    <row r="645">
      <c r="A645" t="inlineStr">
        <is>
          <t>No</t>
        </is>
      </c>
      <c r="B645" t="inlineStr">
        <is>
          <t>GN358.5 .H37</t>
        </is>
      </c>
      <c r="C645" t="inlineStr">
        <is>
          <t>0                      GN 0358500H  37</t>
        </is>
      </c>
      <c r="D645" t="inlineStr">
        <is>
          <t>Cannibals and kings : the origins of cultures / Marvin Harris.</t>
        </is>
      </c>
      <c r="F645" t="inlineStr">
        <is>
          <t>No</t>
        </is>
      </c>
      <c r="G645" t="inlineStr">
        <is>
          <t>1</t>
        </is>
      </c>
      <c r="H645" t="inlineStr">
        <is>
          <t>No</t>
        </is>
      </c>
      <c r="I645" t="inlineStr">
        <is>
          <t>No</t>
        </is>
      </c>
      <c r="J645" t="inlineStr">
        <is>
          <t>0</t>
        </is>
      </c>
      <c r="K645" t="inlineStr">
        <is>
          <t>Harris, Marvin, 1927-2001.</t>
        </is>
      </c>
      <c r="L645" t="inlineStr">
        <is>
          <t>New York : Random House, c1977.</t>
        </is>
      </c>
      <c r="M645" t="inlineStr">
        <is>
          <t>1977</t>
        </is>
      </c>
      <c r="N645" t="inlineStr">
        <is>
          <t>1st ed.</t>
        </is>
      </c>
      <c r="O645" t="inlineStr">
        <is>
          <t>eng</t>
        </is>
      </c>
      <c r="P645" t="inlineStr">
        <is>
          <t>nyu</t>
        </is>
      </c>
      <c r="R645" t="inlineStr">
        <is>
          <t xml:space="preserve">GN </t>
        </is>
      </c>
      <c r="S645" t="n">
        <v>6</v>
      </c>
      <c r="T645" t="n">
        <v>6</v>
      </c>
      <c r="U645" t="inlineStr">
        <is>
          <t>2006-04-17</t>
        </is>
      </c>
      <c r="V645" t="inlineStr">
        <is>
          <t>2006-04-17</t>
        </is>
      </c>
      <c r="W645" t="inlineStr">
        <is>
          <t>1992-09-30</t>
        </is>
      </c>
      <c r="X645" t="inlineStr">
        <is>
          <t>1992-09-30</t>
        </is>
      </c>
      <c r="Y645" t="n">
        <v>1476</v>
      </c>
      <c r="Z645" t="n">
        <v>1346</v>
      </c>
      <c r="AA645" t="n">
        <v>1653</v>
      </c>
      <c r="AB645" t="n">
        <v>10</v>
      </c>
      <c r="AC645" t="n">
        <v>11</v>
      </c>
      <c r="AD645" t="n">
        <v>49</v>
      </c>
      <c r="AE645" t="n">
        <v>54</v>
      </c>
      <c r="AF645" t="n">
        <v>19</v>
      </c>
      <c r="AG645" t="n">
        <v>22</v>
      </c>
      <c r="AH645" t="n">
        <v>8</v>
      </c>
      <c r="AI645" t="n">
        <v>8</v>
      </c>
      <c r="AJ645" t="n">
        <v>21</v>
      </c>
      <c r="AK645" t="n">
        <v>23</v>
      </c>
      <c r="AL645" t="n">
        <v>9</v>
      </c>
      <c r="AM645" t="n">
        <v>10</v>
      </c>
      <c r="AN645" t="n">
        <v>2</v>
      </c>
      <c r="AO645" t="n">
        <v>2</v>
      </c>
      <c r="AP645" t="inlineStr">
        <is>
          <t>No</t>
        </is>
      </c>
      <c r="AQ645" t="inlineStr">
        <is>
          <t>Yes</t>
        </is>
      </c>
      <c r="AR645">
        <f>HYPERLINK("http://catalog.hathitrust.org/Record/000250443","HathiTrust Record")</f>
        <v/>
      </c>
      <c r="AS645">
        <f>HYPERLINK("https://creighton-primo.hosted.exlibrisgroup.com/primo-explore/search?tab=default_tab&amp;search_scope=EVERYTHING&amp;vid=01CRU&amp;lang=en_US&amp;offset=0&amp;query=any,contains,991004307609702656","Catalog Record")</f>
        <v/>
      </c>
      <c r="AT645">
        <f>HYPERLINK("http://www.worldcat.org/oclc/2984474","WorldCat Record")</f>
        <v/>
      </c>
      <c r="AU645" t="inlineStr">
        <is>
          <t>794314339:eng</t>
        </is>
      </c>
      <c r="AV645" t="inlineStr">
        <is>
          <t>2984474</t>
        </is>
      </c>
      <c r="AW645" t="inlineStr">
        <is>
          <t>991004307609702656</t>
        </is>
      </c>
      <c r="AX645" t="inlineStr">
        <is>
          <t>991004307609702656</t>
        </is>
      </c>
      <c r="AY645" t="inlineStr">
        <is>
          <t>2258304760002656</t>
        </is>
      </c>
      <c r="AZ645" t="inlineStr">
        <is>
          <t>BOOK</t>
        </is>
      </c>
      <c r="BB645" t="inlineStr">
        <is>
          <t>9780394407654</t>
        </is>
      </c>
      <c r="BC645" t="inlineStr">
        <is>
          <t>32285001322998</t>
        </is>
      </c>
      <c r="BD645" t="inlineStr">
        <is>
          <t>893875943</t>
        </is>
      </c>
    </row>
    <row r="646">
      <c r="A646" t="inlineStr">
        <is>
          <t>No</t>
        </is>
      </c>
      <c r="B646" t="inlineStr">
        <is>
          <t>GN36.F82 P3756 2007</t>
        </is>
      </c>
      <c r="C646" t="inlineStr">
        <is>
          <t>0                      GN 0036000F  82                 P  3756        2007</t>
        </is>
      </c>
      <c r="D646" t="inlineStr">
        <is>
          <t>Paris primitive : Jacques Chirac's museum on the Quai Branly / Sally Price.</t>
        </is>
      </c>
      <c r="F646" t="inlineStr">
        <is>
          <t>No</t>
        </is>
      </c>
      <c r="G646" t="inlineStr">
        <is>
          <t>1</t>
        </is>
      </c>
      <c r="H646" t="inlineStr">
        <is>
          <t>No</t>
        </is>
      </c>
      <c r="I646" t="inlineStr">
        <is>
          <t>No</t>
        </is>
      </c>
      <c r="J646" t="inlineStr">
        <is>
          <t>0</t>
        </is>
      </c>
      <c r="K646" t="inlineStr">
        <is>
          <t>Price, Sally.</t>
        </is>
      </c>
      <c r="L646" t="inlineStr">
        <is>
          <t>Chicago : University of Chicago Press, c2007.</t>
        </is>
      </c>
      <c r="M646" t="inlineStr">
        <is>
          <t>2007</t>
        </is>
      </c>
      <c r="O646" t="inlineStr">
        <is>
          <t>eng</t>
        </is>
      </c>
      <c r="P646" t="inlineStr">
        <is>
          <t>ilu</t>
        </is>
      </c>
      <c r="R646" t="inlineStr">
        <is>
          <t xml:space="preserve">GN </t>
        </is>
      </c>
      <c r="S646" t="n">
        <v>1</v>
      </c>
      <c r="T646" t="n">
        <v>1</v>
      </c>
      <c r="U646" t="inlineStr">
        <is>
          <t>2008-09-17</t>
        </is>
      </c>
      <c r="V646" t="inlineStr">
        <is>
          <t>2008-09-17</t>
        </is>
      </c>
      <c r="W646" t="inlineStr">
        <is>
          <t>2008-09-17</t>
        </is>
      </c>
      <c r="X646" t="inlineStr">
        <is>
          <t>2008-09-17</t>
        </is>
      </c>
      <c r="Y646" t="n">
        <v>365</v>
      </c>
      <c r="Z646" t="n">
        <v>262</v>
      </c>
      <c r="AA646" t="n">
        <v>263</v>
      </c>
      <c r="AB646" t="n">
        <v>2</v>
      </c>
      <c r="AC646" t="n">
        <v>2</v>
      </c>
      <c r="AD646" t="n">
        <v>9</v>
      </c>
      <c r="AE646" t="n">
        <v>9</v>
      </c>
      <c r="AF646" t="n">
        <v>1</v>
      </c>
      <c r="AG646" t="n">
        <v>1</v>
      </c>
      <c r="AH646" t="n">
        <v>3</v>
      </c>
      <c r="AI646" t="n">
        <v>3</v>
      </c>
      <c r="AJ646" t="n">
        <v>5</v>
      </c>
      <c r="AK646" t="n">
        <v>5</v>
      </c>
      <c r="AL646" t="n">
        <v>1</v>
      </c>
      <c r="AM646" t="n">
        <v>1</v>
      </c>
      <c r="AN646" t="n">
        <v>0</v>
      </c>
      <c r="AO646" t="n">
        <v>0</v>
      </c>
      <c r="AP646" t="inlineStr">
        <is>
          <t>No</t>
        </is>
      </c>
      <c r="AQ646" t="inlineStr">
        <is>
          <t>Yes</t>
        </is>
      </c>
      <c r="AR646">
        <f>HYPERLINK("http://catalog.hathitrust.org/Record/005616333","HathiTrust Record")</f>
        <v/>
      </c>
      <c r="AS646">
        <f>HYPERLINK("https://creighton-primo.hosted.exlibrisgroup.com/primo-explore/search?tab=default_tab&amp;search_scope=EVERYTHING&amp;vid=01CRU&amp;lang=en_US&amp;offset=0&amp;query=any,contains,991005263519702656","Catalog Record")</f>
        <v/>
      </c>
      <c r="AT646">
        <f>HYPERLINK("http://www.worldcat.org/oclc/122309104","WorldCat Record")</f>
        <v/>
      </c>
      <c r="AU646" t="inlineStr">
        <is>
          <t>890889139:eng</t>
        </is>
      </c>
      <c r="AV646" t="inlineStr">
        <is>
          <t>122309104</t>
        </is>
      </c>
      <c r="AW646" t="inlineStr">
        <is>
          <t>991005263519702656</t>
        </is>
      </c>
      <c r="AX646" t="inlineStr">
        <is>
          <t>991005263519702656</t>
        </is>
      </c>
      <c r="AY646" t="inlineStr">
        <is>
          <t>2267005640002656</t>
        </is>
      </c>
      <c r="AZ646" t="inlineStr">
        <is>
          <t>BOOK</t>
        </is>
      </c>
      <c r="BB646" t="inlineStr">
        <is>
          <t>9780226680682</t>
        </is>
      </c>
      <c r="BC646" t="inlineStr">
        <is>
          <t>32285005458673</t>
        </is>
      </c>
      <c r="BD646" t="inlineStr">
        <is>
          <t>893332683</t>
        </is>
      </c>
    </row>
    <row r="647">
      <c r="A647" t="inlineStr">
        <is>
          <t>No</t>
        </is>
      </c>
      <c r="B647" t="inlineStr">
        <is>
          <t>GN360 .B37 1986</t>
        </is>
      </c>
      <c r="C647" t="inlineStr">
        <is>
          <t>0                      GN 0360000B  37          1986</t>
        </is>
      </c>
      <c r="D647" t="inlineStr">
        <is>
          <t>The hare and the tortoise : culture, biology, and human nature / David P. Barash.</t>
        </is>
      </c>
      <c r="F647" t="inlineStr">
        <is>
          <t>No</t>
        </is>
      </c>
      <c r="G647" t="inlineStr">
        <is>
          <t>1</t>
        </is>
      </c>
      <c r="H647" t="inlineStr">
        <is>
          <t>No</t>
        </is>
      </c>
      <c r="I647" t="inlineStr">
        <is>
          <t>No</t>
        </is>
      </c>
      <c r="J647" t="inlineStr">
        <is>
          <t>0</t>
        </is>
      </c>
      <c r="K647" t="inlineStr">
        <is>
          <t>Barash, David P.</t>
        </is>
      </c>
      <c r="L647" t="inlineStr">
        <is>
          <t>New York, N.Y., U.S.A. : Viking, 1986.</t>
        </is>
      </c>
      <c r="M647" t="inlineStr">
        <is>
          <t>1986</t>
        </is>
      </c>
      <c r="O647" t="inlineStr">
        <is>
          <t>eng</t>
        </is>
      </c>
      <c r="P647" t="inlineStr">
        <is>
          <t>nyu</t>
        </is>
      </c>
      <c r="R647" t="inlineStr">
        <is>
          <t xml:space="preserve">GN </t>
        </is>
      </c>
      <c r="S647" t="n">
        <v>4</v>
      </c>
      <c r="T647" t="n">
        <v>4</v>
      </c>
      <c r="U647" t="inlineStr">
        <is>
          <t>1995-08-23</t>
        </is>
      </c>
      <c r="V647" t="inlineStr">
        <is>
          <t>1995-08-23</t>
        </is>
      </c>
      <c r="W647" t="inlineStr">
        <is>
          <t>1990-11-09</t>
        </is>
      </c>
      <c r="X647" t="inlineStr">
        <is>
          <t>1990-11-09</t>
        </is>
      </c>
      <c r="Y647" t="n">
        <v>529</v>
      </c>
      <c r="Z647" t="n">
        <v>488</v>
      </c>
      <c r="AA647" t="n">
        <v>557</v>
      </c>
      <c r="AB647" t="n">
        <v>2</v>
      </c>
      <c r="AC647" t="n">
        <v>2</v>
      </c>
      <c r="AD647" t="n">
        <v>17</v>
      </c>
      <c r="AE647" t="n">
        <v>18</v>
      </c>
      <c r="AF647" t="n">
        <v>8</v>
      </c>
      <c r="AG647" t="n">
        <v>9</v>
      </c>
      <c r="AH647" t="n">
        <v>4</v>
      </c>
      <c r="AI647" t="n">
        <v>4</v>
      </c>
      <c r="AJ647" t="n">
        <v>8</v>
      </c>
      <c r="AK647" t="n">
        <v>8</v>
      </c>
      <c r="AL647" t="n">
        <v>1</v>
      </c>
      <c r="AM647" t="n">
        <v>1</v>
      </c>
      <c r="AN647" t="n">
        <v>0</v>
      </c>
      <c r="AO647" t="n">
        <v>0</v>
      </c>
      <c r="AP647" t="inlineStr">
        <is>
          <t>No</t>
        </is>
      </c>
      <c r="AQ647" t="inlineStr">
        <is>
          <t>Yes</t>
        </is>
      </c>
      <c r="AR647">
        <f>HYPERLINK("http://catalog.hathitrust.org/Record/000388574","HathiTrust Record")</f>
        <v/>
      </c>
      <c r="AS647">
        <f>HYPERLINK("https://creighton-primo.hosted.exlibrisgroup.com/primo-explore/search?tab=default_tab&amp;search_scope=EVERYTHING&amp;vid=01CRU&amp;lang=en_US&amp;offset=0&amp;query=any,contains,991000770839702656","Catalog Record")</f>
        <v/>
      </c>
      <c r="AT647">
        <f>HYPERLINK("http://www.worldcat.org/oclc/13010986","WorldCat Record")</f>
        <v/>
      </c>
      <c r="AU647" t="inlineStr">
        <is>
          <t>5495442:eng</t>
        </is>
      </c>
      <c r="AV647" t="inlineStr">
        <is>
          <t>13010986</t>
        </is>
      </c>
      <c r="AW647" t="inlineStr">
        <is>
          <t>991000770839702656</t>
        </is>
      </c>
      <c r="AX647" t="inlineStr">
        <is>
          <t>991000770839702656</t>
        </is>
      </c>
      <c r="AY647" t="inlineStr">
        <is>
          <t>2258315890002656</t>
        </is>
      </c>
      <c r="AZ647" t="inlineStr">
        <is>
          <t>BOOK</t>
        </is>
      </c>
      <c r="BB647" t="inlineStr">
        <is>
          <t>9780670810253</t>
        </is>
      </c>
      <c r="BC647" t="inlineStr">
        <is>
          <t>32285000385731</t>
        </is>
      </c>
      <c r="BD647" t="inlineStr">
        <is>
          <t>893708711</t>
        </is>
      </c>
    </row>
    <row r="648">
      <c r="A648" t="inlineStr">
        <is>
          <t>No</t>
        </is>
      </c>
      <c r="B648" t="inlineStr">
        <is>
          <t>GN360 .B68 1988</t>
        </is>
      </c>
      <c r="C648" t="inlineStr">
        <is>
          <t>0                      GN 0360000B  68          1988</t>
        </is>
      </c>
      <c r="D648" t="inlineStr">
        <is>
          <t>Culture and the evolutionary process / Robert Boyd &amp; Peter J. Richerson.</t>
        </is>
      </c>
      <c r="F648" t="inlineStr">
        <is>
          <t>No</t>
        </is>
      </c>
      <c r="G648" t="inlineStr">
        <is>
          <t>1</t>
        </is>
      </c>
      <c r="H648" t="inlineStr">
        <is>
          <t>No</t>
        </is>
      </c>
      <c r="I648" t="inlineStr">
        <is>
          <t>No</t>
        </is>
      </c>
      <c r="J648" t="inlineStr">
        <is>
          <t>0</t>
        </is>
      </c>
      <c r="K648" t="inlineStr">
        <is>
          <t>Boyd, Robert, 1948-</t>
        </is>
      </c>
      <c r="L648" t="inlineStr">
        <is>
          <t>Chicago : University of Chicago Press, 1988, c1985.</t>
        </is>
      </c>
      <c r="M648" t="inlineStr">
        <is>
          <t>1988</t>
        </is>
      </c>
      <c r="N648" t="inlineStr">
        <is>
          <t>Paperback ed. 1988.</t>
        </is>
      </c>
      <c r="O648" t="inlineStr">
        <is>
          <t>eng</t>
        </is>
      </c>
      <c r="P648" t="inlineStr">
        <is>
          <t xml:space="preserve">xx </t>
        </is>
      </c>
      <c r="R648" t="inlineStr">
        <is>
          <t xml:space="preserve">GN </t>
        </is>
      </c>
      <c r="S648" t="n">
        <v>7</v>
      </c>
      <c r="T648" t="n">
        <v>7</v>
      </c>
      <c r="U648" t="inlineStr">
        <is>
          <t>2008-06-09</t>
        </is>
      </c>
      <c r="V648" t="inlineStr">
        <is>
          <t>2008-06-09</t>
        </is>
      </c>
      <c r="W648" t="inlineStr">
        <is>
          <t>1990-11-27</t>
        </is>
      </c>
      <c r="X648" t="inlineStr">
        <is>
          <t>1990-11-27</t>
        </is>
      </c>
      <c r="Y648" t="n">
        <v>52</v>
      </c>
      <c r="Z648" t="n">
        <v>38</v>
      </c>
      <c r="AA648" t="n">
        <v>540</v>
      </c>
      <c r="AB648" t="n">
        <v>1</v>
      </c>
      <c r="AC648" t="n">
        <v>2</v>
      </c>
      <c r="AD648" t="n">
        <v>5</v>
      </c>
      <c r="AE648" t="n">
        <v>23</v>
      </c>
      <c r="AF648" t="n">
        <v>0</v>
      </c>
      <c r="AG648" t="n">
        <v>7</v>
      </c>
      <c r="AH648" t="n">
        <v>3</v>
      </c>
      <c r="AI648" t="n">
        <v>7</v>
      </c>
      <c r="AJ648" t="n">
        <v>3</v>
      </c>
      <c r="AK648" t="n">
        <v>14</v>
      </c>
      <c r="AL648" t="n">
        <v>0</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HYPERLINK("https://creighton-primo.hosted.exlibrisgroup.com/primo-explore/search?tab=default_tab&amp;search_scope=EVERYTHING&amp;vid=01CRU&amp;lang=en_US&amp;offset=0&amp;query=any,contains,991001635029702656","Catalog Record")</f>
        <v/>
      </c>
      <c r="AT648">
        <f>HYPERLINK("http://www.worldcat.org/oclc/20944271","WorldCat Record")</f>
        <v/>
      </c>
      <c r="AU648" t="inlineStr">
        <is>
          <t>22740963:eng</t>
        </is>
      </c>
      <c r="AV648" t="inlineStr">
        <is>
          <t>20944271</t>
        </is>
      </c>
      <c r="AW648" t="inlineStr">
        <is>
          <t>991001635029702656</t>
        </is>
      </c>
      <c r="AX648" t="inlineStr">
        <is>
          <t>991001635029702656</t>
        </is>
      </c>
      <c r="AY648" t="inlineStr">
        <is>
          <t>2259471240002656</t>
        </is>
      </c>
      <c r="AZ648" t="inlineStr">
        <is>
          <t>BOOK</t>
        </is>
      </c>
      <c r="BB648" t="inlineStr">
        <is>
          <t>9780226069333</t>
        </is>
      </c>
      <c r="BC648" t="inlineStr">
        <is>
          <t>32285000357193</t>
        </is>
      </c>
      <c r="BD648" t="inlineStr">
        <is>
          <t>893346647</t>
        </is>
      </c>
    </row>
    <row r="649">
      <c r="A649" t="inlineStr">
        <is>
          <t>No</t>
        </is>
      </c>
      <c r="B649" t="inlineStr">
        <is>
          <t>GN360 .C38</t>
        </is>
      </c>
      <c r="C649" t="inlineStr">
        <is>
          <t>0                      GN 0360000C  38</t>
        </is>
      </c>
      <c r="D649" t="inlineStr">
        <is>
          <t>Cultural transmission and evolution : a quantitative approach / L. L. Cavalli-Sforza and M. W. Feldman.</t>
        </is>
      </c>
      <c r="F649" t="inlineStr">
        <is>
          <t>No</t>
        </is>
      </c>
      <c r="G649" t="inlineStr">
        <is>
          <t>1</t>
        </is>
      </c>
      <c r="H649" t="inlineStr">
        <is>
          <t>No</t>
        </is>
      </c>
      <c r="I649" t="inlineStr">
        <is>
          <t>No</t>
        </is>
      </c>
      <c r="J649" t="inlineStr">
        <is>
          <t>0</t>
        </is>
      </c>
      <c r="K649" t="inlineStr">
        <is>
          <t>Cavalli-Sforza, L. L. (Luigi Luca), 1922-2018.</t>
        </is>
      </c>
      <c r="L649" t="inlineStr">
        <is>
          <t>Princeton, N.J. : Princeton University Press, 1981.</t>
        </is>
      </c>
      <c r="M649" t="inlineStr">
        <is>
          <t>1981</t>
        </is>
      </c>
      <c r="O649" t="inlineStr">
        <is>
          <t>eng</t>
        </is>
      </c>
      <c r="P649" t="inlineStr">
        <is>
          <t>nju</t>
        </is>
      </c>
      <c r="Q649" t="inlineStr">
        <is>
          <t>Monographs in population biology ; 16</t>
        </is>
      </c>
      <c r="R649" t="inlineStr">
        <is>
          <t xml:space="preserve">GN </t>
        </is>
      </c>
      <c r="S649" t="n">
        <v>2</v>
      </c>
      <c r="T649" t="n">
        <v>2</v>
      </c>
      <c r="U649" t="inlineStr">
        <is>
          <t>2002-12-20</t>
        </is>
      </c>
      <c r="V649" t="inlineStr">
        <is>
          <t>2002-12-20</t>
        </is>
      </c>
      <c r="W649" t="inlineStr">
        <is>
          <t>1990-09-24</t>
        </is>
      </c>
      <c r="X649" t="inlineStr">
        <is>
          <t>1990-09-24</t>
        </is>
      </c>
      <c r="Y649" t="n">
        <v>563</v>
      </c>
      <c r="Z649" t="n">
        <v>416</v>
      </c>
      <c r="AA649" t="n">
        <v>577</v>
      </c>
      <c r="AB649" t="n">
        <v>3</v>
      </c>
      <c r="AC649" t="n">
        <v>4</v>
      </c>
      <c r="AD649" t="n">
        <v>17</v>
      </c>
      <c r="AE649" t="n">
        <v>27</v>
      </c>
      <c r="AF649" t="n">
        <v>3</v>
      </c>
      <c r="AG649" t="n">
        <v>10</v>
      </c>
      <c r="AH649" t="n">
        <v>5</v>
      </c>
      <c r="AI649" t="n">
        <v>8</v>
      </c>
      <c r="AJ649" t="n">
        <v>10</v>
      </c>
      <c r="AK649" t="n">
        <v>13</v>
      </c>
      <c r="AL649" t="n">
        <v>2</v>
      </c>
      <c r="AM649" t="n">
        <v>3</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HYPERLINK("https://creighton-primo.hosted.exlibrisgroup.com/primo-explore/search?tab=default_tab&amp;search_scope=EVERYTHING&amp;vid=01CRU&amp;lang=en_US&amp;offset=0&amp;query=any,contains,991005048979702656","Catalog Record")</f>
        <v/>
      </c>
      <c r="AT649">
        <f>HYPERLINK("http://www.worldcat.org/oclc/6863128","WorldCat Record")</f>
        <v/>
      </c>
      <c r="AU649" t="inlineStr">
        <is>
          <t>795232384:eng</t>
        </is>
      </c>
      <c r="AV649" t="inlineStr">
        <is>
          <t>6863128</t>
        </is>
      </c>
      <c r="AW649" t="inlineStr">
        <is>
          <t>991005048979702656</t>
        </is>
      </c>
      <c r="AX649" t="inlineStr">
        <is>
          <t>991005048979702656</t>
        </is>
      </c>
      <c r="AY649" t="inlineStr">
        <is>
          <t>2271938650002656</t>
        </is>
      </c>
      <c r="AZ649" t="inlineStr">
        <is>
          <t>BOOK</t>
        </is>
      </c>
      <c r="BB649" t="inlineStr">
        <is>
          <t>9780691082806</t>
        </is>
      </c>
      <c r="BC649" t="inlineStr">
        <is>
          <t>32285000315969</t>
        </is>
      </c>
      <c r="BD649" t="inlineStr">
        <is>
          <t>893889602</t>
        </is>
      </c>
    </row>
    <row r="650">
      <c r="A650" t="inlineStr">
        <is>
          <t>No</t>
        </is>
      </c>
      <c r="B650" t="inlineStr">
        <is>
          <t>GN360 .H37</t>
        </is>
      </c>
      <c r="C650" t="inlineStr">
        <is>
          <t>0                      GN 0360000H  37</t>
        </is>
      </c>
      <c r="D650" t="inlineStr">
        <is>
          <t>Cultural materialism : the struggle for a science of culture / Marvin Harris.</t>
        </is>
      </c>
      <c r="F650" t="inlineStr">
        <is>
          <t>No</t>
        </is>
      </c>
      <c r="G650" t="inlineStr">
        <is>
          <t>1</t>
        </is>
      </c>
      <c r="H650" t="inlineStr">
        <is>
          <t>No</t>
        </is>
      </c>
      <c r="I650" t="inlineStr">
        <is>
          <t>No</t>
        </is>
      </c>
      <c r="J650" t="inlineStr">
        <is>
          <t>0</t>
        </is>
      </c>
      <c r="K650" t="inlineStr">
        <is>
          <t>Harris, Marvin, 1927-2001.</t>
        </is>
      </c>
      <c r="L650" t="inlineStr">
        <is>
          <t>New York : Random House, c1979.</t>
        </is>
      </c>
      <c r="M650" t="inlineStr">
        <is>
          <t>1979</t>
        </is>
      </c>
      <c r="N650" t="inlineStr">
        <is>
          <t>1st ed.</t>
        </is>
      </c>
      <c r="O650" t="inlineStr">
        <is>
          <t>eng</t>
        </is>
      </c>
      <c r="P650" t="inlineStr">
        <is>
          <t>nyu</t>
        </is>
      </c>
      <c r="R650" t="inlineStr">
        <is>
          <t xml:space="preserve">GN </t>
        </is>
      </c>
      <c r="S650" t="n">
        <v>2</v>
      </c>
      <c r="T650" t="n">
        <v>2</v>
      </c>
      <c r="U650" t="inlineStr">
        <is>
          <t>2006-04-17</t>
        </is>
      </c>
      <c r="V650" t="inlineStr">
        <is>
          <t>2006-04-17</t>
        </is>
      </c>
      <c r="W650" t="inlineStr">
        <is>
          <t>1990-09-24</t>
        </is>
      </c>
      <c r="X650" t="inlineStr">
        <is>
          <t>1990-09-24</t>
        </is>
      </c>
      <c r="Y650" t="n">
        <v>987</v>
      </c>
      <c r="Z650" t="n">
        <v>844</v>
      </c>
      <c r="AA650" t="n">
        <v>1065</v>
      </c>
      <c r="AB650" t="n">
        <v>4</v>
      </c>
      <c r="AC650" t="n">
        <v>6</v>
      </c>
      <c r="AD650" t="n">
        <v>30</v>
      </c>
      <c r="AE650" t="n">
        <v>35</v>
      </c>
      <c r="AF650" t="n">
        <v>14</v>
      </c>
      <c r="AG650" t="n">
        <v>16</v>
      </c>
      <c r="AH650" t="n">
        <v>7</v>
      </c>
      <c r="AI650" t="n">
        <v>8</v>
      </c>
      <c r="AJ650" t="n">
        <v>16</v>
      </c>
      <c r="AK650" t="n">
        <v>17</v>
      </c>
      <c r="AL650" t="n">
        <v>3</v>
      </c>
      <c r="AM650" t="n">
        <v>5</v>
      </c>
      <c r="AN650" t="n">
        <v>0</v>
      </c>
      <c r="AO650" t="n">
        <v>0</v>
      </c>
      <c r="AP650" t="inlineStr">
        <is>
          <t>No</t>
        </is>
      </c>
      <c r="AQ650" t="inlineStr">
        <is>
          <t>Yes</t>
        </is>
      </c>
      <c r="AR650">
        <f>HYPERLINK("http://catalog.hathitrust.org/Record/000259217","HathiTrust Record")</f>
        <v/>
      </c>
      <c r="AS650">
        <f>HYPERLINK("https://creighton-primo.hosted.exlibrisgroup.com/primo-explore/search?tab=default_tab&amp;search_scope=EVERYTHING&amp;vid=01CRU&amp;lang=en_US&amp;offset=0&amp;query=any,contains,991004686779702656","Catalog Record")</f>
        <v/>
      </c>
      <c r="AT650">
        <f>HYPERLINK("http://www.worldcat.org/oclc/4593243","WorldCat Record")</f>
        <v/>
      </c>
      <c r="AU650" t="inlineStr">
        <is>
          <t>836985094:eng</t>
        </is>
      </c>
      <c r="AV650" t="inlineStr">
        <is>
          <t>4593243</t>
        </is>
      </c>
      <c r="AW650" t="inlineStr">
        <is>
          <t>991004686779702656</t>
        </is>
      </c>
      <c r="AX650" t="inlineStr">
        <is>
          <t>991004686779702656</t>
        </is>
      </c>
      <c r="AY650" t="inlineStr">
        <is>
          <t>2271035500002656</t>
        </is>
      </c>
      <c r="AZ650" t="inlineStr">
        <is>
          <t>BOOK</t>
        </is>
      </c>
      <c r="BB650" t="inlineStr">
        <is>
          <t>9780394412405</t>
        </is>
      </c>
      <c r="BC650" t="inlineStr">
        <is>
          <t>32285000315993</t>
        </is>
      </c>
      <c r="BD650" t="inlineStr">
        <is>
          <t>893247852</t>
        </is>
      </c>
    </row>
    <row r="651">
      <c r="A651" t="inlineStr">
        <is>
          <t>No</t>
        </is>
      </c>
      <c r="B651" t="inlineStr">
        <is>
          <t>GN360 .I54 1986</t>
        </is>
      </c>
      <c r="C651" t="inlineStr">
        <is>
          <t>0                      GN 0360000I  54          1986</t>
        </is>
      </c>
      <c r="D651" t="inlineStr">
        <is>
          <t>Evolution and social life / Tim Ingold.</t>
        </is>
      </c>
      <c r="F651" t="inlineStr">
        <is>
          <t>No</t>
        </is>
      </c>
      <c r="G651" t="inlineStr">
        <is>
          <t>1</t>
        </is>
      </c>
      <c r="H651" t="inlineStr">
        <is>
          <t>No</t>
        </is>
      </c>
      <c r="I651" t="inlineStr">
        <is>
          <t>No</t>
        </is>
      </c>
      <c r="J651" t="inlineStr">
        <is>
          <t>0</t>
        </is>
      </c>
      <c r="K651" t="inlineStr">
        <is>
          <t>Ingold, Tim, 1948-</t>
        </is>
      </c>
      <c r="L651" t="inlineStr">
        <is>
          <t>Cambridge [Cambridgeshire] ; New York : Cambridge University Press, 1986.</t>
        </is>
      </c>
      <c r="M651" t="inlineStr">
        <is>
          <t>1986</t>
        </is>
      </c>
      <c r="O651" t="inlineStr">
        <is>
          <t>eng</t>
        </is>
      </c>
      <c r="P651" t="inlineStr">
        <is>
          <t>enk</t>
        </is>
      </c>
      <c r="Q651" t="inlineStr">
        <is>
          <t>Themes in the social sciences</t>
        </is>
      </c>
      <c r="R651" t="inlineStr">
        <is>
          <t xml:space="preserve">GN </t>
        </is>
      </c>
      <c r="S651" t="n">
        <v>7</v>
      </c>
      <c r="T651" t="n">
        <v>7</v>
      </c>
      <c r="U651" t="inlineStr">
        <is>
          <t>1997-03-23</t>
        </is>
      </c>
      <c r="V651" t="inlineStr">
        <is>
          <t>1997-03-23</t>
        </is>
      </c>
      <c r="W651" t="inlineStr">
        <is>
          <t>1990-09-24</t>
        </is>
      </c>
      <c r="X651" t="inlineStr">
        <is>
          <t>1990-09-24</t>
        </is>
      </c>
      <c r="Y651" t="n">
        <v>504</v>
      </c>
      <c r="Z651" t="n">
        <v>339</v>
      </c>
      <c r="AA651" t="n">
        <v>388</v>
      </c>
      <c r="AB651" t="n">
        <v>2</v>
      </c>
      <c r="AC651" t="n">
        <v>2</v>
      </c>
      <c r="AD651" t="n">
        <v>9</v>
      </c>
      <c r="AE651" t="n">
        <v>11</v>
      </c>
      <c r="AF651" t="n">
        <v>0</v>
      </c>
      <c r="AG651" t="n">
        <v>1</v>
      </c>
      <c r="AH651" t="n">
        <v>3</v>
      </c>
      <c r="AI651" t="n">
        <v>4</v>
      </c>
      <c r="AJ651" t="n">
        <v>7</v>
      </c>
      <c r="AK651" t="n">
        <v>8</v>
      </c>
      <c r="AL651" t="n">
        <v>1</v>
      </c>
      <c r="AM651" t="n">
        <v>1</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HYPERLINK("https://creighton-primo.hosted.exlibrisgroup.com/primo-explore/search?tab=default_tab&amp;search_scope=EVERYTHING&amp;vid=01CRU&amp;lang=en_US&amp;offset=0&amp;query=any,contains,991000775549702656","Catalog Record")</f>
        <v/>
      </c>
      <c r="AT651">
        <f>HYPERLINK("http://www.worldcat.org/oclc/13063935","WorldCat Record")</f>
        <v/>
      </c>
      <c r="AU651" t="inlineStr">
        <is>
          <t>5510897:eng</t>
        </is>
      </c>
      <c r="AV651" t="inlineStr">
        <is>
          <t>13063935</t>
        </is>
      </c>
      <c r="AW651" t="inlineStr">
        <is>
          <t>991000775549702656</t>
        </is>
      </c>
      <c r="AX651" t="inlineStr">
        <is>
          <t>991000775549702656</t>
        </is>
      </c>
      <c r="AY651" t="inlineStr">
        <is>
          <t>2255564490002656</t>
        </is>
      </c>
      <c r="AZ651" t="inlineStr">
        <is>
          <t>BOOK</t>
        </is>
      </c>
      <c r="BB651" t="inlineStr">
        <is>
          <t>9780521289559</t>
        </is>
      </c>
      <c r="BC651" t="inlineStr">
        <is>
          <t>32285000316009</t>
        </is>
      </c>
      <c r="BD651" t="inlineStr">
        <is>
          <t>893796976</t>
        </is>
      </c>
    </row>
    <row r="652">
      <c r="A652" t="inlineStr">
        <is>
          <t>No</t>
        </is>
      </c>
      <c r="B652" t="inlineStr">
        <is>
          <t>GN360 .W55 1988</t>
        </is>
      </c>
      <c r="C652" t="inlineStr">
        <is>
          <t>0                      GN 0360000W  55          1988</t>
        </is>
      </c>
      <c r="D652" t="inlineStr">
        <is>
          <t>The domestication of the human species / Peter J. Wilson.</t>
        </is>
      </c>
      <c r="F652" t="inlineStr">
        <is>
          <t>No</t>
        </is>
      </c>
      <c r="G652" t="inlineStr">
        <is>
          <t>1</t>
        </is>
      </c>
      <c r="H652" t="inlineStr">
        <is>
          <t>No</t>
        </is>
      </c>
      <c r="I652" t="inlineStr">
        <is>
          <t>No</t>
        </is>
      </c>
      <c r="J652" t="inlineStr">
        <is>
          <t>0</t>
        </is>
      </c>
      <c r="K652" t="inlineStr">
        <is>
          <t>Wilson, Peter J.</t>
        </is>
      </c>
      <c r="L652" t="inlineStr">
        <is>
          <t>New Haven : Yale University Press, 1988.</t>
        </is>
      </c>
      <c r="M652" t="inlineStr">
        <is>
          <t>1988</t>
        </is>
      </c>
      <c r="O652" t="inlineStr">
        <is>
          <t>eng</t>
        </is>
      </c>
      <c r="P652" t="inlineStr">
        <is>
          <t>ctu</t>
        </is>
      </c>
      <c r="R652" t="inlineStr">
        <is>
          <t xml:space="preserve">GN </t>
        </is>
      </c>
      <c r="S652" t="n">
        <v>4</v>
      </c>
      <c r="T652" t="n">
        <v>4</v>
      </c>
      <c r="U652" t="inlineStr">
        <is>
          <t>2003-03-28</t>
        </is>
      </c>
      <c r="V652" t="inlineStr">
        <is>
          <t>2003-03-28</t>
        </is>
      </c>
      <c r="W652" t="inlineStr">
        <is>
          <t>1990-08-02</t>
        </is>
      </c>
      <c r="X652" t="inlineStr">
        <is>
          <t>1990-08-02</t>
        </is>
      </c>
      <c r="Y652" t="n">
        <v>744</v>
      </c>
      <c r="Z652" t="n">
        <v>613</v>
      </c>
      <c r="AA652" t="n">
        <v>620</v>
      </c>
      <c r="AB652" t="n">
        <v>4</v>
      </c>
      <c r="AC652" t="n">
        <v>4</v>
      </c>
      <c r="AD652" t="n">
        <v>25</v>
      </c>
      <c r="AE652" t="n">
        <v>25</v>
      </c>
      <c r="AF652" t="n">
        <v>11</v>
      </c>
      <c r="AG652" t="n">
        <v>11</v>
      </c>
      <c r="AH652" t="n">
        <v>6</v>
      </c>
      <c r="AI652" t="n">
        <v>6</v>
      </c>
      <c r="AJ652" t="n">
        <v>10</v>
      </c>
      <c r="AK652" t="n">
        <v>10</v>
      </c>
      <c r="AL652" t="n">
        <v>3</v>
      </c>
      <c r="AM652" t="n">
        <v>3</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HYPERLINK("https://creighton-primo.hosted.exlibrisgroup.com/primo-explore/search?tab=default_tab&amp;search_scope=EVERYTHING&amp;vid=01CRU&amp;lang=en_US&amp;offset=0&amp;query=any,contains,991001243039702656","Catalog Record")</f>
        <v/>
      </c>
      <c r="AT652">
        <f>HYPERLINK("http://www.worldcat.org/oclc/17622104","WorldCat Record")</f>
        <v/>
      </c>
      <c r="AU652" t="inlineStr">
        <is>
          <t>143838145:eng</t>
        </is>
      </c>
      <c r="AV652" t="inlineStr">
        <is>
          <t>17622104</t>
        </is>
      </c>
      <c r="AW652" t="inlineStr">
        <is>
          <t>991001243039702656</t>
        </is>
      </c>
      <c r="AX652" t="inlineStr">
        <is>
          <t>991001243039702656</t>
        </is>
      </c>
      <c r="AY652" t="inlineStr">
        <is>
          <t>2261982260002656</t>
        </is>
      </c>
      <c r="AZ652" t="inlineStr">
        <is>
          <t>BOOK</t>
        </is>
      </c>
      <c r="BB652" t="inlineStr">
        <is>
          <t>9780300042436</t>
        </is>
      </c>
      <c r="BC652" t="inlineStr">
        <is>
          <t>32285000263623</t>
        </is>
      </c>
      <c r="BD652" t="inlineStr">
        <is>
          <t>893891424</t>
        </is>
      </c>
    </row>
    <row r="653">
      <c r="A653" t="inlineStr">
        <is>
          <t>No</t>
        </is>
      </c>
      <c r="B653" t="inlineStr">
        <is>
          <t>GN365.9 .B37 1982</t>
        </is>
      </c>
      <c r="C653" t="inlineStr">
        <is>
          <t>0                      GN 0365900B  37          1982</t>
        </is>
      </c>
      <c r="D653" t="inlineStr">
        <is>
          <t>Sociobiology and behavior / David P. Barash ; foreword by Edward O. Wilson.</t>
        </is>
      </c>
      <c r="F653" t="inlineStr">
        <is>
          <t>No</t>
        </is>
      </c>
      <c r="G653" t="inlineStr">
        <is>
          <t>1</t>
        </is>
      </c>
      <c r="H653" t="inlineStr">
        <is>
          <t>No</t>
        </is>
      </c>
      <c r="I653" t="inlineStr">
        <is>
          <t>Yes</t>
        </is>
      </c>
      <c r="J653" t="inlineStr">
        <is>
          <t>0</t>
        </is>
      </c>
      <c r="K653" t="inlineStr">
        <is>
          <t>Barash, David P.</t>
        </is>
      </c>
      <c r="L653" t="inlineStr">
        <is>
          <t>New York : Elsevier, c1982.</t>
        </is>
      </c>
      <c r="M653" t="inlineStr">
        <is>
          <t>1982</t>
        </is>
      </c>
      <c r="N653" t="inlineStr">
        <is>
          <t>2nd ed.</t>
        </is>
      </c>
      <c r="O653" t="inlineStr">
        <is>
          <t>eng</t>
        </is>
      </c>
      <c r="P653" t="inlineStr">
        <is>
          <t>nyu</t>
        </is>
      </c>
      <c r="R653" t="inlineStr">
        <is>
          <t xml:space="preserve">GN </t>
        </is>
      </c>
      <c r="S653" t="n">
        <v>7</v>
      </c>
      <c r="T653" t="n">
        <v>7</v>
      </c>
      <c r="U653" t="inlineStr">
        <is>
          <t>1997-02-24</t>
        </is>
      </c>
      <c r="V653" t="inlineStr">
        <is>
          <t>1997-02-24</t>
        </is>
      </c>
      <c r="W653" t="inlineStr">
        <is>
          <t>1990-08-02</t>
        </is>
      </c>
      <c r="X653" t="inlineStr">
        <is>
          <t>1990-08-02</t>
        </is>
      </c>
      <c r="Y653" t="n">
        <v>357</v>
      </c>
      <c r="Z653" t="n">
        <v>307</v>
      </c>
      <c r="AA653" t="n">
        <v>997</v>
      </c>
      <c r="AB653" t="n">
        <v>3</v>
      </c>
      <c r="AC653" t="n">
        <v>10</v>
      </c>
      <c r="AD653" t="n">
        <v>13</v>
      </c>
      <c r="AE653" t="n">
        <v>39</v>
      </c>
      <c r="AF653" t="n">
        <v>3</v>
      </c>
      <c r="AG653" t="n">
        <v>15</v>
      </c>
      <c r="AH653" t="n">
        <v>3</v>
      </c>
      <c r="AI653" t="n">
        <v>8</v>
      </c>
      <c r="AJ653" t="n">
        <v>7</v>
      </c>
      <c r="AK653" t="n">
        <v>19</v>
      </c>
      <c r="AL653" t="n">
        <v>2</v>
      </c>
      <c r="AM653" t="n">
        <v>7</v>
      </c>
      <c r="AN653" t="n">
        <v>0</v>
      </c>
      <c r="AO653" t="n">
        <v>0</v>
      </c>
      <c r="AP653" t="inlineStr">
        <is>
          <t>No</t>
        </is>
      </c>
      <c r="AQ653" t="inlineStr">
        <is>
          <t>Yes</t>
        </is>
      </c>
      <c r="AR653">
        <f>HYPERLINK("http://catalog.hathitrust.org/Record/000763727","HathiTrust Record")</f>
        <v/>
      </c>
      <c r="AS653">
        <f>HYPERLINK("https://creighton-primo.hosted.exlibrisgroup.com/primo-explore/search?tab=default_tab&amp;search_scope=EVERYTHING&amp;vid=01CRU&amp;lang=en_US&amp;offset=0&amp;query=any,contains,991005152699702656","Catalog Record")</f>
        <v/>
      </c>
      <c r="AT653">
        <f>HYPERLINK("http://www.worldcat.org/oclc/7734572","WorldCat Record")</f>
        <v/>
      </c>
      <c r="AU653" t="inlineStr">
        <is>
          <t>5551835:eng</t>
        </is>
      </c>
      <c r="AV653" t="inlineStr">
        <is>
          <t>7734572</t>
        </is>
      </c>
      <c r="AW653" t="inlineStr">
        <is>
          <t>991005152699702656</t>
        </is>
      </c>
      <c r="AX653" t="inlineStr">
        <is>
          <t>991005152699702656</t>
        </is>
      </c>
      <c r="AY653" t="inlineStr">
        <is>
          <t>2255892360002656</t>
        </is>
      </c>
      <c r="AZ653" t="inlineStr">
        <is>
          <t>BOOK</t>
        </is>
      </c>
      <c r="BB653" t="inlineStr">
        <is>
          <t>9780444990884</t>
        </is>
      </c>
      <c r="BC653" t="inlineStr">
        <is>
          <t>32285000263631</t>
        </is>
      </c>
      <c r="BD653" t="inlineStr">
        <is>
          <t>893230291</t>
        </is>
      </c>
    </row>
    <row r="654">
      <c r="A654" t="inlineStr">
        <is>
          <t>No</t>
        </is>
      </c>
      <c r="B654" t="inlineStr">
        <is>
          <t>GN365.9 .B38 1979</t>
        </is>
      </c>
      <c r="C654" t="inlineStr">
        <is>
          <t>0                      GN 0365900B  38          1979</t>
        </is>
      </c>
      <c r="D654" t="inlineStr">
        <is>
          <t>The whisperings within / David Barash.</t>
        </is>
      </c>
      <c r="F654" t="inlineStr">
        <is>
          <t>No</t>
        </is>
      </c>
      <c r="G654" t="inlineStr">
        <is>
          <t>1</t>
        </is>
      </c>
      <c r="H654" t="inlineStr">
        <is>
          <t>No</t>
        </is>
      </c>
      <c r="I654" t="inlineStr">
        <is>
          <t>No</t>
        </is>
      </c>
      <c r="J654" t="inlineStr">
        <is>
          <t>0</t>
        </is>
      </c>
      <c r="K654" t="inlineStr">
        <is>
          <t>Barash, David P.</t>
        </is>
      </c>
      <c r="L654" t="inlineStr">
        <is>
          <t>New York : Harper &amp; Row, c1979.</t>
        </is>
      </c>
      <c r="M654" t="inlineStr">
        <is>
          <t>1979</t>
        </is>
      </c>
      <c r="N654" t="inlineStr">
        <is>
          <t>1st ed.</t>
        </is>
      </c>
      <c r="O654" t="inlineStr">
        <is>
          <t>eng</t>
        </is>
      </c>
      <c r="P654" t="inlineStr">
        <is>
          <t>nyu</t>
        </is>
      </c>
      <c r="R654" t="inlineStr">
        <is>
          <t xml:space="preserve">GN </t>
        </is>
      </c>
      <c r="S654" t="n">
        <v>8</v>
      </c>
      <c r="T654" t="n">
        <v>8</v>
      </c>
      <c r="U654" t="inlineStr">
        <is>
          <t>1997-06-18</t>
        </is>
      </c>
      <c r="V654" t="inlineStr">
        <is>
          <t>1997-06-18</t>
        </is>
      </c>
      <c r="W654" t="inlineStr">
        <is>
          <t>1990-08-08</t>
        </is>
      </c>
      <c r="X654" t="inlineStr">
        <is>
          <t>1990-08-08</t>
        </is>
      </c>
      <c r="Y654" t="n">
        <v>822</v>
      </c>
      <c r="Z654" t="n">
        <v>763</v>
      </c>
      <c r="AA654" t="n">
        <v>868</v>
      </c>
      <c r="AB654" t="n">
        <v>4</v>
      </c>
      <c r="AC654" t="n">
        <v>4</v>
      </c>
      <c r="AD654" t="n">
        <v>29</v>
      </c>
      <c r="AE654" t="n">
        <v>33</v>
      </c>
      <c r="AF654" t="n">
        <v>15</v>
      </c>
      <c r="AG654" t="n">
        <v>17</v>
      </c>
      <c r="AH654" t="n">
        <v>6</v>
      </c>
      <c r="AI654" t="n">
        <v>7</v>
      </c>
      <c r="AJ654" t="n">
        <v>13</v>
      </c>
      <c r="AK654" t="n">
        <v>15</v>
      </c>
      <c r="AL654" t="n">
        <v>3</v>
      </c>
      <c r="AM654" t="n">
        <v>3</v>
      </c>
      <c r="AN654" t="n">
        <v>0</v>
      </c>
      <c r="AO654" t="n">
        <v>0</v>
      </c>
      <c r="AP654" t="inlineStr">
        <is>
          <t>No</t>
        </is>
      </c>
      <c r="AQ654" t="inlineStr">
        <is>
          <t>Yes</t>
        </is>
      </c>
      <c r="AR654">
        <f>HYPERLINK("http://catalog.hathitrust.org/Record/000299883","HathiTrust Record")</f>
        <v/>
      </c>
      <c r="AS654">
        <f>HYPERLINK("https://creighton-primo.hosted.exlibrisgroup.com/primo-explore/search?tab=default_tab&amp;search_scope=EVERYTHING&amp;vid=01CRU&amp;lang=en_US&amp;offset=0&amp;query=any,contains,991004740199702656","Catalog Record")</f>
        <v/>
      </c>
      <c r="AT654">
        <f>HYPERLINK("http://www.worldcat.org/oclc/4882891","WorldCat Record")</f>
        <v/>
      </c>
      <c r="AU654" t="inlineStr">
        <is>
          <t>43028173:eng</t>
        </is>
      </c>
      <c r="AV654" t="inlineStr">
        <is>
          <t>4882891</t>
        </is>
      </c>
      <c r="AW654" t="inlineStr">
        <is>
          <t>991004740199702656</t>
        </is>
      </c>
      <c r="AX654" t="inlineStr">
        <is>
          <t>991004740199702656</t>
        </is>
      </c>
      <c r="AY654" t="inlineStr">
        <is>
          <t>2263386460002656</t>
        </is>
      </c>
      <c r="AZ654" t="inlineStr">
        <is>
          <t>BOOK</t>
        </is>
      </c>
      <c r="BB654" t="inlineStr">
        <is>
          <t>9780060103415</t>
        </is>
      </c>
      <c r="BC654" t="inlineStr">
        <is>
          <t>32285000270933</t>
        </is>
      </c>
      <c r="BD654" t="inlineStr">
        <is>
          <t>893876525</t>
        </is>
      </c>
    </row>
    <row r="655">
      <c r="A655" t="inlineStr">
        <is>
          <t>No</t>
        </is>
      </c>
      <c r="B655" t="inlineStr">
        <is>
          <t>GN365.9 .E97 1992</t>
        </is>
      </c>
      <c r="C655" t="inlineStr">
        <is>
          <t>0                      GN 0365900E  97          1992</t>
        </is>
      </c>
      <c r="D655" t="inlineStr">
        <is>
          <t>Evolutionary ecology and human behavior / Eric Alden Smith and Bruce Winterhalder, editors.</t>
        </is>
      </c>
      <c r="F655" t="inlineStr">
        <is>
          <t>No</t>
        </is>
      </c>
      <c r="G655" t="inlineStr">
        <is>
          <t>1</t>
        </is>
      </c>
      <c r="H655" t="inlineStr">
        <is>
          <t>No</t>
        </is>
      </c>
      <c r="I655" t="inlineStr">
        <is>
          <t>No</t>
        </is>
      </c>
      <c r="J655" t="inlineStr">
        <is>
          <t>0</t>
        </is>
      </c>
      <c r="L655" t="inlineStr">
        <is>
          <t>New York : Aldine de Gruyter, c1992.</t>
        </is>
      </c>
      <c r="M655" t="inlineStr">
        <is>
          <t>1992</t>
        </is>
      </c>
      <c r="O655" t="inlineStr">
        <is>
          <t>eng</t>
        </is>
      </c>
      <c r="P655" t="inlineStr">
        <is>
          <t>nyu</t>
        </is>
      </c>
      <c r="Q655" t="inlineStr">
        <is>
          <t>Foundations of human behavior</t>
        </is>
      </c>
      <c r="R655" t="inlineStr">
        <is>
          <t xml:space="preserve">GN </t>
        </is>
      </c>
      <c r="S655" t="n">
        <v>3</v>
      </c>
      <c r="T655" t="n">
        <v>3</v>
      </c>
      <c r="U655" t="inlineStr">
        <is>
          <t>2007-07-20</t>
        </is>
      </c>
      <c r="V655" t="inlineStr">
        <is>
          <t>2007-07-20</t>
        </is>
      </c>
      <c r="W655" t="inlineStr">
        <is>
          <t>1995-05-24</t>
        </is>
      </c>
      <c r="X655" t="inlineStr">
        <is>
          <t>1995-05-24</t>
        </is>
      </c>
      <c r="Y655" t="n">
        <v>418</v>
      </c>
      <c r="Z655" t="n">
        <v>310</v>
      </c>
      <c r="AA655" t="n">
        <v>326</v>
      </c>
      <c r="AB655" t="n">
        <v>3</v>
      </c>
      <c r="AC655" t="n">
        <v>3</v>
      </c>
      <c r="AD655" t="n">
        <v>16</v>
      </c>
      <c r="AE655" t="n">
        <v>16</v>
      </c>
      <c r="AF655" t="n">
        <v>7</v>
      </c>
      <c r="AG655" t="n">
        <v>7</v>
      </c>
      <c r="AH655" t="n">
        <v>4</v>
      </c>
      <c r="AI655" t="n">
        <v>4</v>
      </c>
      <c r="AJ655" t="n">
        <v>8</v>
      </c>
      <c r="AK655" t="n">
        <v>8</v>
      </c>
      <c r="AL655" t="n">
        <v>2</v>
      </c>
      <c r="AM655" t="n">
        <v>2</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HYPERLINK("https://creighton-primo.hosted.exlibrisgroup.com/primo-explore/search?tab=default_tab&amp;search_scope=EVERYTHING&amp;vid=01CRU&amp;lang=en_US&amp;offset=0&amp;query=any,contains,991001986119702656","Catalog Record")</f>
        <v/>
      </c>
      <c r="AT655">
        <f>HYPERLINK("http://www.worldcat.org/oclc/25204716","WorldCat Record")</f>
        <v/>
      </c>
      <c r="AU655" t="inlineStr">
        <is>
          <t>350983072:eng</t>
        </is>
      </c>
      <c r="AV655" t="inlineStr">
        <is>
          <t>25204716</t>
        </is>
      </c>
      <c r="AW655" t="inlineStr">
        <is>
          <t>991001986119702656</t>
        </is>
      </c>
      <c r="AX655" t="inlineStr">
        <is>
          <t>991001986119702656</t>
        </is>
      </c>
      <c r="AY655" t="inlineStr">
        <is>
          <t>2260380370002656</t>
        </is>
      </c>
      <c r="AZ655" t="inlineStr">
        <is>
          <t>BOOK</t>
        </is>
      </c>
      <c r="BB655" t="inlineStr">
        <is>
          <t>9780202011837</t>
        </is>
      </c>
      <c r="BC655" t="inlineStr">
        <is>
          <t>32285002046885</t>
        </is>
      </c>
      <c r="BD655" t="inlineStr">
        <is>
          <t>893773090</t>
        </is>
      </c>
    </row>
    <row r="656">
      <c r="A656" t="inlineStr">
        <is>
          <t>No</t>
        </is>
      </c>
      <c r="B656" t="inlineStr">
        <is>
          <t>GN365.9 .F69 1989</t>
        </is>
      </c>
      <c r="C656" t="inlineStr">
        <is>
          <t>0                      GN 0365900F  69          1989</t>
        </is>
      </c>
      <c r="D656" t="inlineStr">
        <is>
          <t>The search for society : quest for a biosocial science and morality / Robin Fox.</t>
        </is>
      </c>
      <c r="F656" t="inlineStr">
        <is>
          <t>No</t>
        </is>
      </c>
      <c r="G656" t="inlineStr">
        <is>
          <t>1</t>
        </is>
      </c>
      <c r="H656" t="inlineStr">
        <is>
          <t>No</t>
        </is>
      </c>
      <c r="I656" t="inlineStr">
        <is>
          <t>No</t>
        </is>
      </c>
      <c r="J656" t="inlineStr">
        <is>
          <t>0</t>
        </is>
      </c>
      <c r="K656" t="inlineStr">
        <is>
          <t>Fox, Robin, 1934-</t>
        </is>
      </c>
      <c r="L656" t="inlineStr">
        <is>
          <t>New Brunswick, [N.J.] : Rutgers University Press, c1989.</t>
        </is>
      </c>
      <c r="M656" t="inlineStr">
        <is>
          <t>1989</t>
        </is>
      </c>
      <c r="O656" t="inlineStr">
        <is>
          <t>eng</t>
        </is>
      </c>
      <c r="P656" t="inlineStr">
        <is>
          <t>nju</t>
        </is>
      </c>
      <c r="R656" t="inlineStr">
        <is>
          <t xml:space="preserve">GN </t>
        </is>
      </c>
      <c r="S656" t="n">
        <v>9</v>
      </c>
      <c r="T656" t="n">
        <v>9</v>
      </c>
      <c r="U656" t="inlineStr">
        <is>
          <t>1995-11-16</t>
        </is>
      </c>
      <c r="V656" t="inlineStr">
        <is>
          <t>1995-11-16</t>
        </is>
      </c>
      <c r="W656" t="inlineStr">
        <is>
          <t>1992-05-15</t>
        </is>
      </c>
      <c r="X656" t="inlineStr">
        <is>
          <t>1992-05-15</t>
        </is>
      </c>
      <c r="Y656" t="n">
        <v>371</v>
      </c>
      <c r="Z656" t="n">
        <v>294</v>
      </c>
      <c r="AA656" t="n">
        <v>294</v>
      </c>
      <c r="AB656" t="n">
        <v>3</v>
      </c>
      <c r="AC656" t="n">
        <v>3</v>
      </c>
      <c r="AD656" t="n">
        <v>15</v>
      </c>
      <c r="AE656" t="n">
        <v>15</v>
      </c>
      <c r="AF656" t="n">
        <v>5</v>
      </c>
      <c r="AG656" t="n">
        <v>5</v>
      </c>
      <c r="AH656" t="n">
        <v>4</v>
      </c>
      <c r="AI656" t="n">
        <v>4</v>
      </c>
      <c r="AJ656" t="n">
        <v>9</v>
      </c>
      <c r="AK656" t="n">
        <v>9</v>
      </c>
      <c r="AL656" t="n">
        <v>2</v>
      </c>
      <c r="AM656" t="n">
        <v>2</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HYPERLINK("https://creighton-primo.hosted.exlibrisgroup.com/primo-explore/search?tab=default_tab&amp;search_scope=EVERYTHING&amp;vid=01CRU&amp;lang=en_US&amp;offset=0&amp;query=any,contains,991001490659702656","Catalog Record")</f>
        <v/>
      </c>
      <c r="AT656">
        <f>HYPERLINK("http://www.worldcat.org/oclc/19722801","WorldCat Record")</f>
        <v/>
      </c>
      <c r="AU656" t="inlineStr">
        <is>
          <t>839860144:eng</t>
        </is>
      </c>
      <c r="AV656" t="inlineStr">
        <is>
          <t>19722801</t>
        </is>
      </c>
      <c r="AW656" t="inlineStr">
        <is>
          <t>991001490659702656</t>
        </is>
      </c>
      <c r="AX656" t="inlineStr">
        <is>
          <t>991001490659702656</t>
        </is>
      </c>
      <c r="AY656" t="inlineStr">
        <is>
          <t>2256081130002656</t>
        </is>
      </c>
      <c r="AZ656" t="inlineStr">
        <is>
          <t>BOOK</t>
        </is>
      </c>
      <c r="BB656" t="inlineStr">
        <is>
          <t>9780813514888</t>
        </is>
      </c>
      <c r="BC656" t="inlineStr">
        <is>
          <t>32285001116572</t>
        </is>
      </c>
      <c r="BD656" t="inlineStr">
        <is>
          <t>893315803</t>
        </is>
      </c>
    </row>
    <row r="657">
      <c r="A657" t="inlineStr">
        <is>
          <t>No</t>
        </is>
      </c>
      <c r="B657" t="inlineStr">
        <is>
          <t>GN365.9 .F73</t>
        </is>
      </c>
      <c r="C657" t="inlineStr">
        <is>
          <t>0                      GN 0365900F  73</t>
        </is>
      </c>
      <c r="D657" t="inlineStr">
        <is>
          <t>Human sociobiology : a holistic approach / Daniel G. Freedman.</t>
        </is>
      </c>
      <c r="F657" t="inlineStr">
        <is>
          <t>No</t>
        </is>
      </c>
      <c r="G657" t="inlineStr">
        <is>
          <t>1</t>
        </is>
      </c>
      <c r="H657" t="inlineStr">
        <is>
          <t>No</t>
        </is>
      </c>
      <c r="I657" t="inlineStr">
        <is>
          <t>No</t>
        </is>
      </c>
      <c r="J657" t="inlineStr">
        <is>
          <t>0</t>
        </is>
      </c>
      <c r="K657" t="inlineStr">
        <is>
          <t>Freedman, Daniel G.</t>
        </is>
      </c>
      <c r="L657" t="inlineStr">
        <is>
          <t>New York : Free Press, c1979.</t>
        </is>
      </c>
      <c r="M657" t="inlineStr">
        <is>
          <t>1979</t>
        </is>
      </c>
      <c r="O657" t="inlineStr">
        <is>
          <t>eng</t>
        </is>
      </c>
      <c r="P657" t="inlineStr">
        <is>
          <t>nyu</t>
        </is>
      </c>
      <c r="R657" t="inlineStr">
        <is>
          <t xml:space="preserve">GN </t>
        </is>
      </c>
      <c r="S657" t="n">
        <v>10</v>
      </c>
      <c r="T657" t="n">
        <v>10</v>
      </c>
      <c r="U657" t="inlineStr">
        <is>
          <t>2000-10-18</t>
        </is>
      </c>
      <c r="V657" t="inlineStr">
        <is>
          <t>2000-10-18</t>
        </is>
      </c>
      <c r="W657" t="inlineStr">
        <is>
          <t>1990-09-24</t>
        </is>
      </c>
      <c r="X657" t="inlineStr">
        <is>
          <t>1990-09-24</t>
        </is>
      </c>
      <c r="Y657" t="n">
        <v>616</v>
      </c>
      <c r="Z657" t="n">
        <v>492</v>
      </c>
      <c r="AA657" t="n">
        <v>495</v>
      </c>
      <c r="AB657" t="n">
        <v>4</v>
      </c>
      <c r="AC657" t="n">
        <v>4</v>
      </c>
      <c r="AD657" t="n">
        <v>20</v>
      </c>
      <c r="AE657" t="n">
        <v>20</v>
      </c>
      <c r="AF657" t="n">
        <v>7</v>
      </c>
      <c r="AG657" t="n">
        <v>7</v>
      </c>
      <c r="AH657" t="n">
        <v>6</v>
      </c>
      <c r="AI657" t="n">
        <v>6</v>
      </c>
      <c r="AJ657" t="n">
        <v>12</v>
      </c>
      <c r="AK657" t="n">
        <v>12</v>
      </c>
      <c r="AL657" t="n">
        <v>3</v>
      </c>
      <c r="AM657" t="n">
        <v>3</v>
      </c>
      <c r="AN657" t="n">
        <v>0</v>
      </c>
      <c r="AO657" t="n">
        <v>0</v>
      </c>
      <c r="AP657" t="inlineStr">
        <is>
          <t>No</t>
        </is>
      </c>
      <c r="AQ657" t="inlineStr">
        <is>
          <t>Yes</t>
        </is>
      </c>
      <c r="AR657">
        <f>HYPERLINK("http://catalog.hathitrust.org/Record/000257829","HathiTrust Record")</f>
        <v/>
      </c>
      <c r="AS657">
        <f>HYPERLINK("https://creighton-primo.hosted.exlibrisgroup.com/primo-explore/search?tab=default_tab&amp;search_scope=EVERYTHING&amp;vid=01CRU&amp;lang=en_US&amp;offset=0&amp;query=any,contains,991004674599702656","Catalog Record")</f>
        <v/>
      </c>
      <c r="AT657">
        <f>HYPERLINK("http://www.worldcat.org/oclc/4529690","WorldCat Record")</f>
        <v/>
      </c>
      <c r="AU657" t="inlineStr">
        <is>
          <t>425405308:eng</t>
        </is>
      </c>
      <c r="AV657" t="inlineStr">
        <is>
          <t>4529690</t>
        </is>
      </c>
      <c r="AW657" t="inlineStr">
        <is>
          <t>991004674599702656</t>
        </is>
      </c>
      <c r="AX657" t="inlineStr">
        <is>
          <t>991004674599702656</t>
        </is>
      </c>
      <c r="AY657" t="inlineStr">
        <is>
          <t>2266325070002656</t>
        </is>
      </c>
      <c r="AZ657" t="inlineStr">
        <is>
          <t>BOOK</t>
        </is>
      </c>
      <c r="BB657" t="inlineStr">
        <is>
          <t>9780029106600</t>
        </is>
      </c>
      <c r="BC657" t="inlineStr">
        <is>
          <t>32285000316033</t>
        </is>
      </c>
      <c r="BD657" t="inlineStr">
        <is>
          <t>893319514</t>
        </is>
      </c>
    </row>
    <row r="658">
      <c r="A658" t="inlineStr">
        <is>
          <t>No</t>
        </is>
      </c>
      <c r="B658" t="inlineStr">
        <is>
          <t>GN365.9 .K38 1986</t>
        </is>
      </c>
      <c r="C658" t="inlineStr">
        <is>
          <t>0                      GN 0365900K  38          1986</t>
        </is>
      </c>
      <c r="D658" t="inlineStr">
        <is>
          <t>The social meaning of modern biology : from social Darwinism to sociobiology / Howard L. Kaye.</t>
        </is>
      </c>
      <c r="F658" t="inlineStr">
        <is>
          <t>No</t>
        </is>
      </c>
      <c r="G658" t="inlineStr">
        <is>
          <t>1</t>
        </is>
      </c>
      <c r="H658" t="inlineStr">
        <is>
          <t>No</t>
        </is>
      </c>
      <c r="I658" t="inlineStr">
        <is>
          <t>No</t>
        </is>
      </c>
      <c r="J658" t="inlineStr">
        <is>
          <t>0</t>
        </is>
      </c>
      <c r="K658" t="inlineStr">
        <is>
          <t>Kaye, Howard L., 1951-</t>
        </is>
      </c>
      <c r="L658" t="inlineStr">
        <is>
          <t>New Haven : Yale University Press, c1986.</t>
        </is>
      </c>
      <c r="M658" t="inlineStr">
        <is>
          <t>1986</t>
        </is>
      </c>
      <c r="O658" t="inlineStr">
        <is>
          <t>eng</t>
        </is>
      </c>
      <c r="P658" t="inlineStr">
        <is>
          <t>ctu</t>
        </is>
      </c>
      <c r="R658" t="inlineStr">
        <is>
          <t xml:space="preserve">GN </t>
        </is>
      </c>
      <c r="S658" t="n">
        <v>13</v>
      </c>
      <c r="T658" t="n">
        <v>13</v>
      </c>
      <c r="U658" t="inlineStr">
        <is>
          <t>2000-10-18</t>
        </is>
      </c>
      <c r="V658" t="inlineStr">
        <is>
          <t>2000-10-18</t>
        </is>
      </c>
      <c r="W658" t="inlineStr">
        <is>
          <t>1990-03-28</t>
        </is>
      </c>
      <c r="X658" t="inlineStr">
        <is>
          <t>1990-03-28</t>
        </is>
      </c>
      <c r="Y658" t="n">
        <v>715</v>
      </c>
      <c r="Z658" t="n">
        <v>588</v>
      </c>
      <c r="AA658" t="n">
        <v>648</v>
      </c>
      <c r="AB658" t="n">
        <v>5</v>
      </c>
      <c r="AC658" t="n">
        <v>5</v>
      </c>
      <c r="AD658" t="n">
        <v>31</v>
      </c>
      <c r="AE658" t="n">
        <v>32</v>
      </c>
      <c r="AF658" t="n">
        <v>13</v>
      </c>
      <c r="AG658" t="n">
        <v>13</v>
      </c>
      <c r="AH658" t="n">
        <v>7</v>
      </c>
      <c r="AI658" t="n">
        <v>8</v>
      </c>
      <c r="AJ658" t="n">
        <v>18</v>
      </c>
      <c r="AK658" t="n">
        <v>18</v>
      </c>
      <c r="AL658" t="n">
        <v>4</v>
      </c>
      <c r="AM658" t="n">
        <v>4</v>
      </c>
      <c r="AN658" t="n">
        <v>0</v>
      </c>
      <c r="AO658" t="n">
        <v>0</v>
      </c>
      <c r="AP658" t="inlineStr">
        <is>
          <t>No</t>
        </is>
      </c>
      <c r="AQ658" t="inlineStr">
        <is>
          <t>No</t>
        </is>
      </c>
      <c r="AS658">
        <f>HYPERLINK("https://creighton-primo.hosted.exlibrisgroup.com/primo-explore/search?tab=default_tab&amp;search_scope=EVERYTHING&amp;vid=01CRU&amp;lang=en_US&amp;offset=0&amp;query=any,contains,991000688079702656","Catalog Record")</f>
        <v/>
      </c>
      <c r="AT658">
        <f>HYPERLINK("http://www.worldcat.org/oclc/12422141","WorldCat Record")</f>
        <v/>
      </c>
      <c r="AU658" t="inlineStr">
        <is>
          <t>5063835:eng</t>
        </is>
      </c>
      <c r="AV658" t="inlineStr">
        <is>
          <t>12422141</t>
        </is>
      </c>
      <c r="AW658" t="inlineStr">
        <is>
          <t>991000688079702656</t>
        </is>
      </c>
      <c r="AX658" t="inlineStr">
        <is>
          <t>991000688079702656</t>
        </is>
      </c>
      <c r="AY658" t="inlineStr">
        <is>
          <t>2256224160002656</t>
        </is>
      </c>
      <c r="AZ658" t="inlineStr">
        <is>
          <t>BOOK</t>
        </is>
      </c>
      <c r="BB658" t="inlineStr">
        <is>
          <t>9780300034974</t>
        </is>
      </c>
      <c r="BC658" t="inlineStr">
        <is>
          <t>32285000090786</t>
        </is>
      </c>
      <c r="BD658" t="inlineStr">
        <is>
          <t>893796910</t>
        </is>
      </c>
    </row>
    <row r="659">
      <c r="A659" t="inlineStr">
        <is>
          <t>No</t>
        </is>
      </c>
      <c r="B659" t="inlineStr">
        <is>
          <t>GN365.9 .K58 1985</t>
        </is>
      </c>
      <c r="C659" t="inlineStr">
        <is>
          <t>0                      GN 0365900K  58          1985</t>
        </is>
      </c>
      <c r="D659" t="inlineStr">
        <is>
          <t>Vaulting ambition : sociobiology and the quest for human nature / Philip Kitcher.</t>
        </is>
      </c>
      <c r="F659" t="inlineStr">
        <is>
          <t>No</t>
        </is>
      </c>
      <c r="G659" t="inlineStr">
        <is>
          <t>1</t>
        </is>
      </c>
      <c r="H659" t="inlineStr">
        <is>
          <t>No</t>
        </is>
      </c>
      <c r="I659" t="inlineStr">
        <is>
          <t>No</t>
        </is>
      </c>
      <c r="J659" t="inlineStr">
        <is>
          <t>0</t>
        </is>
      </c>
      <c r="K659" t="inlineStr">
        <is>
          <t>Kitcher, Philip, 1947-</t>
        </is>
      </c>
      <c r="L659" t="inlineStr">
        <is>
          <t>Cambridge, Mass. : MIT Press, c1985.</t>
        </is>
      </c>
      <c r="M659" t="inlineStr">
        <is>
          <t>1985</t>
        </is>
      </c>
      <c r="O659" t="inlineStr">
        <is>
          <t>eng</t>
        </is>
      </c>
      <c r="P659" t="inlineStr">
        <is>
          <t>mau</t>
        </is>
      </c>
      <c r="R659" t="inlineStr">
        <is>
          <t xml:space="preserve">GN </t>
        </is>
      </c>
      <c r="S659" t="n">
        <v>5</v>
      </c>
      <c r="T659" t="n">
        <v>5</v>
      </c>
      <c r="U659" t="inlineStr">
        <is>
          <t>1997-09-26</t>
        </is>
      </c>
      <c r="V659" t="inlineStr">
        <is>
          <t>1997-09-26</t>
        </is>
      </c>
      <c r="W659" t="inlineStr">
        <is>
          <t>1990-09-24</t>
        </is>
      </c>
      <c r="X659" t="inlineStr">
        <is>
          <t>1990-09-24</t>
        </is>
      </c>
      <c r="Y659" t="n">
        <v>964</v>
      </c>
      <c r="Z659" t="n">
        <v>785</v>
      </c>
      <c r="AA659" t="n">
        <v>791</v>
      </c>
      <c r="AB659" t="n">
        <v>4</v>
      </c>
      <c r="AC659" t="n">
        <v>4</v>
      </c>
      <c r="AD659" t="n">
        <v>35</v>
      </c>
      <c r="AE659" t="n">
        <v>35</v>
      </c>
      <c r="AF659" t="n">
        <v>12</v>
      </c>
      <c r="AG659" t="n">
        <v>12</v>
      </c>
      <c r="AH659" t="n">
        <v>7</v>
      </c>
      <c r="AI659" t="n">
        <v>7</v>
      </c>
      <c r="AJ659" t="n">
        <v>21</v>
      </c>
      <c r="AK659" t="n">
        <v>21</v>
      </c>
      <c r="AL659" t="n">
        <v>3</v>
      </c>
      <c r="AM659" t="n">
        <v>3</v>
      </c>
      <c r="AN659" t="n">
        <v>1</v>
      </c>
      <c r="AO659" t="n">
        <v>1</v>
      </c>
      <c r="AP659" t="inlineStr">
        <is>
          <t>No</t>
        </is>
      </c>
      <c r="AQ659" t="inlineStr">
        <is>
          <t>No</t>
        </is>
      </c>
      <c r="AS659">
        <f>HYPERLINK("https://creighton-primo.hosted.exlibrisgroup.com/primo-explore/search?tab=default_tab&amp;search_scope=EVERYTHING&amp;vid=01CRU&amp;lang=en_US&amp;offset=0&amp;query=any,contains,991000619939702656","Catalog Record")</f>
        <v/>
      </c>
      <c r="AT659">
        <f>HYPERLINK("http://www.worldcat.org/oclc/11971134","WorldCat Record")</f>
        <v/>
      </c>
      <c r="AU659" t="inlineStr">
        <is>
          <t>796438218:eng</t>
        </is>
      </c>
      <c r="AV659" t="inlineStr">
        <is>
          <t>11971134</t>
        </is>
      </c>
      <c r="AW659" t="inlineStr">
        <is>
          <t>991000619939702656</t>
        </is>
      </c>
      <c r="AX659" t="inlineStr">
        <is>
          <t>991000619939702656</t>
        </is>
      </c>
      <c r="AY659" t="inlineStr">
        <is>
          <t>2256861070002656</t>
        </is>
      </c>
      <c r="AZ659" t="inlineStr">
        <is>
          <t>BOOK</t>
        </is>
      </c>
      <c r="BB659" t="inlineStr">
        <is>
          <t>9780262111096</t>
        </is>
      </c>
      <c r="BC659" t="inlineStr">
        <is>
          <t>32285000316041</t>
        </is>
      </c>
      <c r="BD659" t="inlineStr">
        <is>
          <t>893589606</t>
        </is>
      </c>
    </row>
    <row r="660">
      <c r="A660" t="inlineStr">
        <is>
          <t>No</t>
        </is>
      </c>
      <c r="B660" t="inlineStr">
        <is>
          <t>GN365.9 .L86 1983</t>
        </is>
      </c>
      <c r="C660" t="inlineStr">
        <is>
          <t>0                      GN 0365900L  86          1983</t>
        </is>
      </c>
      <c r="D660" t="inlineStr">
        <is>
          <t>Promethean fire : reflections on the origin of mind / Charles J. Lumsden and Edward O. Wilson ; illustrations by Whitney Powell.</t>
        </is>
      </c>
      <c r="F660" t="inlineStr">
        <is>
          <t>No</t>
        </is>
      </c>
      <c r="G660" t="inlineStr">
        <is>
          <t>1</t>
        </is>
      </c>
      <c r="H660" t="inlineStr">
        <is>
          <t>No</t>
        </is>
      </c>
      <c r="I660" t="inlineStr">
        <is>
          <t>No</t>
        </is>
      </c>
      <c r="J660" t="inlineStr">
        <is>
          <t>0</t>
        </is>
      </c>
      <c r="K660" t="inlineStr">
        <is>
          <t>Lumsden, Charles J., 1949-</t>
        </is>
      </c>
      <c r="L660" t="inlineStr">
        <is>
          <t>Cambridge, Mass. : Harvard University Press, 1983.</t>
        </is>
      </c>
      <c r="M660" t="inlineStr">
        <is>
          <t>1983</t>
        </is>
      </c>
      <c r="O660" t="inlineStr">
        <is>
          <t>eng</t>
        </is>
      </c>
      <c r="P660" t="inlineStr">
        <is>
          <t>mau</t>
        </is>
      </c>
      <c r="R660" t="inlineStr">
        <is>
          <t xml:space="preserve">GN </t>
        </is>
      </c>
      <c r="S660" t="n">
        <v>4</v>
      </c>
      <c r="T660" t="n">
        <v>4</v>
      </c>
      <c r="U660" t="inlineStr">
        <is>
          <t>1995-10-01</t>
        </is>
      </c>
      <c r="V660" t="inlineStr">
        <is>
          <t>1995-10-01</t>
        </is>
      </c>
      <c r="W660" t="inlineStr">
        <is>
          <t>1990-07-30</t>
        </is>
      </c>
      <c r="X660" t="inlineStr">
        <is>
          <t>1990-07-30</t>
        </is>
      </c>
      <c r="Y660" t="n">
        <v>893</v>
      </c>
      <c r="Z660" t="n">
        <v>764</v>
      </c>
      <c r="AA660" t="n">
        <v>803</v>
      </c>
      <c r="AB660" t="n">
        <v>2</v>
      </c>
      <c r="AC660" t="n">
        <v>2</v>
      </c>
      <c r="AD660" t="n">
        <v>28</v>
      </c>
      <c r="AE660" t="n">
        <v>29</v>
      </c>
      <c r="AF660" t="n">
        <v>11</v>
      </c>
      <c r="AG660" t="n">
        <v>11</v>
      </c>
      <c r="AH660" t="n">
        <v>6</v>
      </c>
      <c r="AI660" t="n">
        <v>7</v>
      </c>
      <c r="AJ660" t="n">
        <v>17</v>
      </c>
      <c r="AK660" t="n">
        <v>18</v>
      </c>
      <c r="AL660" t="n">
        <v>1</v>
      </c>
      <c r="AM660" t="n">
        <v>1</v>
      </c>
      <c r="AN660" t="n">
        <v>0</v>
      </c>
      <c r="AO660" t="n">
        <v>0</v>
      </c>
      <c r="AP660" t="inlineStr">
        <is>
          <t>No</t>
        </is>
      </c>
      <c r="AQ660" t="inlineStr">
        <is>
          <t>Yes</t>
        </is>
      </c>
      <c r="AR660">
        <f>HYPERLINK("http://catalog.hathitrust.org/Record/000113209","HathiTrust Record")</f>
        <v/>
      </c>
      <c r="AS660">
        <f>HYPERLINK("https://creighton-primo.hosted.exlibrisgroup.com/primo-explore/search?tab=default_tab&amp;search_scope=EVERYTHING&amp;vid=01CRU&amp;lang=en_US&amp;offset=0&amp;query=any,contains,991000086459702656","Catalog Record")</f>
        <v/>
      </c>
      <c r="AT660">
        <f>HYPERLINK("http://www.worldcat.org/oclc/8866390","WorldCat Record")</f>
        <v/>
      </c>
      <c r="AU660" t="inlineStr">
        <is>
          <t>6042756:eng</t>
        </is>
      </c>
      <c r="AV660" t="inlineStr">
        <is>
          <t>8866390</t>
        </is>
      </c>
      <c r="AW660" t="inlineStr">
        <is>
          <t>991000086459702656</t>
        </is>
      </c>
      <c r="AX660" t="inlineStr">
        <is>
          <t>991000086459702656</t>
        </is>
      </c>
      <c r="AY660" t="inlineStr">
        <is>
          <t>2262491330002656</t>
        </is>
      </c>
      <c r="AZ660" t="inlineStr">
        <is>
          <t>BOOK</t>
        </is>
      </c>
      <c r="BB660" t="inlineStr">
        <is>
          <t>9780674714458</t>
        </is>
      </c>
      <c r="BC660" t="inlineStr">
        <is>
          <t>32285000229277</t>
        </is>
      </c>
      <c r="BD660" t="inlineStr">
        <is>
          <t>893613880</t>
        </is>
      </c>
    </row>
    <row r="661">
      <c r="A661" t="inlineStr">
        <is>
          <t>No</t>
        </is>
      </c>
      <c r="B661" t="inlineStr">
        <is>
          <t>GN365.9 .R43 1978</t>
        </is>
      </c>
      <c r="C661" t="inlineStr">
        <is>
          <t>0                      GN 0365900R  43          1978</t>
        </is>
      </c>
      <c r="D661" t="inlineStr">
        <is>
          <t>Sexism and science / Evelyn Reed.</t>
        </is>
      </c>
      <c r="F661" t="inlineStr">
        <is>
          <t>No</t>
        </is>
      </c>
      <c r="G661" t="inlineStr">
        <is>
          <t>1</t>
        </is>
      </c>
      <c r="H661" t="inlineStr">
        <is>
          <t>No</t>
        </is>
      </c>
      <c r="I661" t="inlineStr">
        <is>
          <t>No</t>
        </is>
      </c>
      <c r="J661" t="inlineStr">
        <is>
          <t>0</t>
        </is>
      </c>
      <c r="K661" t="inlineStr">
        <is>
          <t>Reed, Evelyn.</t>
        </is>
      </c>
      <c r="L661" t="inlineStr">
        <is>
          <t>New York : Pathfinder Press, 1978.</t>
        </is>
      </c>
      <c r="M661" t="inlineStr">
        <is>
          <t>1978</t>
        </is>
      </c>
      <c r="N661" t="inlineStr">
        <is>
          <t>1st ed.</t>
        </is>
      </c>
      <c r="O661" t="inlineStr">
        <is>
          <t>eng</t>
        </is>
      </c>
      <c r="P661" t="inlineStr">
        <is>
          <t>nyu</t>
        </is>
      </c>
      <c r="R661" t="inlineStr">
        <is>
          <t xml:space="preserve">GN </t>
        </is>
      </c>
      <c r="S661" t="n">
        <v>9</v>
      </c>
      <c r="T661" t="n">
        <v>9</v>
      </c>
      <c r="U661" t="inlineStr">
        <is>
          <t>1997-02-23</t>
        </is>
      </c>
      <c r="V661" t="inlineStr">
        <is>
          <t>1997-02-23</t>
        </is>
      </c>
      <c r="W661" t="inlineStr">
        <is>
          <t>1992-06-16</t>
        </is>
      </c>
      <c r="X661" t="inlineStr">
        <is>
          <t>1992-06-16</t>
        </is>
      </c>
      <c r="Y661" t="n">
        <v>624</v>
      </c>
      <c r="Z661" t="n">
        <v>508</v>
      </c>
      <c r="AA661" t="n">
        <v>527</v>
      </c>
      <c r="AB661" t="n">
        <v>4</v>
      </c>
      <c r="AC661" t="n">
        <v>4</v>
      </c>
      <c r="AD661" t="n">
        <v>18</v>
      </c>
      <c r="AE661" t="n">
        <v>19</v>
      </c>
      <c r="AF661" t="n">
        <v>7</v>
      </c>
      <c r="AG661" t="n">
        <v>8</v>
      </c>
      <c r="AH661" t="n">
        <v>4</v>
      </c>
      <c r="AI661" t="n">
        <v>4</v>
      </c>
      <c r="AJ661" t="n">
        <v>9</v>
      </c>
      <c r="AK661" t="n">
        <v>10</v>
      </c>
      <c r="AL661" t="n">
        <v>3</v>
      </c>
      <c r="AM661" t="n">
        <v>3</v>
      </c>
      <c r="AN661" t="n">
        <v>0</v>
      </c>
      <c r="AO661" t="n">
        <v>0</v>
      </c>
      <c r="AP661" t="inlineStr">
        <is>
          <t>No</t>
        </is>
      </c>
      <c r="AQ661" t="inlineStr">
        <is>
          <t>Yes</t>
        </is>
      </c>
      <c r="AR661">
        <f>HYPERLINK("http://catalog.hathitrust.org/Record/000298207","HathiTrust Record")</f>
        <v/>
      </c>
      <c r="AS661">
        <f>HYPERLINK("https://creighton-primo.hosted.exlibrisgroup.com/primo-explore/search?tab=default_tab&amp;search_scope=EVERYTHING&amp;vid=01CRU&amp;lang=en_US&amp;offset=0&amp;query=any,contains,991004720219702656","Catalog Record")</f>
        <v/>
      </c>
      <c r="AT661">
        <f>HYPERLINK("http://www.worldcat.org/oclc/4801537","WorldCat Record")</f>
        <v/>
      </c>
      <c r="AU661" t="inlineStr">
        <is>
          <t>396676:eng</t>
        </is>
      </c>
      <c r="AV661" t="inlineStr">
        <is>
          <t>4801537</t>
        </is>
      </c>
      <c r="AW661" t="inlineStr">
        <is>
          <t>991004720219702656</t>
        </is>
      </c>
      <c r="AX661" t="inlineStr">
        <is>
          <t>991004720219702656</t>
        </is>
      </c>
      <c r="AY661" t="inlineStr">
        <is>
          <t>2268404340002656</t>
        </is>
      </c>
      <c r="AZ661" t="inlineStr">
        <is>
          <t>BOOK</t>
        </is>
      </c>
      <c r="BB661" t="inlineStr">
        <is>
          <t>9780873485401</t>
        </is>
      </c>
      <c r="BC661" t="inlineStr">
        <is>
          <t>32285001129195</t>
        </is>
      </c>
      <c r="BD661" t="inlineStr">
        <is>
          <t>893411876</t>
        </is>
      </c>
    </row>
    <row r="662">
      <c r="A662" t="inlineStr">
        <is>
          <t>No</t>
        </is>
      </c>
      <c r="B662" t="inlineStr">
        <is>
          <t>GN365.9 .S23</t>
        </is>
      </c>
      <c r="C662" t="inlineStr">
        <is>
          <t>0                      GN 0365900S  23</t>
        </is>
      </c>
      <c r="D662" t="inlineStr">
        <is>
          <t>The use and abuse of biology : an anthropological critique of sociobiology / Marshall Sahlins.</t>
        </is>
      </c>
      <c r="F662" t="inlineStr">
        <is>
          <t>No</t>
        </is>
      </c>
      <c r="G662" t="inlineStr">
        <is>
          <t>1</t>
        </is>
      </c>
      <c r="H662" t="inlineStr">
        <is>
          <t>No</t>
        </is>
      </c>
      <c r="I662" t="inlineStr">
        <is>
          <t>No</t>
        </is>
      </c>
      <c r="J662" t="inlineStr">
        <is>
          <t>0</t>
        </is>
      </c>
      <c r="K662" t="inlineStr">
        <is>
          <t>Sahlins, Marshall, 1930-</t>
        </is>
      </c>
      <c r="L662" t="inlineStr">
        <is>
          <t>Ann Arbor : University of Michigan Press, c1976.</t>
        </is>
      </c>
      <c r="M662" t="inlineStr">
        <is>
          <t>1976</t>
        </is>
      </c>
      <c r="O662" t="inlineStr">
        <is>
          <t>eng</t>
        </is>
      </c>
      <c r="P662" t="inlineStr">
        <is>
          <t>miu</t>
        </is>
      </c>
      <c r="R662" t="inlineStr">
        <is>
          <t xml:space="preserve">GN </t>
        </is>
      </c>
      <c r="S662" t="n">
        <v>5</v>
      </c>
      <c r="T662" t="n">
        <v>5</v>
      </c>
      <c r="U662" t="inlineStr">
        <is>
          <t>1995-09-15</t>
        </is>
      </c>
      <c r="V662" t="inlineStr">
        <is>
          <t>1995-09-15</t>
        </is>
      </c>
      <c r="W662" t="inlineStr">
        <is>
          <t>1994-04-06</t>
        </is>
      </c>
      <c r="X662" t="inlineStr">
        <is>
          <t>1994-04-06</t>
        </is>
      </c>
      <c r="Y662" t="n">
        <v>814</v>
      </c>
      <c r="Z662" t="n">
        <v>697</v>
      </c>
      <c r="AA662" t="n">
        <v>714</v>
      </c>
      <c r="AB662" t="n">
        <v>4</v>
      </c>
      <c r="AC662" t="n">
        <v>4</v>
      </c>
      <c r="AD662" t="n">
        <v>30</v>
      </c>
      <c r="AE662" t="n">
        <v>33</v>
      </c>
      <c r="AF662" t="n">
        <v>13</v>
      </c>
      <c r="AG662" t="n">
        <v>14</v>
      </c>
      <c r="AH662" t="n">
        <v>6</v>
      </c>
      <c r="AI662" t="n">
        <v>7</v>
      </c>
      <c r="AJ662" t="n">
        <v>17</v>
      </c>
      <c r="AK662" t="n">
        <v>18</v>
      </c>
      <c r="AL662" t="n">
        <v>3</v>
      </c>
      <c r="AM662" t="n">
        <v>3</v>
      </c>
      <c r="AN662" t="n">
        <v>0</v>
      </c>
      <c r="AO662" t="n">
        <v>0</v>
      </c>
      <c r="AP662" t="inlineStr">
        <is>
          <t>No</t>
        </is>
      </c>
      <c r="AQ662" t="inlineStr">
        <is>
          <t>Yes</t>
        </is>
      </c>
      <c r="AR662">
        <f>HYPERLINK("http://catalog.hathitrust.org/Record/000171280","HathiTrust Record")</f>
        <v/>
      </c>
      <c r="AS662">
        <f>HYPERLINK("https://creighton-primo.hosted.exlibrisgroup.com/primo-explore/search?tab=default_tab&amp;search_scope=EVERYTHING&amp;vid=01CRU&amp;lang=en_US&amp;offset=0&amp;query=any,contains,991004220919702656","Catalog Record")</f>
        <v/>
      </c>
      <c r="AT662">
        <f>HYPERLINK("http://www.worldcat.org/oclc/2712244","WorldCat Record")</f>
        <v/>
      </c>
      <c r="AU662" t="inlineStr">
        <is>
          <t>491076:eng</t>
        </is>
      </c>
      <c r="AV662" t="inlineStr">
        <is>
          <t>2712244</t>
        </is>
      </c>
      <c r="AW662" t="inlineStr">
        <is>
          <t>991004220919702656</t>
        </is>
      </c>
      <c r="AX662" t="inlineStr">
        <is>
          <t>991004220919702656</t>
        </is>
      </c>
      <c r="AY662" t="inlineStr">
        <is>
          <t>2267286870002656</t>
        </is>
      </c>
      <c r="AZ662" t="inlineStr">
        <is>
          <t>BOOK</t>
        </is>
      </c>
      <c r="BB662" t="inlineStr">
        <is>
          <t>9780472087778</t>
        </is>
      </c>
      <c r="BC662" t="inlineStr">
        <is>
          <t>32285001874329</t>
        </is>
      </c>
      <c r="BD662" t="inlineStr">
        <is>
          <t>893235218</t>
        </is>
      </c>
    </row>
    <row r="663">
      <c r="A663" t="inlineStr">
        <is>
          <t>No</t>
        </is>
      </c>
      <c r="B663" t="inlineStr">
        <is>
          <t>GN365.9 .S38 1986</t>
        </is>
      </c>
      <c r="C663" t="inlineStr">
        <is>
          <t>0                      GN 0365900S  38          1986</t>
        </is>
      </c>
      <c r="D663" t="inlineStr">
        <is>
          <t>The battle for human nature : science, morality, and modern life / Barry Schwartz.</t>
        </is>
      </c>
      <c r="F663" t="inlineStr">
        <is>
          <t>No</t>
        </is>
      </c>
      <c r="G663" t="inlineStr">
        <is>
          <t>1</t>
        </is>
      </c>
      <c r="H663" t="inlineStr">
        <is>
          <t>No</t>
        </is>
      </c>
      <c r="I663" t="inlineStr">
        <is>
          <t>No</t>
        </is>
      </c>
      <c r="J663" t="inlineStr">
        <is>
          <t>0</t>
        </is>
      </c>
      <c r="K663" t="inlineStr">
        <is>
          <t>Schwartz, Barry, 1946-</t>
        </is>
      </c>
      <c r="L663" t="inlineStr">
        <is>
          <t>New York : Norton, c1986.</t>
        </is>
      </c>
      <c r="M663" t="inlineStr">
        <is>
          <t>1986</t>
        </is>
      </c>
      <c r="N663" t="inlineStr">
        <is>
          <t>1st ed.</t>
        </is>
      </c>
      <c r="O663" t="inlineStr">
        <is>
          <t>eng</t>
        </is>
      </c>
      <c r="P663" t="inlineStr">
        <is>
          <t>nyu</t>
        </is>
      </c>
      <c r="R663" t="inlineStr">
        <is>
          <t xml:space="preserve">GN </t>
        </is>
      </c>
      <c r="S663" t="n">
        <v>6</v>
      </c>
      <c r="T663" t="n">
        <v>6</v>
      </c>
      <c r="U663" t="inlineStr">
        <is>
          <t>1997-02-25</t>
        </is>
      </c>
      <c r="V663" t="inlineStr">
        <is>
          <t>1997-02-25</t>
        </is>
      </c>
      <c r="W663" t="inlineStr">
        <is>
          <t>1990-07-30</t>
        </is>
      </c>
      <c r="X663" t="inlineStr">
        <is>
          <t>1990-07-30</t>
        </is>
      </c>
      <c r="Y663" t="n">
        <v>795</v>
      </c>
      <c r="Z663" t="n">
        <v>692</v>
      </c>
      <c r="AA663" t="n">
        <v>741</v>
      </c>
      <c r="AB663" t="n">
        <v>2</v>
      </c>
      <c r="AC663" t="n">
        <v>3</v>
      </c>
      <c r="AD663" t="n">
        <v>29</v>
      </c>
      <c r="AE663" t="n">
        <v>31</v>
      </c>
      <c r="AF663" t="n">
        <v>14</v>
      </c>
      <c r="AG663" t="n">
        <v>14</v>
      </c>
      <c r="AH663" t="n">
        <v>6</v>
      </c>
      <c r="AI663" t="n">
        <v>7</v>
      </c>
      <c r="AJ663" t="n">
        <v>14</v>
      </c>
      <c r="AK663" t="n">
        <v>15</v>
      </c>
      <c r="AL663" t="n">
        <v>1</v>
      </c>
      <c r="AM663" t="n">
        <v>2</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HYPERLINK("https://creighton-primo.hosted.exlibrisgroup.com/primo-explore/search?tab=default_tab&amp;search_scope=EVERYTHING&amp;vid=01CRU&amp;lang=en_US&amp;offset=0&amp;query=any,contains,991000775129702656","Catalog Record")</f>
        <v/>
      </c>
      <c r="AT663">
        <f>HYPERLINK("http://www.worldcat.org/oclc/13063722","WorldCat Record")</f>
        <v/>
      </c>
      <c r="AU663" t="inlineStr">
        <is>
          <t>5508434:eng</t>
        </is>
      </c>
      <c r="AV663" t="inlineStr">
        <is>
          <t>13063722</t>
        </is>
      </c>
      <c r="AW663" t="inlineStr">
        <is>
          <t>991000775129702656</t>
        </is>
      </c>
      <c r="AX663" t="inlineStr">
        <is>
          <t>991000775129702656</t>
        </is>
      </c>
      <c r="AY663" t="inlineStr">
        <is>
          <t>2256970960002656</t>
        </is>
      </c>
      <c r="AZ663" t="inlineStr">
        <is>
          <t>BOOK</t>
        </is>
      </c>
      <c r="BB663" t="inlineStr">
        <is>
          <t>9780393023190</t>
        </is>
      </c>
      <c r="BC663" t="inlineStr">
        <is>
          <t>32285000229285</t>
        </is>
      </c>
      <c r="BD663" t="inlineStr">
        <is>
          <t>893595869</t>
        </is>
      </c>
    </row>
    <row r="664">
      <c r="A664" t="inlineStr">
        <is>
          <t>No</t>
        </is>
      </c>
      <c r="B664" t="inlineStr">
        <is>
          <t>GN365.9 .S595 1985b</t>
        </is>
      </c>
      <c r="C664" t="inlineStr">
        <is>
          <t>0                      GN 0365900S  595         1985b</t>
        </is>
      </c>
      <c r="D664" t="inlineStr">
        <is>
          <t>Sociobiology and epistemology / edited by James H. Fetzer.</t>
        </is>
      </c>
      <c r="F664" t="inlineStr">
        <is>
          <t>No</t>
        </is>
      </c>
      <c r="G664" t="inlineStr">
        <is>
          <t>1</t>
        </is>
      </c>
      <c r="H664" t="inlineStr">
        <is>
          <t>No</t>
        </is>
      </c>
      <c r="I664" t="inlineStr">
        <is>
          <t>No</t>
        </is>
      </c>
      <c r="J664" t="inlineStr">
        <is>
          <t>0</t>
        </is>
      </c>
      <c r="L664" t="inlineStr">
        <is>
          <t>Dordrecht ; Boston : D. Reidel Pub. Co. ; Hingham, MA : Sold and distributed in the U.S.A. and Canada by Kluwer Academic Publishers, c1985.</t>
        </is>
      </c>
      <c r="M664" t="inlineStr">
        <is>
          <t>1985</t>
        </is>
      </c>
      <c r="O664" t="inlineStr">
        <is>
          <t>eng</t>
        </is>
      </c>
      <c r="P664" t="inlineStr">
        <is>
          <t xml:space="preserve">ne </t>
        </is>
      </c>
      <c r="Q664" t="inlineStr">
        <is>
          <t>Synthese library ; v. 180</t>
        </is>
      </c>
      <c r="R664" t="inlineStr">
        <is>
          <t xml:space="preserve">GN </t>
        </is>
      </c>
      <c r="S664" t="n">
        <v>1</v>
      </c>
      <c r="T664" t="n">
        <v>1</v>
      </c>
      <c r="U664" t="inlineStr">
        <is>
          <t>2000-10-18</t>
        </is>
      </c>
      <c r="V664" t="inlineStr">
        <is>
          <t>2000-10-18</t>
        </is>
      </c>
      <c r="W664" t="inlineStr">
        <is>
          <t>1990-09-24</t>
        </is>
      </c>
      <c r="X664" t="inlineStr">
        <is>
          <t>1990-09-24</t>
        </is>
      </c>
      <c r="Y664" t="n">
        <v>336</v>
      </c>
      <c r="Z664" t="n">
        <v>227</v>
      </c>
      <c r="AA664" t="n">
        <v>228</v>
      </c>
      <c r="AB664" t="n">
        <v>2</v>
      </c>
      <c r="AC664" t="n">
        <v>2</v>
      </c>
      <c r="AD664" t="n">
        <v>16</v>
      </c>
      <c r="AE664" t="n">
        <v>16</v>
      </c>
      <c r="AF664" t="n">
        <v>6</v>
      </c>
      <c r="AG664" t="n">
        <v>6</v>
      </c>
      <c r="AH664" t="n">
        <v>5</v>
      </c>
      <c r="AI664" t="n">
        <v>5</v>
      </c>
      <c r="AJ664" t="n">
        <v>9</v>
      </c>
      <c r="AK664" t="n">
        <v>9</v>
      </c>
      <c r="AL664" t="n">
        <v>1</v>
      </c>
      <c r="AM664" t="n">
        <v>1</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HYPERLINK("https://creighton-primo.hosted.exlibrisgroup.com/primo-explore/search?tab=default_tab&amp;search_scope=EVERYTHING&amp;vid=01CRU&amp;lang=en_US&amp;offset=0&amp;query=any,contains,991000758179702656","Catalog Record")</f>
        <v/>
      </c>
      <c r="AT664">
        <f>HYPERLINK("http://www.worldcat.org/oclc/12285749","WorldCat Record")</f>
        <v/>
      </c>
      <c r="AU664" t="inlineStr">
        <is>
          <t>54728742:eng</t>
        </is>
      </c>
      <c r="AV664" t="inlineStr">
        <is>
          <t>12285749</t>
        </is>
      </c>
      <c r="AW664" t="inlineStr">
        <is>
          <t>991000758179702656</t>
        </is>
      </c>
      <c r="AX664" t="inlineStr">
        <is>
          <t>991000758179702656</t>
        </is>
      </c>
      <c r="AY664" t="inlineStr">
        <is>
          <t>2261909410002656</t>
        </is>
      </c>
      <c r="AZ664" t="inlineStr">
        <is>
          <t>BOOK</t>
        </is>
      </c>
      <c r="BB664" t="inlineStr">
        <is>
          <t>9789027720054</t>
        </is>
      </c>
      <c r="BC664" t="inlineStr">
        <is>
          <t>32285000316066</t>
        </is>
      </c>
      <c r="BD664" t="inlineStr">
        <is>
          <t>893333747</t>
        </is>
      </c>
    </row>
    <row r="665">
      <c r="A665" t="inlineStr">
        <is>
          <t>No</t>
        </is>
      </c>
      <c r="B665" t="inlineStr">
        <is>
          <t>GN365.9 .S613</t>
        </is>
      </c>
      <c r="C665" t="inlineStr">
        <is>
          <t>0                      GN 0365900S  613</t>
        </is>
      </c>
      <c r="D665" t="inlineStr">
        <is>
          <t>Sociobiology and human politics / edited by Elliott White.</t>
        </is>
      </c>
      <c r="F665" t="inlineStr">
        <is>
          <t>No</t>
        </is>
      </c>
      <c r="G665" t="inlineStr">
        <is>
          <t>1</t>
        </is>
      </c>
      <c r="H665" t="inlineStr">
        <is>
          <t>No</t>
        </is>
      </c>
      <c r="I665" t="inlineStr">
        <is>
          <t>No</t>
        </is>
      </c>
      <c r="J665" t="inlineStr">
        <is>
          <t>0</t>
        </is>
      </c>
      <c r="L665" t="inlineStr">
        <is>
          <t>Lexington, Mass. : Lexington Books, c1981.</t>
        </is>
      </c>
      <c r="M665" t="inlineStr">
        <is>
          <t>1981</t>
        </is>
      </c>
      <c r="O665" t="inlineStr">
        <is>
          <t>eng</t>
        </is>
      </c>
      <c r="P665" t="inlineStr">
        <is>
          <t>mau</t>
        </is>
      </c>
      <c r="R665" t="inlineStr">
        <is>
          <t xml:space="preserve">GN </t>
        </is>
      </c>
      <c r="S665" t="n">
        <v>1</v>
      </c>
      <c r="T665" t="n">
        <v>1</v>
      </c>
      <c r="U665" t="inlineStr">
        <is>
          <t>2000-10-18</t>
        </is>
      </c>
      <c r="V665" t="inlineStr">
        <is>
          <t>2000-10-18</t>
        </is>
      </c>
      <c r="W665" t="inlineStr">
        <is>
          <t>1990-09-24</t>
        </is>
      </c>
      <c r="X665" t="inlineStr">
        <is>
          <t>1990-09-24</t>
        </is>
      </c>
      <c r="Y665" t="n">
        <v>390</v>
      </c>
      <c r="Z665" t="n">
        <v>311</v>
      </c>
      <c r="AA665" t="n">
        <v>314</v>
      </c>
      <c r="AB665" t="n">
        <v>3</v>
      </c>
      <c r="AC665" t="n">
        <v>3</v>
      </c>
      <c r="AD665" t="n">
        <v>19</v>
      </c>
      <c r="AE665" t="n">
        <v>19</v>
      </c>
      <c r="AF665" t="n">
        <v>6</v>
      </c>
      <c r="AG665" t="n">
        <v>6</v>
      </c>
      <c r="AH665" t="n">
        <v>4</v>
      </c>
      <c r="AI665" t="n">
        <v>4</v>
      </c>
      <c r="AJ665" t="n">
        <v>12</v>
      </c>
      <c r="AK665" t="n">
        <v>12</v>
      </c>
      <c r="AL665" t="n">
        <v>2</v>
      </c>
      <c r="AM665" t="n">
        <v>2</v>
      </c>
      <c r="AN665" t="n">
        <v>0</v>
      </c>
      <c r="AO665" t="n">
        <v>0</v>
      </c>
      <c r="AP665" t="inlineStr">
        <is>
          <t>No</t>
        </is>
      </c>
      <c r="AQ665" t="inlineStr">
        <is>
          <t>Yes</t>
        </is>
      </c>
      <c r="AR665">
        <f>HYPERLINK("http://catalog.hathitrust.org/Record/003916438","HathiTrust Record")</f>
        <v/>
      </c>
      <c r="AS665">
        <f>HYPERLINK("https://creighton-primo.hosted.exlibrisgroup.com/primo-explore/search?tab=default_tab&amp;search_scope=EVERYTHING&amp;vid=01CRU&amp;lang=en_US&amp;offset=0&amp;query=any,contains,991005088479702656","Catalog Record")</f>
        <v/>
      </c>
      <c r="AT665">
        <f>HYPERLINK("http://www.worldcat.org/oclc/7203454","WorldCat Record")</f>
        <v/>
      </c>
      <c r="AU665" t="inlineStr">
        <is>
          <t>54429662:eng</t>
        </is>
      </c>
      <c r="AV665" t="inlineStr">
        <is>
          <t>7203454</t>
        </is>
      </c>
      <c r="AW665" t="inlineStr">
        <is>
          <t>991005088479702656</t>
        </is>
      </c>
      <c r="AX665" t="inlineStr">
        <is>
          <t>991005088479702656</t>
        </is>
      </c>
      <c r="AY665" t="inlineStr">
        <is>
          <t>2267652900002656</t>
        </is>
      </c>
      <c r="AZ665" t="inlineStr">
        <is>
          <t>BOOK</t>
        </is>
      </c>
      <c r="BB665" t="inlineStr">
        <is>
          <t>9780669036022</t>
        </is>
      </c>
      <c r="BC665" t="inlineStr">
        <is>
          <t>32285000316074</t>
        </is>
      </c>
      <c r="BD665" t="inlineStr">
        <is>
          <t>893344623</t>
        </is>
      </c>
    </row>
    <row r="666">
      <c r="A666" t="inlineStr">
        <is>
          <t>No</t>
        </is>
      </c>
      <c r="B666" t="inlineStr">
        <is>
          <t>GN365.9 .S6155</t>
        </is>
      </c>
      <c r="C666" t="inlineStr">
        <is>
          <t>0                      GN 0365900S  6155</t>
        </is>
      </c>
      <c r="D666" t="inlineStr">
        <is>
          <t>Sociobiology, beyond nature/nurture? : Reports, definitions, and debate / edited by George W. Barlow and James Silverberg.</t>
        </is>
      </c>
      <c r="F666" t="inlineStr">
        <is>
          <t>No</t>
        </is>
      </c>
      <c r="G666" t="inlineStr">
        <is>
          <t>1</t>
        </is>
      </c>
      <c r="H666" t="inlineStr">
        <is>
          <t>No</t>
        </is>
      </c>
      <c r="I666" t="inlineStr">
        <is>
          <t>No</t>
        </is>
      </c>
      <c r="J666" t="inlineStr">
        <is>
          <t>0</t>
        </is>
      </c>
      <c r="L666" t="inlineStr">
        <is>
          <t>Boulder, Colo. : Published by Westview Press for the American Association for the Advancement of Science, 1980.</t>
        </is>
      </c>
      <c r="M666" t="inlineStr">
        <is>
          <t>1980</t>
        </is>
      </c>
      <c r="O666" t="inlineStr">
        <is>
          <t>eng</t>
        </is>
      </c>
      <c r="P666" t="inlineStr">
        <is>
          <t>cou</t>
        </is>
      </c>
      <c r="Q666" t="inlineStr">
        <is>
          <t>AAAS selected symposium ; 35</t>
        </is>
      </c>
      <c r="R666" t="inlineStr">
        <is>
          <t xml:space="preserve">GN </t>
        </is>
      </c>
      <c r="S666" t="n">
        <v>2</v>
      </c>
      <c r="T666" t="n">
        <v>2</v>
      </c>
      <c r="U666" t="inlineStr">
        <is>
          <t>1998-10-09</t>
        </is>
      </c>
      <c r="V666" t="inlineStr">
        <is>
          <t>1998-10-09</t>
        </is>
      </c>
      <c r="W666" t="inlineStr">
        <is>
          <t>1990-09-24</t>
        </is>
      </c>
      <c r="X666" t="inlineStr">
        <is>
          <t>1990-09-24</t>
        </is>
      </c>
      <c r="Y666" t="n">
        <v>663</v>
      </c>
      <c r="Z666" t="n">
        <v>537</v>
      </c>
      <c r="AA666" t="n">
        <v>557</v>
      </c>
      <c r="AB666" t="n">
        <v>5</v>
      </c>
      <c r="AC666" t="n">
        <v>5</v>
      </c>
      <c r="AD666" t="n">
        <v>28</v>
      </c>
      <c r="AE666" t="n">
        <v>28</v>
      </c>
      <c r="AF666" t="n">
        <v>10</v>
      </c>
      <c r="AG666" t="n">
        <v>10</v>
      </c>
      <c r="AH666" t="n">
        <v>7</v>
      </c>
      <c r="AI666" t="n">
        <v>7</v>
      </c>
      <c r="AJ666" t="n">
        <v>17</v>
      </c>
      <c r="AK666" t="n">
        <v>17</v>
      </c>
      <c r="AL666" t="n">
        <v>4</v>
      </c>
      <c r="AM666" t="n">
        <v>4</v>
      </c>
      <c r="AN666" t="n">
        <v>0</v>
      </c>
      <c r="AO666" t="n">
        <v>0</v>
      </c>
      <c r="AP666" t="inlineStr">
        <is>
          <t>No</t>
        </is>
      </c>
      <c r="AQ666" t="inlineStr">
        <is>
          <t>Yes</t>
        </is>
      </c>
      <c r="AR666">
        <f>HYPERLINK("http://catalog.hathitrust.org/Record/000690037","HathiTrust Record")</f>
        <v/>
      </c>
      <c r="AS666">
        <f>HYPERLINK("https://creighton-primo.hosted.exlibrisgroup.com/primo-explore/search?tab=default_tab&amp;search_scope=EVERYTHING&amp;vid=01CRU&amp;lang=en_US&amp;offset=0&amp;query=any,contains,991004911749702656","Catalog Record")</f>
        <v/>
      </c>
      <c r="AT666">
        <f>HYPERLINK("http://www.worldcat.org/oclc/5992466","WorldCat Record")</f>
        <v/>
      </c>
      <c r="AU666" t="inlineStr">
        <is>
          <t>426615861:eng</t>
        </is>
      </c>
      <c r="AV666" t="inlineStr">
        <is>
          <t>5992466</t>
        </is>
      </c>
      <c r="AW666" t="inlineStr">
        <is>
          <t>991004911749702656</t>
        </is>
      </c>
      <c r="AX666" t="inlineStr">
        <is>
          <t>991004911749702656</t>
        </is>
      </c>
      <c r="AY666" t="inlineStr">
        <is>
          <t>2261577540002656</t>
        </is>
      </c>
      <c r="AZ666" t="inlineStr">
        <is>
          <t>BOOK</t>
        </is>
      </c>
      <c r="BB666" t="inlineStr">
        <is>
          <t>9780891583721</t>
        </is>
      </c>
      <c r="BC666" t="inlineStr">
        <is>
          <t>32285000316082</t>
        </is>
      </c>
      <c r="BD666" t="inlineStr">
        <is>
          <t>893776570</t>
        </is>
      </c>
    </row>
    <row r="667">
      <c r="A667" t="inlineStr">
        <is>
          <t>No</t>
        </is>
      </c>
      <c r="B667" t="inlineStr">
        <is>
          <t>GN365.9 .S62</t>
        </is>
      </c>
      <c r="C667" t="inlineStr">
        <is>
          <t>0                      GN 0365900S  62</t>
        </is>
      </c>
      <c r="D667" t="inlineStr">
        <is>
          <t>Sociobiology and human nature / Editors: Michael S. Gregory, Anita Silvers &amp; Diane Sutch.</t>
        </is>
      </c>
      <c r="F667" t="inlineStr">
        <is>
          <t>No</t>
        </is>
      </c>
      <c r="G667" t="inlineStr">
        <is>
          <t>1</t>
        </is>
      </c>
      <c r="H667" t="inlineStr">
        <is>
          <t>No</t>
        </is>
      </c>
      <c r="I667" t="inlineStr">
        <is>
          <t>No</t>
        </is>
      </c>
      <c r="J667" t="inlineStr">
        <is>
          <t>0</t>
        </is>
      </c>
      <c r="L667" t="inlineStr">
        <is>
          <t>San Francisco : Jossey-Bass, 1978.</t>
        </is>
      </c>
      <c r="M667" t="inlineStr">
        <is>
          <t>1978</t>
        </is>
      </c>
      <c r="N667" t="inlineStr">
        <is>
          <t>1st ed. --</t>
        </is>
      </c>
      <c r="O667" t="inlineStr">
        <is>
          <t>eng</t>
        </is>
      </c>
      <c r="P667" t="inlineStr">
        <is>
          <t>cau</t>
        </is>
      </c>
      <c r="Q667" t="inlineStr">
        <is>
          <t>Jossey-Bass social and behavioral science series</t>
        </is>
      </c>
      <c r="R667" t="inlineStr">
        <is>
          <t xml:space="preserve">GN </t>
        </is>
      </c>
      <c r="S667" t="n">
        <v>6</v>
      </c>
      <c r="T667" t="n">
        <v>6</v>
      </c>
      <c r="U667" t="inlineStr">
        <is>
          <t>1998-10-09</t>
        </is>
      </c>
      <c r="V667" t="inlineStr">
        <is>
          <t>1998-10-09</t>
        </is>
      </c>
      <c r="W667" t="inlineStr">
        <is>
          <t>1990-07-30</t>
        </is>
      </c>
      <c r="X667" t="inlineStr">
        <is>
          <t>1990-07-30</t>
        </is>
      </c>
      <c r="Y667" t="n">
        <v>838</v>
      </c>
      <c r="Z667" t="n">
        <v>706</v>
      </c>
      <c r="AA667" t="n">
        <v>729</v>
      </c>
      <c r="AB667" t="n">
        <v>6</v>
      </c>
      <c r="AC667" t="n">
        <v>6</v>
      </c>
      <c r="AD667" t="n">
        <v>32</v>
      </c>
      <c r="AE667" t="n">
        <v>32</v>
      </c>
      <c r="AF667" t="n">
        <v>13</v>
      </c>
      <c r="AG667" t="n">
        <v>13</v>
      </c>
      <c r="AH667" t="n">
        <v>7</v>
      </c>
      <c r="AI667" t="n">
        <v>7</v>
      </c>
      <c r="AJ667" t="n">
        <v>15</v>
      </c>
      <c r="AK667" t="n">
        <v>15</v>
      </c>
      <c r="AL667" t="n">
        <v>5</v>
      </c>
      <c r="AM667" t="n">
        <v>5</v>
      </c>
      <c r="AN667" t="n">
        <v>0</v>
      </c>
      <c r="AO667" t="n">
        <v>0</v>
      </c>
      <c r="AP667" t="inlineStr">
        <is>
          <t>No</t>
        </is>
      </c>
      <c r="AQ667" t="inlineStr">
        <is>
          <t>Yes</t>
        </is>
      </c>
      <c r="AR667">
        <f>HYPERLINK("http://catalog.hathitrust.org/Record/000219392","HathiTrust Record")</f>
        <v/>
      </c>
      <c r="AS667">
        <f>HYPERLINK("https://creighton-primo.hosted.exlibrisgroup.com/primo-explore/search?tab=default_tab&amp;search_scope=EVERYTHING&amp;vid=01CRU&amp;lang=en_US&amp;offset=0&amp;query=any,contains,991004630499702656","Catalog Record")</f>
        <v/>
      </c>
      <c r="AT667">
        <f>HYPERLINK("http://www.worldcat.org/oclc/4367186","WorldCat Record")</f>
        <v/>
      </c>
      <c r="AU667" t="inlineStr">
        <is>
          <t>510889341:eng</t>
        </is>
      </c>
      <c r="AV667" t="inlineStr">
        <is>
          <t>4367186</t>
        </is>
      </c>
      <c r="AW667" t="inlineStr">
        <is>
          <t>991004630499702656</t>
        </is>
      </c>
      <c r="AX667" t="inlineStr">
        <is>
          <t>991004630499702656</t>
        </is>
      </c>
      <c r="AY667" t="inlineStr">
        <is>
          <t>2268109890002656</t>
        </is>
      </c>
      <c r="AZ667" t="inlineStr">
        <is>
          <t>BOOK</t>
        </is>
      </c>
      <c r="BB667" t="inlineStr">
        <is>
          <t>9780875893945</t>
        </is>
      </c>
      <c r="BC667" t="inlineStr">
        <is>
          <t>32285000229293</t>
        </is>
      </c>
      <c r="BD667" t="inlineStr">
        <is>
          <t>893526330</t>
        </is>
      </c>
    </row>
    <row r="668">
      <c r="A668" t="inlineStr">
        <is>
          <t>No</t>
        </is>
      </c>
      <c r="B668" t="inlineStr">
        <is>
          <t>GN365.9 .S623 1978</t>
        </is>
      </c>
      <c r="C668" t="inlineStr">
        <is>
          <t>0                      GN 0365900S  623         1978</t>
        </is>
      </c>
      <c r="D668" t="inlineStr">
        <is>
          <t>The Sociobiology debate : readings on ethical and scientific issues / edited by Arthur L. Caplan. --</t>
        </is>
      </c>
      <c r="F668" t="inlineStr">
        <is>
          <t>No</t>
        </is>
      </c>
      <c r="G668" t="inlineStr">
        <is>
          <t>1</t>
        </is>
      </c>
      <c r="H668" t="inlineStr">
        <is>
          <t>No</t>
        </is>
      </c>
      <c r="I668" t="inlineStr">
        <is>
          <t>No</t>
        </is>
      </c>
      <c r="J668" t="inlineStr">
        <is>
          <t>0</t>
        </is>
      </c>
      <c r="L668" t="inlineStr">
        <is>
          <t>New York : Harper &amp; Row, c1978.</t>
        </is>
      </c>
      <c r="M668" t="inlineStr">
        <is>
          <t>1978</t>
        </is>
      </c>
      <c r="N668" t="inlineStr">
        <is>
          <t>1st ed. --</t>
        </is>
      </c>
      <c r="O668" t="inlineStr">
        <is>
          <t>eng</t>
        </is>
      </c>
      <c r="P668" t="inlineStr">
        <is>
          <t>nyu</t>
        </is>
      </c>
      <c r="R668" t="inlineStr">
        <is>
          <t xml:space="preserve">GN </t>
        </is>
      </c>
      <c r="S668" t="n">
        <v>2</v>
      </c>
      <c r="T668" t="n">
        <v>2</v>
      </c>
      <c r="U668" t="inlineStr">
        <is>
          <t>1997-02-25</t>
        </is>
      </c>
      <c r="V668" t="inlineStr">
        <is>
          <t>1997-02-25</t>
        </is>
      </c>
      <c r="W668" t="inlineStr">
        <is>
          <t>1990-11-09</t>
        </is>
      </c>
      <c r="X668" t="inlineStr">
        <is>
          <t>1990-11-09</t>
        </is>
      </c>
      <c r="Y668" t="n">
        <v>984</v>
      </c>
      <c r="Z668" t="n">
        <v>800</v>
      </c>
      <c r="AA668" t="n">
        <v>822</v>
      </c>
      <c r="AB668" t="n">
        <v>5</v>
      </c>
      <c r="AC668" t="n">
        <v>5</v>
      </c>
      <c r="AD668" t="n">
        <v>34</v>
      </c>
      <c r="AE668" t="n">
        <v>34</v>
      </c>
      <c r="AF668" t="n">
        <v>13</v>
      </c>
      <c r="AG668" t="n">
        <v>13</v>
      </c>
      <c r="AH668" t="n">
        <v>6</v>
      </c>
      <c r="AI668" t="n">
        <v>6</v>
      </c>
      <c r="AJ668" t="n">
        <v>22</v>
      </c>
      <c r="AK668" t="n">
        <v>22</v>
      </c>
      <c r="AL668" t="n">
        <v>4</v>
      </c>
      <c r="AM668" t="n">
        <v>4</v>
      </c>
      <c r="AN668" t="n">
        <v>0</v>
      </c>
      <c r="AO668" t="n">
        <v>0</v>
      </c>
      <c r="AP668" t="inlineStr">
        <is>
          <t>No</t>
        </is>
      </c>
      <c r="AQ668" t="inlineStr">
        <is>
          <t>Yes</t>
        </is>
      </c>
      <c r="AR668">
        <f>HYPERLINK("http://catalog.hathitrust.org/Record/000136725","HathiTrust Record")</f>
        <v/>
      </c>
      <c r="AS668">
        <f>HYPERLINK("https://creighton-primo.hosted.exlibrisgroup.com/primo-explore/search?tab=default_tab&amp;search_scope=EVERYTHING&amp;vid=01CRU&amp;lang=en_US&amp;offset=0&amp;query=any,contains,991004536779702656","Catalog Record")</f>
        <v/>
      </c>
      <c r="AT668">
        <f>HYPERLINK("http://www.worldcat.org/oclc/3870523","WorldCat Record")</f>
        <v/>
      </c>
      <c r="AU668" t="inlineStr">
        <is>
          <t>864043381:eng</t>
        </is>
      </c>
      <c r="AV668" t="inlineStr">
        <is>
          <t>3870523</t>
        </is>
      </c>
      <c r="AW668" t="inlineStr">
        <is>
          <t>991004536779702656</t>
        </is>
      </c>
      <c r="AX668" t="inlineStr">
        <is>
          <t>991004536779702656</t>
        </is>
      </c>
      <c r="AY668" t="inlineStr">
        <is>
          <t>2259302740002656</t>
        </is>
      </c>
      <c r="AZ668" t="inlineStr">
        <is>
          <t>BOOK</t>
        </is>
      </c>
      <c r="BB668" t="inlineStr">
        <is>
          <t>9780060106331</t>
        </is>
      </c>
      <c r="BC668" t="inlineStr">
        <is>
          <t>32285000316090</t>
        </is>
      </c>
      <c r="BD668" t="inlineStr">
        <is>
          <t>893446271</t>
        </is>
      </c>
    </row>
    <row r="669">
      <c r="A669" t="inlineStr">
        <is>
          <t>No</t>
        </is>
      </c>
      <c r="B669" t="inlineStr">
        <is>
          <t>GN365.9 .S63</t>
        </is>
      </c>
      <c r="C669" t="inlineStr">
        <is>
          <t>0                      GN 0365900S  63</t>
        </is>
      </c>
      <c r="D669" t="inlineStr">
        <is>
          <t>Sociobiology examined / edited by Ashley Montagu.</t>
        </is>
      </c>
      <c r="F669" t="inlineStr">
        <is>
          <t>No</t>
        </is>
      </c>
      <c r="G669" t="inlineStr">
        <is>
          <t>1</t>
        </is>
      </c>
      <c r="H669" t="inlineStr">
        <is>
          <t>No</t>
        </is>
      </c>
      <c r="I669" t="inlineStr">
        <is>
          <t>No</t>
        </is>
      </c>
      <c r="J669" t="inlineStr">
        <is>
          <t>0</t>
        </is>
      </c>
      <c r="L669" t="inlineStr">
        <is>
          <t>New York : Oxford University Press, 1980.</t>
        </is>
      </c>
      <c r="M669" t="inlineStr">
        <is>
          <t>1980</t>
        </is>
      </c>
      <c r="O669" t="inlineStr">
        <is>
          <t>eng</t>
        </is>
      </c>
      <c r="P669" t="inlineStr">
        <is>
          <t>nyu</t>
        </is>
      </c>
      <c r="R669" t="inlineStr">
        <is>
          <t xml:space="preserve">GN </t>
        </is>
      </c>
      <c r="S669" t="n">
        <v>2</v>
      </c>
      <c r="T669" t="n">
        <v>2</v>
      </c>
      <c r="U669" t="inlineStr">
        <is>
          <t>1997-02-25</t>
        </is>
      </c>
      <c r="V669" t="inlineStr">
        <is>
          <t>1997-02-25</t>
        </is>
      </c>
      <c r="W669" t="inlineStr">
        <is>
          <t>1990-09-24</t>
        </is>
      </c>
      <c r="X669" t="inlineStr">
        <is>
          <t>1990-09-24</t>
        </is>
      </c>
      <c r="Y669" t="n">
        <v>1068</v>
      </c>
      <c r="Z669" t="n">
        <v>917</v>
      </c>
      <c r="AA669" t="n">
        <v>930</v>
      </c>
      <c r="AB669" t="n">
        <v>4</v>
      </c>
      <c r="AC669" t="n">
        <v>4</v>
      </c>
      <c r="AD669" t="n">
        <v>32</v>
      </c>
      <c r="AE669" t="n">
        <v>33</v>
      </c>
      <c r="AF669" t="n">
        <v>15</v>
      </c>
      <c r="AG669" t="n">
        <v>16</v>
      </c>
      <c r="AH669" t="n">
        <v>9</v>
      </c>
      <c r="AI669" t="n">
        <v>9</v>
      </c>
      <c r="AJ669" t="n">
        <v>15</v>
      </c>
      <c r="AK669" t="n">
        <v>15</v>
      </c>
      <c r="AL669" t="n">
        <v>3</v>
      </c>
      <c r="AM669" t="n">
        <v>3</v>
      </c>
      <c r="AN669" t="n">
        <v>0</v>
      </c>
      <c r="AO669" t="n">
        <v>0</v>
      </c>
      <c r="AP669" t="inlineStr">
        <is>
          <t>No</t>
        </is>
      </c>
      <c r="AQ669" t="inlineStr">
        <is>
          <t>Yes</t>
        </is>
      </c>
      <c r="AR669">
        <f>HYPERLINK("http://catalog.hathitrust.org/Record/000690974","HathiTrust Record")</f>
        <v/>
      </c>
      <c r="AS669">
        <f>HYPERLINK("https://creighton-primo.hosted.exlibrisgroup.com/primo-explore/search?tab=default_tab&amp;search_scope=EVERYTHING&amp;vid=01CRU&amp;lang=en_US&amp;offset=0&amp;query=any,contains,991004863579702656","Catalog Record")</f>
        <v/>
      </c>
      <c r="AT669">
        <f>HYPERLINK("http://www.worldcat.org/oclc/5725701","WorldCat Record")</f>
        <v/>
      </c>
      <c r="AU669" t="inlineStr">
        <is>
          <t>344784518:eng</t>
        </is>
      </c>
      <c r="AV669" t="inlineStr">
        <is>
          <t>5725701</t>
        </is>
      </c>
      <c r="AW669" t="inlineStr">
        <is>
          <t>991004863579702656</t>
        </is>
      </c>
      <c r="AX669" t="inlineStr">
        <is>
          <t>991004863579702656</t>
        </is>
      </c>
      <c r="AY669" t="inlineStr">
        <is>
          <t>2262434030002656</t>
        </is>
      </c>
      <c r="AZ669" t="inlineStr">
        <is>
          <t>BOOK</t>
        </is>
      </c>
      <c r="BB669" t="inlineStr">
        <is>
          <t>9780195027112</t>
        </is>
      </c>
      <c r="BC669" t="inlineStr">
        <is>
          <t>32285000316108</t>
        </is>
      </c>
      <c r="BD669" t="inlineStr">
        <is>
          <t>893507315</t>
        </is>
      </c>
    </row>
    <row r="670">
      <c r="A670" t="inlineStr">
        <is>
          <t>No</t>
        </is>
      </c>
      <c r="B670" t="inlineStr">
        <is>
          <t>GN365.9 .W65 1985</t>
        </is>
      </c>
      <c r="C670" t="inlineStr">
        <is>
          <t>0                      GN 0365900W  65          1985</t>
        </is>
      </c>
      <c r="D670" t="inlineStr">
        <is>
          <t>Women, biology, and public policy / edited by Virginia Sapiro.</t>
        </is>
      </c>
      <c r="F670" t="inlineStr">
        <is>
          <t>No</t>
        </is>
      </c>
      <c r="G670" t="inlineStr">
        <is>
          <t>1</t>
        </is>
      </c>
      <c r="H670" t="inlineStr">
        <is>
          <t>No</t>
        </is>
      </c>
      <c r="I670" t="inlineStr">
        <is>
          <t>No</t>
        </is>
      </c>
      <c r="J670" t="inlineStr">
        <is>
          <t>0</t>
        </is>
      </c>
      <c r="L670" t="inlineStr">
        <is>
          <t>Beverly Hills : Sage Publications, c1985.</t>
        </is>
      </c>
      <c r="M670" t="inlineStr">
        <is>
          <t>1985</t>
        </is>
      </c>
      <c r="O670" t="inlineStr">
        <is>
          <t>eng</t>
        </is>
      </c>
      <c r="P670" t="inlineStr">
        <is>
          <t>cau</t>
        </is>
      </c>
      <c r="Q670" t="inlineStr">
        <is>
          <t>Sage yearbooks in women's policy studies ; v. 10</t>
        </is>
      </c>
      <c r="R670" t="inlineStr">
        <is>
          <t xml:space="preserve">GN </t>
        </is>
      </c>
      <c r="S670" t="n">
        <v>3</v>
      </c>
      <c r="T670" t="n">
        <v>3</v>
      </c>
      <c r="U670" t="inlineStr">
        <is>
          <t>2002-12-05</t>
        </is>
      </c>
      <c r="V670" t="inlineStr">
        <is>
          <t>2002-12-05</t>
        </is>
      </c>
      <c r="W670" t="inlineStr">
        <is>
          <t>1990-09-24</t>
        </is>
      </c>
      <c r="X670" t="inlineStr">
        <is>
          <t>1990-09-24</t>
        </is>
      </c>
      <c r="Y670" t="n">
        <v>467</v>
      </c>
      <c r="Z670" t="n">
        <v>372</v>
      </c>
      <c r="AA670" t="n">
        <v>374</v>
      </c>
      <c r="AB670" t="n">
        <v>3</v>
      </c>
      <c r="AC670" t="n">
        <v>3</v>
      </c>
      <c r="AD670" t="n">
        <v>11</v>
      </c>
      <c r="AE670" t="n">
        <v>11</v>
      </c>
      <c r="AF670" t="n">
        <v>3</v>
      </c>
      <c r="AG670" t="n">
        <v>3</v>
      </c>
      <c r="AH670" t="n">
        <v>3</v>
      </c>
      <c r="AI670" t="n">
        <v>3</v>
      </c>
      <c r="AJ670" t="n">
        <v>7</v>
      </c>
      <c r="AK670" t="n">
        <v>7</v>
      </c>
      <c r="AL670" t="n">
        <v>2</v>
      </c>
      <c r="AM670" t="n">
        <v>2</v>
      </c>
      <c r="AN670" t="n">
        <v>0</v>
      </c>
      <c r="AO670" t="n">
        <v>0</v>
      </c>
      <c r="AP670" t="inlineStr">
        <is>
          <t>No</t>
        </is>
      </c>
      <c r="AQ670" t="inlineStr">
        <is>
          <t>Yes</t>
        </is>
      </c>
      <c r="AR670">
        <f>HYPERLINK("http://catalog.hathitrust.org/Record/000653722","HathiTrust Record")</f>
        <v/>
      </c>
      <c r="AS670">
        <f>HYPERLINK("https://creighton-primo.hosted.exlibrisgroup.com/primo-explore/search?tab=default_tab&amp;search_scope=EVERYTHING&amp;vid=01CRU&amp;lang=en_US&amp;offset=0&amp;query=any,contains,991000583999702656","Catalog Record")</f>
        <v/>
      </c>
      <c r="AT670">
        <f>HYPERLINK("http://www.worldcat.org/oclc/11755565","WorldCat Record")</f>
        <v/>
      </c>
      <c r="AU670" t="inlineStr">
        <is>
          <t>54694878:eng</t>
        </is>
      </c>
      <c r="AV670" t="inlineStr">
        <is>
          <t>11755565</t>
        </is>
      </c>
      <c r="AW670" t="inlineStr">
        <is>
          <t>991000583999702656</t>
        </is>
      </c>
      <c r="AX670" t="inlineStr">
        <is>
          <t>991000583999702656</t>
        </is>
      </c>
      <c r="AY670" t="inlineStr">
        <is>
          <t>2270600080002656</t>
        </is>
      </c>
      <c r="AZ670" t="inlineStr">
        <is>
          <t>BOOK</t>
        </is>
      </c>
      <c r="BB670" t="inlineStr">
        <is>
          <t>9780803924536</t>
        </is>
      </c>
      <c r="BC670" t="inlineStr">
        <is>
          <t>32285000316140</t>
        </is>
      </c>
      <c r="BD670" t="inlineStr">
        <is>
          <t>893327412</t>
        </is>
      </c>
    </row>
    <row r="671">
      <c r="A671" t="inlineStr">
        <is>
          <t>No</t>
        </is>
      </c>
      <c r="B671" t="inlineStr">
        <is>
          <t>GN366 .A27 2003</t>
        </is>
      </c>
      <c r="C671" t="inlineStr">
        <is>
          <t>0                      GN 0366000A  27          2003</t>
        </is>
      </c>
      <c r="D671" t="inlineStr">
        <is>
          <t>Acculturation : advances in theory, measurement, and applied research / edited by Kevin M. Chun, Pamela Balls Organista, and Gerardo Marín.</t>
        </is>
      </c>
      <c r="F671" t="inlineStr">
        <is>
          <t>No</t>
        </is>
      </c>
      <c r="G671" t="inlineStr">
        <is>
          <t>1</t>
        </is>
      </c>
      <c r="H671" t="inlineStr">
        <is>
          <t>No</t>
        </is>
      </c>
      <c r="I671" t="inlineStr">
        <is>
          <t>No</t>
        </is>
      </c>
      <c r="J671" t="inlineStr">
        <is>
          <t>0</t>
        </is>
      </c>
      <c r="L671" t="inlineStr">
        <is>
          <t>Washington, DC : American Psychological Association, c2003.</t>
        </is>
      </c>
      <c r="M671" t="inlineStr">
        <is>
          <t>2003</t>
        </is>
      </c>
      <c r="N671" t="inlineStr">
        <is>
          <t>1st ed.</t>
        </is>
      </c>
      <c r="O671" t="inlineStr">
        <is>
          <t>eng</t>
        </is>
      </c>
      <c r="P671" t="inlineStr">
        <is>
          <t>dcu</t>
        </is>
      </c>
      <c r="Q671" t="inlineStr">
        <is>
          <t>Decade of behavior</t>
        </is>
      </c>
      <c r="R671" t="inlineStr">
        <is>
          <t xml:space="preserve">GN </t>
        </is>
      </c>
      <c r="S671" t="n">
        <v>1</v>
      </c>
      <c r="T671" t="n">
        <v>1</v>
      </c>
      <c r="U671" t="inlineStr">
        <is>
          <t>2003-02-11</t>
        </is>
      </c>
      <c r="V671" t="inlineStr">
        <is>
          <t>2003-02-11</t>
        </is>
      </c>
      <c r="W671" t="inlineStr">
        <is>
          <t>2003-02-11</t>
        </is>
      </c>
      <c r="X671" t="inlineStr">
        <is>
          <t>2003-02-11</t>
        </is>
      </c>
      <c r="Y671" t="n">
        <v>642</v>
      </c>
      <c r="Z671" t="n">
        <v>553</v>
      </c>
      <c r="AA671" t="n">
        <v>609</v>
      </c>
      <c r="AB671" t="n">
        <v>6</v>
      </c>
      <c r="AC671" t="n">
        <v>6</v>
      </c>
      <c r="AD671" t="n">
        <v>30</v>
      </c>
      <c r="AE671" t="n">
        <v>33</v>
      </c>
      <c r="AF671" t="n">
        <v>11</v>
      </c>
      <c r="AG671" t="n">
        <v>14</v>
      </c>
      <c r="AH671" t="n">
        <v>5</v>
      </c>
      <c r="AI671" t="n">
        <v>5</v>
      </c>
      <c r="AJ671" t="n">
        <v>14</v>
      </c>
      <c r="AK671" t="n">
        <v>15</v>
      </c>
      <c r="AL671" t="n">
        <v>5</v>
      </c>
      <c r="AM671" t="n">
        <v>5</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HYPERLINK("https://creighton-primo.hosted.exlibrisgroup.com/primo-explore/search?tab=default_tab&amp;search_scope=EVERYTHING&amp;vid=01CRU&amp;lang=en_US&amp;offset=0&amp;query=any,contains,991003979739702656","Catalog Record")</f>
        <v/>
      </c>
      <c r="AT671">
        <f>HYPERLINK("http://www.worldcat.org/oclc/49320434","WorldCat Record")</f>
        <v/>
      </c>
      <c r="AU671" t="inlineStr">
        <is>
          <t>901750256:eng</t>
        </is>
      </c>
      <c r="AV671" t="inlineStr">
        <is>
          <t>49320434</t>
        </is>
      </c>
      <c r="AW671" t="inlineStr">
        <is>
          <t>991003979739702656</t>
        </is>
      </c>
      <c r="AX671" t="inlineStr">
        <is>
          <t>991003979739702656</t>
        </is>
      </c>
      <c r="AY671" t="inlineStr">
        <is>
          <t>2257832760002656</t>
        </is>
      </c>
      <c r="AZ671" t="inlineStr">
        <is>
          <t>BOOK</t>
        </is>
      </c>
      <c r="BB671" t="inlineStr">
        <is>
          <t>9781557989208</t>
        </is>
      </c>
      <c r="BC671" t="inlineStr">
        <is>
          <t>32285004698204</t>
        </is>
      </c>
      <c r="BD671" t="inlineStr">
        <is>
          <t>893888181</t>
        </is>
      </c>
    </row>
    <row r="672">
      <c r="A672" t="inlineStr">
        <is>
          <t>No</t>
        </is>
      </c>
      <c r="B672" t="inlineStr">
        <is>
          <t>GN37.M4 N3</t>
        </is>
      </c>
      <c r="C672" t="inlineStr">
        <is>
          <t>0                      GN 0037000M  4                  N  3</t>
        </is>
      </c>
      <c r="D672" t="inlineStr">
        <is>
          <t>National Museum of Anthropology, Mexico City. [Texts by Carlo Ludovico Ragghianti and Licia Ragghianti Collobi]</t>
        </is>
      </c>
      <c r="F672" t="inlineStr">
        <is>
          <t>No</t>
        </is>
      </c>
      <c r="G672" t="inlineStr">
        <is>
          <t>1</t>
        </is>
      </c>
      <c r="H672" t="inlineStr">
        <is>
          <t>No</t>
        </is>
      </c>
      <c r="I672" t="inlineStr">
        <is>
          <t>No</t>
        </is>
      </c>
      <c r="J672" t="inlineStr">
        <is>
          <t>0</t>
        </is>
      </c>
      <c r="L672" t="inlineStr">
        <is>
          <t>New York, Newsweek [1970]</t>
        </is>
      </c>
      <c r="M672" t="inlineStr">
        <is>
          <t>1970</t>
        </is>
      </c>
      <c r="O672" t="inlineStr">
        <is>
          <t>eng</t>
        </is>
      </c>
      <c r="P672" t="inlineStr">
        <is>
          <t>nyu</t>
        </is>
      </c>
      <c r="Q672" t="inlineStr">
        <is>
          <t>Great museums of the world</t>
        </is>
      </c>
      <c r="R672" t="inlineStr">
        <is>
          <t xml:space="preserve">GN </t>
        </is>
      </c>
      <c r="S672" t="n">
        <v>1</v>
      </c>
      <c r="T672" t="n">
        <v>1</v>
      </c>
      <c r="U672" t="inlineStr">
        <is>
          <t>2002-02-28</t>
        </is>
      </c>
      <c r="V672" t="inlineStr">
        <is>
          <t>2002-02-28</t>
        </is>
      </c>
      <c r="W672" t="inlineStr">
        <is>
          <t>1997-05-28</t>
        </is>
      </c>
      <c r="X672" t="inlineStr">
        <is>
          <t>1997-05-28</t>
        </is>
      </c>
      <c r="Y672" t="n">
        <v>1396</v>
      </c>
      <c r="Z672" t="n">
        <v>1338</v>
      </c>
      <c r="AA672" t="n">
        <v>1345</v>
      </c>
      <c r="AB672" t="n">
        <v>8</v>
      </c>
      <c r="AC672" t="n">
        <v>8</v>
      </c>
      <c r="AD672" t="n">
        <v>34</v>
      </c>
      <c r="AE672" t="n">
        <v>34</v>
      </c>
      <c r="AF672" t="n">
        <v>14</v>
      </c>
      <c r="AG672" t="n">
        <v>14</v>
      </c>
      <c r="AH672" t="n">
        <v>8</v>
      </c>
      <c r="AI672" t="n">
        <v>8</v>
      </c>
      <c r="AJ672" t="n">
        <v>16</v>
      </c>
      <c r="AK672" t="n">
        <v>16</v>
      </c>
      <c r="AL672" t="n">
        <v>4</v>
      </c>
      <c r="AM672" t="n">
        <v>4</v>
      </c>
      <c r="AN672" t="n">
        <v>0</v>
      </c>
      <c r="AO672" t="n">
        <v>0</v>
      </c>
      <c r="AP672" t="inlineStr">
        <is>
          <t>No</t>
        </is>
      </c>
      <c r="AQ672" t="inlineStr">
        <is>
          <t>Yes</t>
        </is>
      </c>
      <c r="AR672">
        <f>HYPERLINK("http://catalog.hathitrust.org/Record/001274205","HathiTrust Record")</f>
        <v/>
      </c>
      <c r="AS672">
        <f>HYPERLINK("https://creighton-primo.hosted.exlibrisgroup.com/primo-explore/search?tab=default_tab&amp;search_scope=EVERYTHING&amp;vid=01CRU&amp;lang=en_US&amp;offset=0&amp;query=any,contains,991000566079702656","Catalog Record")</f>
        <v/>
      </c>
      <c r="AT672">
        <f>HYPERLINK("http://www.worldcat.org/oclc/94242","WorldCat Record")</f>
        <v/>
      </c>
      <c r="AU672" t="inlineStr">
        <is>
          <t>350161554:eng</t>
        </is>
      </c>
      <c r="AV672" t="inlineStr">
        <is>
          <t>94242</t>
        </is>
      </c>
      <c r="AW672" t="inlineStr">
        <is>
          <t>991000566079702656</t>
        </is>
      </c>
      <c r="AX672" t="inlineStr">
        <is>
          <t>991000566079702656</t>
        </is>
      </c>
      <c r="AY672" t="inlineStr">
        <is>
          <t>2266127780002656</t>
        </is>
      </c>
      <c r="AZ672" t="inlineStr">
        <is>
          <t>BOOK</t>
        </is>
      </c>
      <c r="BC672" t="inlineStr">
        <is>
          <t>32285002694684</t>
        </is>
      </c>
      <c r="BD672" t="inlineStr">
        <is>
          <t>893683542</t>
        </is>
      </c>
    </row>
    <row r="673">
      <c r="A673" t="inlineStr">
        <is>
          <t>No</t>
        </is>
      </c>
      <c r="B673" t="inlineStr">
        <is>
          <t>GN372 .G47 1998</t>
        </is>
      </c>
      <c r="C673" t="inlineStr">
        <is>
          <t>0                      GN 0372000G  47          1998</t>
        </is>
      </c>
      <c r="D673" t="inlineStr">
        <is>
          <t>The wild boy / Mordicai Gerstein.</t>
        </is>
      </c>
      <c r="F673" t="inlineStr">
        <is>
          <t>No</t>
        </is>
      </c>
      <c r="G673" t="inlineStr">
        <is>
          <t>1</t>
        </is>
      </c>
      <c r="H673" t="inlineStr">
        <is>
          <t>No</t>
        </is>
      </c>
      <c r="I673" t="inlineStr">
        <is>
          <t>No</t>
        </is>
      </c>
      <c r="J673" t="inlineStr">
        <is>
          <t>0</t>
        </is>
      </c>
      <c r="K673" t="inlineStr">
        <is>
          <t>Gerstein, Mordicai.</t>
        </is>
      </c>
      <c r="L673" t="inlineStr">
        <is>
          <t>New York : Farrar, Straus and Giroux, 1998.</t>
        </is>
      </c>
      <c r="M673" t="inlineStr">
        <is>
          <t>1998</t>
        </is>
      </c>
      <c r="N673" t="inlineStr">
        <is>
          <t>1st ed.</t>
        </is>
      </c>
      <c r="O673" t="inlineStr">
        <is>
          <t>eng</t>
        </is>
      </c>
      <c r="P673" t="inlineStr">
        <is>
          <t>nyu</t>
        </is>
      </c>
      <c r="R673" t="inlineStr">
        <is>
          <t xml:space="preserve">GN </t>
        </is>
      </c>
      <c r="S673" t="n">
        <v>1</v>
      </c>
      <c r="T673" t="n">
        <v>1</v>
      </c>
      <c r="U673" t="inlineStr">
        <is>
          <t>2008-04-04</t>
        </is>
      </c>
      <c r="V673" t="inlineStr">
        <is>
          <t>2008-04-04</t>
        </is>
      </c>
      <c r="W673" t="inlineStr">
        <is>
          <t>1999-01-25</t>
        </is>
      </c>
      <c r="X673" t="inlineStr">
        <is>
          <t>1999-01-25</t>
        </is>
      </c>
      <c r="Y673" t="n">
        <v>1039</v>
      </c>
      <c r="Z673" t="n">
        <v>1007</v>
      </c>
      <c r="AA673" t="n">
        <v>1063</v>
      </c>
      <c r="AB673" t="n">
        <v>11</v>
      </c>
      <c r="AC673" t="n">
        <v>11</v>
      </c>
      <c r="AD673" t="n">
        <v>15</v>
      </c>
      <c r="AE673" t="n">
        <v>15</v>
      </c>
      <c r="AF673" t="n">
        <v>3</v>
      </c>
      <c r="AG673" t="n">
        <v>3</v>
      </c>
      <c r="AH673" t="n">
        <v>3</v>
      </c>
      <c r="AI673" t="n">
        <v>3</v>
      </c>
      <c r="AJ673" t="n">
        <v>6</v>
      </c>
      <c r="AK673" t="n">
        <v>6</v>
      </c>
      <c r="AL673" t="n">
        <v>5</v>
      </c>
      <c r="AM673" t="n">
        <v>5</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HYPERLINK("https://creighton-primo.hosted.exlibrisgroup.com/primo-explore/search?tab=default_tab&amp;search_scope=EVERYTHING&amp;vid=01CRU&amp;lang=en_US&amp;offset=0&amp;query=any,contains,991004638379702656","Catalog Record")</f>
        <v/>
      </c>
      <c r="AT673">
        <f>HYPERLINK("http://www.worldcat.org/oclc/37640487","WorldCat Record")</f>
        <v/>
      </c>
      <c r="AU673" t="inlineStr">
        <is>
          <t>533083:eng</t>
        </is>
      </c>
      <c r="AV673" t="inlineStr">
        <is>
          <t>37640487</t>
        </is>
      </c>
      <c r="AW673" t="inlineStr">
        <is>
          <t>991004638379702656</t>
        </is>
      </c>
      <c r="AX673" t="inlineStr">
        <is>
          <t>991004638379702656</t>
        </is>
      </c>
      <c r="AY673" t="inlineStr">
        <is>
          <t>2269090590002656</t>
        </is>
      </c>
      <c r="AZ673" t="inlineStr">
        <is>
          <t>BOOK</t>
        </is>
      </c>
      <c r="BB673" t="inlineStr">
        <is>
          <t>9780374384319</t>
        </is>
      </c>
      <c r="BC673" t="inlineStr">
        <is>
          <t>32285003516035</t>
        </is>
      </c>
      <c r="BD673" t="inlineStr">
        <is>
          <t>893221013</t>
        </is>
      </c>
    </row>
    <row r="674">
      <c r="A674" t="inlineStr">
        <is>
          <t>No</t>
        </is>
      </c>
      <c r="B674" t="inlineStr">
        <is>
          <t>GN372 .L36</t>
        </is>
      </c>
      <c r="C674" t="inlineStr">
        <is>
          <t>0                      GN 0372000L  36</t>
        </is>
      </c>
      <c r="D674" t="inlineStr">
        <is>
          <t>The Wild Boy of Aveyron / Harlan Lane.</t>
        </is>
      </c>
      <c r="F674" t="inlineStr">
        <is>
          <t>No</t>
        </is>
      </c>
      <c r="G674" t="inlineStr">
        <is>
          <t>1</t>
        </is>
      </c>
      <c r="H674" t="inlineStr">
        <is>
          <t>No</t>
        </is>
      </c>
      <c r="I674" t="inlineStr">
        <is>
          <t>No</t>
        </is>
      </c>
      <c r="J674" t="inlineStr">
        <is>
          <t>0</t>
        </is>
      </c>
      <c r="K674" t="inlineStr">
        <is>
          <t>Lane, Harlan, 1936-</t>
        </is>
      </c>
      <c r="L674" t="inlineStr">
        <is>
          <t>Cambridge : Harvard University Press, 1976.</t>
        </is>
      </c>
      <c r="M674" t="inlineStr">
        <is>
          <t>1976</t>
        </is>
      </c>
      <c r="O674" t="inlineStr">
        <is>
          <t>eng</t>
        </is>
      </c>
      <c r="P674" t="inlineStr">
        <is>
          <t>mau</t>
        </is>
      </c>
      <c r="R674" t="inlineStr">
        <is>
          <t xml:space="preserve">GN </t>
        </is>
      </c>
      <c r="S674" t="n">
        <v>1</v>
      </c>
      <c r="T674" t="n">
        <v>1</v>
      </c>
      <c r="U674" t="inlineStr">
        <is>
          <t>2003-07-11</t>
        </is>
      </c>
      <c r="V674" t="inlineStr">
        <is>
          <t>2003-07-11</t>
        </is>
      </c>
      <c r="W674" t="inlineStr">
        <is>
          <t>1993-07-27</t>
        </is>
      </c>
      <c r="X674" t="inlineStr">
        <is>
          <t>1993-07-27</t>
        </is>
      </c>
      <c r="Y674" t="n">
        <v>1406</v>
      </c>
      <c r="Z674" t="n">
        <v>1280</v>
      </c>
      <c r="AA674" t="n">
        <v>1319</v>
      </c>
      <c r="AB674" t="n">
        <v>11</v>
      </c>
      <c r="AC674" t="n">
        <v>11</v>
      </c>
      <c r="AD674" t="n">
        <v>48</v>
      </c>
      <c r="AE674" t="n">
        <v>51</v>
      </c>
      <c r="AF674" t="n">
        <v>19</v>
      </c>
      <c r="AG674" t="n">
        <v>21</v>
      </c>
      <c r="AH674" t="n">
        <v>9</v>
      </c>
      <c r="AI674" t="n">
        <v>9</v>
      </c>
      <c r="AJ674" t="n">
        <v>20</v>
      </c>
      <c r="AK674" t="n">
        <v>22</v>
      </c>
      <c r="AL674" t="n">
        <v>9</v>
      </c>
      <c r="AM674" t="n">
        <v>9</v>
      </c>
      <c r="AN674" t="n">
        <v>1</v>
      </c>
      <c r="AO674" t="n">
        <v>1</v>
      </c>
      <c r="AP674" t="inlineStr">
        <is>
          <t>No</t>
        </is>
      </c>
      <c r="AQ674" t="inlineStr">
        <is>
          <t>Yes</t>
        </is>
      </c>
      <c r="AR674">
        <f>HYPERLINK("http://catalog.hathitrust.org/Record/000703757","HathiTrust Record")</f>
        <v/>
      </c>
      <c r="AS674">
        <f>HYPERLINK("https://creighton-primo.hosted.exlibrisgroup.com/primo-explore/search?tab=default_tab&amp;search_scope=EVERYTHING&amp;vid=01CRU&amp;lang=en_US&amp;offset=0&amp;query=any,contains,991003899589702656","Catalog Record")</f>
        <v/>
      </c>
      <c r="AT674">
        <f>HYPERLINK("http://www.worldcat.org/oclc/1818527","WorldCat Record")</f>
        <v/>
      </c>
      <c r="AU674" t="inlineStr">
        <is>
          <t>430856:eng</t>
        </is>
      </c>
      <c r="AV674" t="inlineStr">
        <is>
          <t>1818527</t>
        </is>
      </c>
      <c r="AW674" t="inlineStr">
        <is>
          <t>991003899589702656</t>
        </is>
      </c>
      <c r="AX674" t="inlineStr">
        <is>
          <t>991003899589702656</t>
        </is>
      </c>
      <c r="AY674" t="inlineStr">
        <is>
          <t>2271311350002656</t>
        </is>
      </c>
      <c r="AZ674" t="inlineStr">
        <is>
          <t>BOOK</t>
        </is>
      </c>
      <c r="BB674" t="inlineStr">
        <is>
          <t>9780674952829</t>
        </is>
      </c>
      <c r="BC674" t="inlineStr">
        <is>
          <t>32285001746584</t>
        </is>
      </c>
      <c r="BD674" t="inlineStr">
        <is>
          <t>893881800</t>
        </is>
      </c>
    </row>
    <row r="675">
      <c r="A675" t="inlineStr">
        <is>
          <t>No</t>
        </is>
      </c>
      <c r="B675" t="inlineStr">
        <is>
          <t>GN372 .M32 1979</t>
        </is>
      </c>
      <c r="C675" t="inlineStr">
        <is>
          <t>0                      GN 0372000M  32          1979</t>
        </is>
      </c>
      <c r="D675" t="inlineStr">
        <is>
          <t>The wolf children / Charles Maclean.</t>
        </is>
      </c>
      <c r="F675" t="inlineStr">
        <is>
          <t>No</t>
        </is>
      </c>
      <c r="G675" t="inlineStr">
        <is>
          <t>1</t>
        </is>
      </c>
      <c r="H675" t="inlineStr">
        <is>
          <t>No</t>
        </is>
      </c>
      <c r="I675" t="inlineStr">
        <is>
          <t>No</t>
        </is>
      </c>
      <c r="J675" t="inlineStr">
        <is>
          <t>0</t>
        </is>
      </c>
      <c r="K675" t="inlineStr">
        <is>
          <t>Maclean, Charles.</t>
        </is>
      </c>
      <c r="L675" t="inlineStr">
        <is>
          <t>Harmondsworth, Eng. ; New York : Penguin Books, 1979, c1977.</t>
        </is>
      </c>
      <c r="M675" t="inlineStr">
        <is>
          <t>1979</t>
        </is>
      </c>
      <c r="O675" t="inlineStr">
        <is>
          <t>eng</t>
        </is>
      </c>
      <c r="P675" t="inlineStr">
        <is>
          <t>enk</t>
        </is>
      </c>
      <c r="R675" t="inlineStr">
        <is>
          <t xml:space="preserve">GN </t>
        </is>
      </c>
      <c r="S675" t="n">
        <v>6</v>
      </c>
      <c r="T675" t="n">
        <v>6</v>
      </c>
      <c r="U675" t="inlineStr">
        <is>
          <t>2008-08-30</t>
        </is>
      </c>
      <c r="V675" t="inlineStr">
        <is>
          <t>2008-08-30</t>
        </is>
      </c>
      <c r="W675" t="inlineStr">
        <is>
          <t>1990-09-24</t>
        </is>
      </c>
      <c r="X675" t="inlineStr">
        <is>
          <t>1990-09-24</t>
        </is>
      </c>
      <c r="Y675" t="n">
        <v>60</v>
      </c>
      <c r="Z675" t="n">
        <v>32</v>
      </c>
      <c r="AA675" t="n">
        <v>486</v>
      </c>
      <c r="AB675" t="n">
        <v>1</v>
      </c>
      <c r="AC675" t="n">
        <v>4</v>
      </c>
      <c r="AD675" t="n">
        <v>0</v>
      </c>
      <c r="AE675" t="n">
        <v>6</v>
      </c>
      <c r="AF675" t="n">
        <v>0</v>
      </c>
      <c r="AG675" t="n">
        <v>2</v>
      </c>
      <c r="AH675" t="n">
        <v>0</v>
      </c>
      <c r="AI675" t="n">
        <v>1</v>
      </c>
      <c r="AJ675" t="n">
        <v>0</v>
      </c>
      <c r="AK675" t="n">
        <v>1</v>
      </c>
      <c r="AL675" t="n">
        <v>0</v>
      </c>
      <c r="AM675" t="n">
        <v>2</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HYPERLINK("https://creighton-primo.hosted.exlibrisgroup.com/primo-explore/search?tab=default_tab&amp;search_scope=EVERYTHING&amp;vid=01CRU&amp;lang=en_US&amp;offset=0&amp;query=any,contains,991004945839702656","Catalog Record")</f>
        <v/>
      </c>
      <c r="AT675">
        <f>HYPERLINK("http://www.worldcat.org/oclc/6209035","WorldCat Record")</f>
        <v/>
      </c>
      <c r="AU675" t="inlineStr">
        <is>
          <t>412802:eng</t>
        </is>
      </c>
      <c r="AV675" t="inlineStr">
        <is>
          <t>6209035</t>
        </is>
      </c>
      <c r="AW675" t="inlineStr">
        <is>
          <t>991004945839702656</t>
        </is>
      </c>
      <c r="AX675" t="inlineStr">
        <is>
          <t>991004945839702656</t>
        </is>
      </c>
      <c r="AY675" t="inlineStr">
        <is>
          <t>2259511440002656</t>
        </is>
      </c>
      <c r="AZ675" t="inlineStr">
        <is>
          <t>BOOK</t>
        </is>
      </c>
      <c r="BB675" t="inlineStr">
        <is>
          <t>9780140050530</t>
        </is>
      </c>
      <c r="BC675" t="inlineStr">
        <is>
          <t>32285000316157</t>
        </is>
      </c>
      <c r="BD675" t="inlineStr">
        <is>
          <t>893230031</t>
        </is>
      </c>
    </row>
    <row r="676">
      <c r="A676" t="inlineStr">
        <is>
          <t>No</t>
        </is>
      </c>
      <c r="B676" t="inlineStr">
        <is>
          <t>GN380 .K55 2003</t>
        </is>
      </c>
      <c r="C676" t="inlineStr">
        <is>
          <t>0                      GN 0380000K  55          2003</t>
        </is>
      </c>
      <c r="D676" t="inlineStr">
        <is>
          <t>Traditional cultures : a survey of nonwestern experience and achievement / Glenn E. King.</t>
        </is>
      </c>
      <c r="F676" t="inlineStr">
        <is>
          <t>No</t>
        </is>
      </c>
      <c r="G676" t="inlineStr">
        <is>
          <t>1</t>
        </is>
      </c>
      <c r="H676" t="inlineStr">
        <is>
          <t>No</t>
        </is>
      </c>
      <c r="I676" t="inlineStr">
        <is>
          <t>No</t>
        </is>
      </c>
      <c r="J676" t="inlineStr">
        <is>
          <t>0</t>
        </is>
      </c>
      <c r="K676" t="inlineStr">
        <is>
          <t>King, Glenn E.</t>
        </is>
      </c>
      <c r="L676" t="inlineStr">
        <is>
          <t>Prospect Heights, Ill. : Waveland Press, c2003.</t>
        </is>
      </c>
      <c r="M676" t="inlineStr">
        <is>
          <t>2003</t>
        </is>
      </c>
      <c r="O676" t="inlineStr">
        <is>
          <t>eng</t>
        </is>
      </c>
      <c r="P676" t="inlineStr">
        <is>
          <t>ilu</t>
        </is>
      </c>
      <c r="R676" t="inlineStr">
        <is>
          <t xml:space="preserve">GN </t>
        </is>
      </c>
      <c r="S676" t="n">
        <v>1</v>
      </c>
      <c r="T676" t="n">
        <v>1</v>
      </c>
      <c r="U676" t="inlineStr">
        <is>
          <t>2009-06-25</t>
        </is>
      </c>
      <c r="V676" t="inlineStr">
        <is>
          <t>2009-06-25</t>
        </is>
      </c>
      <c r="W676" t="inlineStr">
        <is>
          <t>2009-06-25</t>
        </is>
      </c>
      <c r="X676" t="inlineStr">
        <is>
          <t>2009-06-25</t>
        </is>
      </c>
      <c r="Y676" t="n">
        <v>124</v>
      </c>
      <c r="Z676" t="n">
        <v>104</v>
      </c>
      <c r="AA676" t="n">
        <v>105</v>
      </c>
      <c r="AB676" t="n">
        <v>2</v>
      </c>
      <c r="AC676" t="n">
        <v>2</v>
      </c>
      <c r="AD676" t="n">
        <v>4</v>
      </c>
      <c r="AE676" t="n">
        <v>4</v>
      </c>
      <c r="AF676" t="n">
        <v>1</v>
      </c>
      <c r="AG676" t="n">
        <v>1</v>
      </c>
      <c r="AH676" t="n">
        <v>1</v>
      </c>
      <c r="AI676" t="n">
        <v>1</v>
      </c>
      <c r="AJ676" t="n">
        <v>1</v>
      </c>
      <c r="AK676" t="n">
        <v>1</v>
      </c>
      <c r="AL676" t="n">
        <v>1</v>
      </c>
      <c r="AM676" t="n">
        <v>1</v>
      </c>
      <c r="AN676" t="n">
        <v>0</v>
      </c>
      <c r="AO676" t="n">
        <v>0</v>
      </c>
      <c r="AP676" t="inlineStr">
        <is>
          <t>No</t>
        </is>
      </c>
      <c r="AQ676" t="inlineStr">
        <is>
          <t>Yes</t>
        </is>
      </c>
      <c r="AR676">
        <f>HYPERLINK("http://catalog.hathitrust.org/Record/007142727","HathiTrust Record")</f>
        <v/>
      </c>
      <c r="AS676">
        <f>HYPERLINK("https://creighton-primo.hosted.exlibrisgroup.com/primo-explore/search?tab=default_tab&amp;search_scope=EVERYTHING&amp;vid=01CRU&amp;lang=en_US&amp;offset=0&amp;query=any,contains,991005323159702656","Catalog Record")</f>
        <v/>
      </c>
      <c r="AT676">
        <f>HYPERLINK("http://www.worldcat.org/oclc/51546924","WorldCat Record")</f>
        <v/>
      </c>
      <c r="AU676" t="inlineStr">
        <is>
          <t>944356:eng</t>
        </is>
      </c>
      <c r="AV676" t="inlineStr">
        <is>
          <t>51546924</t>
        </is>
      </c>
      <c r="AW676" t="inlineStr">
        <is>
          <t>991005323159702656</t>
        </is>
      </c>
      <c r="AX676" t="inlineStr">
        <is>
          <t>991005323159702656</t>
        </is>
      </c>
      <c r="AY676" t="inlineStr">
        <is>
          <t>2266596580002656</t>
        </is>
      </c>
      <c r="AZ676" t="inlineStr">
        <is>
          <t>BOOK</t>
        </is>
      </c>
      <c r="BB676" t="inlineStr">
        <is>
          <t>9781577662037</t>
        </is>
      </c>
      <c r="BC676" t="inlineStr">
        <is>
          <t>32285005536528</t>
        </is>
      </c>
      <c r="BD676" t="inlineStr">
        <is>
          <t>893688949</t>
        </is>
      </c>
    </row>
    <row r="677">
      <c r="A677" t="inlineStr">
        <is>
          <t>No</t>
        </is>
      </c>
      <c r="B677" t="inlineStr">
        <is>
          <t>GN380 .W55 1993</t>
        </is>
      </c>
      <c r="C677" t="inlineStr">
        <is>
          <t>0                      GN 0380000W  55          1993</t>
        </is>
      </c>
      <c r="D677" t="inlineStr">
        <is>
          <t>The indigenous voice in world politics : since time immemorial / Franke Wilmer.</t>
        </is>
      </c>
      <c r="F677" t="inlineStr">
        <is>
          <t>No</t>
        </is>
      </c>
      <c r="G677" t="inlineStr">
        <is>
          <t>1</t>
        </is>
      </c>
      <c r="H677" t="inlineStr">
        <is>
          <t>No</t>
        </is>
      </c>
      <c r="I677" t="inlineStr">
        <is>
          <t>No</t>
        </is>
      </c>
      <c r="J677" t="inlineStr">
        <is>
          <t>0</t>
        </is>
      </c>
      <c r="K677" t="inlineStr">
        <is>
          <t>Wilmer, Franke.</t>
        </is>
      </c>
      <c r="L677" t="inlineStr">
        <is>
          <t>Newbury Park, Calif. : Sage, c1993</t>
        </is>
      </c>
      <c r="M677" t="inlineStr">
        <is>
          <t>1993</t>
        </is>
      </c>
      <c r="O677" t="inlineStr">
        <is>
          <t>eng</t>
        </is>
      </c>
      <c r="P677" t="inlineStr">
        <is>
          <t>cau</t>
        </is>
      </c>
      <c r="Q677" t="inlineStr">
        <is>
          <t>Violence, cooperation, peace ; 7</t>
        </is>
      </c>
      <c r="R677" t="inlineStr">
        <is>
          <t xml:space="preserve">GN </t>
        </is>
      </c>
      <c r="S677" t="n">
        <v>2</v>
      </c>
      <c r="T677" t="n">
        <v>2</v>
      </c>
      <c r="U677" t="inlineStr">
        <is>
          <t>1998-12-06</t>
        </is>
      </c>
      <c r="V677" t="inlineStr">
        <is>
          <t>1998-12-06</t>
        </is>
      </c>
      <c r="W677" t="inlineStr">
        <is>
          <t>1993-11-02</t>
        </is>
      </c>
      <c r="X677" t="inlineStr">
        <is>
          <t>1993-11-02</t>
        </is>
      </c>
      <c r="Y677" t="n">
        <v>437</v>
      </c>
      <c r="Z677" t="n">
        <v>314</v>
      </c>
      <c r="AA677" t="n">
        <v>379</v>
      </c>
      <c r="AB677" t="n">
        <v>3</v>
      </c>
      <c r="AC677" t="n">
        <v>3</v>
      </c>
      <c r="AD677" t="n">
        <v>12</v>
      </c>
      <c r="AE677" t="n">
        <v>16</v>
      </c>
      <c r="AF677" t="n">
        <v>2</v>
      </c>
      <c r="AG677" t="n">
        <v>4</v>
      </c>
      <c r="AH677" t="n">
        <v>4</v>
      </c>
      <c r="AI677" t="n">
        <v>6</v>
      </c>
      <c r="AJ677" t="n">
        <v>7</v>
      </c>
      <c r="AK677" t="n">
        <v>8</v>
      </c>
      <c r="AL677" t="n">
        <v>2</v>
      </c>
      <c r="AM677" t="n">
        <v>2</v>
      </c>
      <c r="AN677" t="n">
        <v>0</v>
      </c>
      <c r="AO677" t="n">
        <v>0</v>
      </c>
      <c r="AP677" t="inlineStr">
        <is>
          <t>No</t>
        </is>
      </c>
      <c r="AQ677" t="inlineStr">
        <is>
          <t>Yes</t>
        </is>
      </c>
      <c r="AR677">
        <f>HYPERLINK("http://catalog.hathitrust.org/Record/002730563","HathiTrust Record")</f>
        <v/>
      </c>
      <c r="AS677">
        <f>HYPERLINK("https://creighton-primo.hosted.exlibrisgroup.com/primo-explore/search?tab=default_tab&amp;search_scope=EVERYTHING&amp;vid=01CRU&amp;lang=en_US&amp;offset=0&amp;query=any,contains,991002214109702656","Catalog Record")</f>
        <v/>
      </c>
      <c r="AT677">
        <f>HYPERLINK("http://www.worldcat.org/oclc/28505885","WorldCat Record")</f>
        <v/>
      </c>
      <c r="AU677" t="inlineStr">
        <is>
          <t>9094404851:eng</t>
        </is>
      </c>
      <c r="AV677" t="inlineStr">
        <is>
          <t>28505885</t>
        </is>
      </c>
      <c r="AW677" t="inlineStr">
        <is>
          <t>991002214109702656</t>
        </is>
      </c>
      <c r="AX677" t="inlineStr">
        <is>
          <t>991002214109702656</t>
        </is>
      </c>
      <c r="AY677" t="inlineStr">
        <is>
          <t>2271483020002656</t>
        </is>
      </c>
      <c r="AZ677" t="inlineStr">
        <is>
          <t>BOOK</t>
        </is>
      </c>
      <c r="BB677" t="inlineStr">
        <is>
          <t>9780803953345</t>
        </is>
      </c>
      <c r="BC677" t="inlineStr">
        <is>
          <t>32285001789790</t>
        </is>
      </c>
      <c r="BD677" t="inlineStr">
        <is>
          <t>893866936</t>
        </is>
      </c>
    </row>
    <row r="678">
      <c r="A678" t="inlineStr">
        <is>
          <t>No</t>
        </is>
      </c>
      <c r="B678" t="inlineStr">
        <is>
          <t>GN395 .M47</t>
        </is>
      </c>
      <c r="C678" t="inlineStr">
        <is>
          <t>0                      GN 0395000M  47</t>
        </is>
      </c>
      <c r="D678" t="inlineStr">
        <is>
          <t>Urban danger : life in a neighborhood of strangers / Sally Engle Merry.</t>
        </is>
      </c>
      <c r="F678" t="inlineStr">
        <is>
          <t>No</t>
        </is>
      </c>
      <c r="G678" t="inlineStr">
        <is>
          <t>1</t>
        </is>
      </c>
      <c r="H678" t="inlineStr">
        <is>
          <t>No</t>
        </is>
      </c>
      <c r="I678" t="inlineStr">
        <is>
          <t>No</t>
        </is>
      </c>
      <c r="J678" t="inlineStr">
        <is>
          <t>0</t>
        </is>
      </c>
      <c r="K678" t="inlineStr">
        <is>
          <t>Merry, Sally Engle, 1944-</t>
        </is>
      </c>
      <c r="L678" t="inlineStr">
        <is>
          <t>Philadelphia : Temple University Press, 1981.</t>
        </is>
      </c>
      <c r="M678" t="inlineStr">
        <is>
          <t>1981</t>
        </is>
      </c>
      <c r="O678" t="inlineStr">
        <is>
          <t>eng</t>
        </is>
      </c>
      <c r="P678" t="inlineStr">
        <is>
          <t>pau</t>
        </is>
      </c>
      <c r="R678" t="inlineStr">
        <is>
          <t xml:space="preserve">GN </t>
        </is>
      </c>
      <c r="S678" t="n">
        <v>2</v>
      </c>
      <c r="T678" t="n">
        <v>2</v>
      </c>
      <c r="U678" t="inlineStr">
        <is>
          <t>1994-09-16</t>
        </is>
      </c>
      <c r="V678" t="inlineStr">
        <is>
          <t>1994-09-16</t>
        </is>
      </c>
      <c r="W678" t="inlineStr">
        <is>
          <t>1990-09-24</t>
        </is>
      </c>
      <c r="X678" t="inlineStr">
        <is>
          <t>1990-09-24</t>
        </is>
      </c>
      <c r="Y678" t="n">
        <v>675</v>
      </c>
      <c r="Z678" t="n">
        <v>597</v>
      </c>
      <c r="AA678" t="n">
        <v>601</v>
      </c>
      <c r="AB678" t="n">
        <v>5</v>
      </c>
      <c r="AC678" t="n">
        <v>5</v>
      </c>
      <c r="AD678" t="n">
        <v>27</v>
      </c>
      <c r="AE678" t="n">
        <v>27</v>
      </c>
      <c r="AF678" t="n">
        <v>11</v>
      </c>
      <c r="AG678" t="n">
        <v>11</v>
      </c>
      <c r="AH678" t="n">
        <v>6</v>
      </c>
      <c r="AI678" t="n">
        <v>6</v>
      </c>
      <c r="AJ678" t="n">
        <v>12</v>
      </c>
      <c r="AK678" t="n">
        <v>12</v>
      </c>
      <c r="AL678" t="n">
        <v>4</v>
      </c>
      <c r="AM678" t="n">
        <v>4</v>
      </c>
      <c r="AN678" t="n">
        <v>1</v>
      </c>
      <c r="AO678" t="n">
        <v>1</v>
      </c>
      <c r="AP678" t="inlineStr">
        <is>
          <t>No</t>
        </is>
      </c>
      <c r="AQ678" t="inlineStr">
        <is>
          <t>No</t>
        </is>
      </c>
      <c r="AS678">
        <f>HYPERLINK("https://creighton-primo.hosted.exlibrisgroup.com/primo-explore/search?tab=default_tab&amp;search_scope=EVERYTHING&amp;vid=01CRU&amp;lang=en_US&amp;offset=0&amp;query=any,contains,991005100999702656","Catalog Record")</f>
        <v/>
      </c>
      <c r="AT678">
        <f>HYPERLINK("http://www.worldcat.org/oclc/7283653","WorldCat Record")</f>
        <v/>
      </c>
      <c r="AU678" t="inlineStr">
        <is>
          <t>535777:eng</t>
        </is>
      </c>
      <c r="AV678" t="inlineStr">
        <is>
          <t>7283653</t>
        </is>
      </c>
      <c r="AW678" t="inlineStr">
        <is>
          <t>991005100999702656</t>
        </is>
      </c>
      <c r="AX678" t="inlineStr">
        <is>
          <t>991005100999702656</t>
        </is>
      </c>
      <c r="AY678" t="inlineStr">
        <is>
          <t>2257269770002656</t>
        </is>
      </c>
      <c r="AZ678" t="inlineStr">
        <is>
          <t>BOOK</t>
        </is>
      </c>
      <c r="BB678" t="inlineStr">
        <is>
          <t>9780877222194</t>
        </is>
      </c>
      <c r="BC678" t="inlineStr">
        <is>
          <t>32285000316199</t>
        </is>
      </c>
      <c r="BD678" t="inlineStr">
        <is>
          <t>893876937</t>
        </is>
      </c>
    </row>
    <row r="679">
      <c r="A679" t="inlineStr">
        <is>
          <t>No</t>
        </is>
      </c>
      <c r="B679" t="inlineStr">
        <is>
          <t>GN397.5 .D47 2006</t>
        </is>
      </c>
      <c r="C679" t="inlineStr">
        <is>
          <t>0                      GN 0397500D  47          2006</t>
        </is>
      </c>
      <c r="D679" t="inlineStr">
        <is>
          <t>Development brokers and translators : the ethnography of aid and agencies / edited by David Lewis and David Mosse.</t>
        </is>
      </c>
      <c r="F679" t="inlineStr">
        <is>
          <t>No</t>
        </is>
      </c>
      <c r="G679" t="inlineStr">
        <is>
          <t>1</t>
        </is>
      </c>
      <c r="H679" t="inlineStr">
        <is>
          <t>No</t>
        </is>
      </c>
      <c r="I679" t="inlineStr">
        <is>
          <t>No</t>
        </is>
      </c>
      <c r="J679" t="inlineStr">
        <is>
          <t>0</t>
        </is>
      </c>
      <c r="L679" t="inlineStr">
        <is>
          <t>Bloomfield, CT : Kumarian Press, 2006.</t>
        </is>
      </c>
      <c r="M679" t="inlineStr">
        <is>
          <t>2006</t>
        </is>
      </c>
      <c r="O679" t="inlineStr">
        <is>
          <t>eng</t>
        </is>
      </c>
      <c r="P679" t="inlineStr">
        <is>
          <t>ctu</t>
        </is>
      </c>
      <c r="R679" t="inlineStr">
        <is>
          <t xml:space="preserve">GN </t>
        </is>
      </c>
      <c r="S679" t="n">
        <v>2</v>
      </c>
      <c r="T679" t="n">
        <v>2</v>
      </c>
      <c r="U679" t="inlineStr">
        <is>
          <t>2010-03-25</t>
        </is>
      </c>
      <c r="V679" t="inlineStr">
        <is>
          <t>2010-03-25</t>
        </is>
      </c>
      <c r="W679" t="inlineStr">
        <is>
          <t>2006-10-03</t>
        </is>
      </c>
      <c r="X679" t="inlineStr">
        <is>
          <t>2006-10-03</t>
        </is>
      </c>
      <c r="Y679" t="n">
        <v>240</v>
      </c>
      <c r="Z679" t="n">
        <v>152</v>
      </c>
      <c r="AA679" t="n">
        <v>166</v>
      </c>
      <c r="AB679" t="n">
        <v>1</v>
      </c>
      <c r="AC679" t="n">
        <v>1</v>
      </c>
      <c r="AD679" t="n">
        <v>4</v>
      </c>
      <c r="AE679" t="n">
        <v>5</v>
      </c>
      <c r="AF679" t="n">
        <v>0</v>
      </c>
      <c r="AG679" t="n">
        <v>1</v>
      </c>
      <c r="AH679" t="n">
        <v>2</v>
      </c>
      <c r="AI679" t="n">
        <v>3</v>
      </c>
      <c r="AJ679" t="n">
        <v>3</v>
      </c>
      <c r="AK679" t="n">
        <v>3</v>
      </c>
      <c r="AL679" t="n">
        <v>0</v>
      </c>
      <c r="AM679" t="n">
        <v>0</v>
      </c>
      <c r="AN679" t="n">
        <v>0</v>
      </c>
      <c r="AO679" t="n">
        <v>0</v>
      </c>
      <c r="AP679" t="inlineStr">
        <is>
          <t>No</t>
        </is>
      </c>
      <c r="AQ679" t="inlineStr">
        <is>
          <t>Yes</t>
        </is>
      </c>
      <c r="AR679">
        <f>HYPERLINK("http://catalog.hathitrust.org/Record/005236171","HathiTrust Record")</f>
        <v/>
      </c>
      <c r="AS679">
        <f>HYPERLINK("https://creighton-primo.hosted.exlibrisgroup.com/primo-explore/search?tab=default_tab&amp;search_scope=EVERYTHING&amp;vid=01CRU&amp;lang=en_US&amp;offset=0&amp;query=any,contains,991004910259702656","Catalog Record")</f>
        <v/>
      </c>
      <c r="AT679">
        <f>HYPERLINK("http://www.worldcat.org/oclc/64427395","WorldCat Record")</f>
        <v/>
      </c>
      <c r="AU679" t="inlineStr">
        <is>
          <t>865014074:eng</t>
        </is>
      </c>
      <c r="AV679" t="inlineStr">
        <is>
          <t>64427395</t>
        </is>
      </c>
      <c r="AW679" t="inlineStr">
        <is>
          <t>991004910259702656</t>
        </is>
      </c>
      <c r="AX679" t="inlineStr">
        <is>
          <t>991004910259702656</t>
        </is>
      </c>
      <c r="AY679" t="inlineStr">
        <is>
          <t>2256143700002656</t>
        </is>
      </c>
      <c r="AZ679" t="inlineStr">
        <is>
          <t>BOOK</t>
        </is>
      </c>
      <c r="BB679" t="inlineStr">
        <is>
          <t>9781565492172</t>
        </is>
      </c>
      <c r="BC679" t="inlineStr">
        <is>
          <t>32285005227565</t>
        </is>
      </c>
      <c r="BD679" t="inlineStr">
        <is>
          <t>893248108</t>
        </is>
      </c>
    </row>
    <row r="680">
      <c r="A680" t="inlineStr">
        <is>
          <t>No</t>
        </is>
      </c>
      <c r="B680" t="inlineStr">
        <is>
          <t>GN4 .R28</t>
        </is>
      </c>
      <c r="C680" t="inlineStr">
        <is>
          <t>0                      GN 0004000R  28</t>
        </is>
      </c>
      <c r="D680" t="inlineStr">
        <is>
          <t>Race and modern science; a collection of essays by biologists, anthropologists, sociologists, and psychologists. Edited, with an introd., by Robert E. Kuttner.</t>
        </is>
      </c>
      <c r="F680" t="inlineStr">
        <is>
          <t>No</t>
        </is>
      </c>
      <c r="G680" t="inlineStr">
        <is>
          <t>1</t>
        </is>
      </c>
      <c r="H680" t="inlineStr">
        <is>
          <t>No</t>
        </is>
      </c>
      <c r="I680" t="inlineStr">
        <is>
          <t>No</t>
        </is>
      </c>
      <c r="J680" t="inlineStr">
        <is>
          <t>0</t>
        </is>
      </c>
      <c r="L680" t="inlineStr">
        <is>
          <t>New York, Social Science Press, 1967.</t>
        </is>
      </c>
      <c r="M680" t="inlineStr">
        <is>
          <t>1967</t>
        </is>
      </c>
      <c r="O680" t="inlineStr">
        <is>
          <t>eng</t>
        </is>
      </c>
      <c r="P680" t="inlineStr">
        <is>
          <t>nyu</t>
        </is>
      </c>
      <c r="R680" t="inlineStr">
        <is>
          <t xml:space="preserve">GN </t>
        </is>
      </c>
      <c r="S680" t="n">
        <v>2</v>
      </c>
      <c r="T680" t="n">
        <v>2</v>
      </c>
      <c r="U680" t="inlineStr">
        <is>
          <t>1998-12-04</t>
        </is>
      </c>
      <c r="V680" t="inlineStr">
        <is>
          <t>1998-12-04</t>
        </is>
      </c>
      <c r="W680" t="inlineStr">
        <is>
          <t>1997-05-27</t>
        </is>
      </c>
      <c r="X680" t="inlineStr">
        <is>
          <t>1997-05-27</t>
        </is>
      </c>
      <c r="Y680" t="n">
        <v>581</v>
      </c>
      <c r="Z680" t="n">
        <v>504</v>
      </c>
      <c r="AA680" t="n">
        <v>511</v>
      </c>
      <c r="AB680" t="n">
        <v>5</v>
      </c>
      <c r="AC680" t="n">
        <v>5</v>
      </c>
      <c r="AD680" t="n">
        <v>23</v>
      </c>
      <c r="AE680" t="n">
        <v>23</v>
      </c>
      <c r="AF680" t="n">
        <v>9</v>
      </c>
      <c r="AG680" t="n">
        <v>9</v>
      </c>
      <c r="AH680" t="n">
        <v>5</v>
      </c>
      <c r="AI680" t="n">
        <v>5</v>
      </c>
      <c r="AJ680" t="n">
        <v>10</v>
      </c>
      <c r="AK680" t="n">
        <v>10</v>
      </c>
      <c r="AL680" t="n">
        <v>4</v>
      </c>
      <c r="AM680" t="n">
        <v>4</v>
      </c>
      <c r="AN680" t="n">
        <v>0</v>
      </c>
      <c r="AO680" t="n">
        <v>0</v>
      </c>
      <c r="AP680" t="inlineStr">
        <is>
          <t>No</t>
        </is>
      </c>
      <c r="AQ680" t="inlineStr">
        <is>
          <t>Yes</t>
        </is>
      </c>
      <c r="AR680">
        <f>HYPERLINK("http://catalog.hathitrust.org/Record/001274043","HathiTrust Record")</f>
        <v/>
      </c>
      <c r="AS680">
        <f>HYPERLINK("https://creighton-primo.hosted.exlibrisgroup.com/primo-explore/search?tab=default_tab&amp;search_scope=EVERYTHING&amp;vid=01CRU&amp;lang=en_US&amp;offset=0&amp;query=any,contains,991002852299702656","Catalog Record")</f>
        <v/>
      </c>
      <c r="AT680">
        <f>HYPERLINK("http://www.worldcat.org/oclc/487752","WorldCat Record")</f>
        <v/>
      </c>
      <c r="AU680" t="inlineStr">
        <is>
          <t>889804085:eng</t>
        </is>
      </c>
      <c r="AV680" t="inlineStr">
        <is>
          <t>487752</t>
        </is>
      </c>
      <c r="AW680" t="inlineStr">
        <is>
          <t>991002852299702656</t>
        </is>
      </c>
      <c r="AX680" t="inlineStr">
        <is>
          <t>991002852299702656</t>
        </is>
      </c>
      <c r="AY680" t="inlineStr">
        <is>
          <t>2255127840002656</t>
        </is>
      </c>
      <c r="AZ680" t="inlineStr">
        <is>
          <t>BOOK</t>
        </is>
      </c>
      <c r="BC680" t="inlineStr">
        <is>
          <t>32285002694288</t>
        </is>
      </c>
      <c r="BD680" t="inlineStr">
        <is>
          <t>893698346</t>
        </is>
      </c>
    </row>
    <row r="681">
      <c r="A681" t="inlineStr">
        <is>
          <t>No</t>
        </is>
      </c>
      <c r="B681" t="inlineStr">
        <is>
          <t>GN400 .C58</t>
        </is>
      </c>
      <c r="C681" t="inlineStr">
        <is>
          <t>0                      GN 0400000C  58</t>
        </is>
      </c>
      <c r="D681" t="inlineStr">
        <is>
          <t>Man in adaptation; the cultural present. Edited by Yehudi A. Cohen.</t>
        </is>
      </c>
      <c r="F681" t="inlineStr">
        <is>
          <t>No</t>
        </is>
      </c>
      <c r="G681" t="inlineStr">
        <is>
          <t>1</t>
        </is>
      </c>
      <c r="H681" t="inlineStr">
        <is>
          <t>No</t>
        </is>
      </c>
      <c r="I681" t="inlineStr">
        <is>
          <t>No</t>
        </is>
      </c>
      <c r="J681" t="inlineStr">
        <is>
          <t>0</t>
        </is>
      </c>
      <c r="K681" t="inlineStr">
        <is>
          <t>Cohen, Yehudi A. compiler.</t>
        </is>
      </c>
      <c r="L681" t="inlineStr">
        <is>
          <t>Chicago, Aldine Pub. Co. [1968]</t>
        </is>
      </c>
      <c r="M681" t="inlineStr">
        <is>
          <t>1968</t>
        </is>
      </c>
      <c r="O681" t="inlineStr">
        <is>
          <t>eng</t>
        </is>
      </c>
      <c r="P681" t="inlineStr">
        <is>
          <t>ilu</t>
        </is>
      </c>
      <c r="R681" t="inlineStr">
        <is>
          <t xml:space="preserve">GN </t>
        </is>
      </c>
      <c r="S681" t="n">
        <v>4</v>
      </c>
      <c r="T681" t="n">
        <v>4</v>
      </c>
      <c r="U681" t="inlineStr">
        <is>
          <t>2004-03-02</t>
        </is>
      </c>
      <c r="V681" t="inlineStr">
        <is>
          <t>2004-03-02</t>
        </is>
      </c>
      <c r="W681" t="inlineStr">
        <is>
          <t>1997-05-28</t>
        </is>
      </c>
      <c r="X681" t="inlineStr">
        <is>
          <t>1997-05-28</t>
        </is>
      </c>
      <c r="Y681" t="n">
        <v>612</v>
      </c>
      <c r="Z681" t="n">
        <v>533</v>
      </c>
      <c r="AA681" t="n">
        <v>743</v>
      </c>
      <c r="AB681" t="n">
        <v>2</v>
      </c>
      <c r="AC681" t="n">
        <v>2</v>
      </c>
      <c r="AD681" t="n">
        <v>20</v>
      </c>
      <c r="AE681" t="n">
        <v>25</v>
      </c>
      <c r="AF681" t="n">
        <v>8</v>
      </c>
      <c r="AG681" t="n">
        <v>11</v>
      </c>
      <c r="AH681" t="n">
        <v>3</v>
      </c>
      <c r="AI681" t="n">
        <v>5</v>
      </c>
      <c r="AJ681" t="n">
        <v>12</v>
      </c>
      <c r="AK681" t="n">
        <v>15</v>
      </c>
      <c r="AL681" t="n">
        <v>1</v>
      </c>
      <c r="AM681" t="n">
        <v>1</v>
      </c>
      <c r="AN681" t="n">
        <v>1</v>
      </c>
      <c r="AO681" t="n">
        <v>1</v>
      </c>
      <c r="AP681" t="inlineStr">
        <is>
          <t>No</t>
        </is>
      </c>
      <c r="AQ681" t="inlineStr">
        <is>
          <t>Yes</t>
        </is>
      </c>
      <c r="AR681">
        <f>HYPERLINK("http://catalog.hathitrust.org/Record/001274616","HathiTrust Record")</f>
        <v/>
      </c>
      <c r="AS681">
        <f>HYPERLINK("https://creighton-primo.hosted.exlibrisgroup.com/primo-explore/search?tab=default_tab&amp;search_scope=EVERYTHING&amp;vid=01CRU&amp;lang=en_US&amp;offset=0&amp;query=any,contains,991002766239702656","Catalog Record")</f>
        <v/>
      </c>
      <c r="AT681">
        <f>HYPERLINK("http://www.worldcat.org/oclc/434406","WorldCat Record")</f>
        <v/>
      </c>
      <c r="AU681" t="inlineStr">
        <is>
          <t>4915333224:eng</t>
        </is>
      </c>
      <c r="AV681" t="inlineStr">
        <is>
          <t>434406</t>
        </is>
      </c>
      <c r="AW681" t="inlineStr">
        <is>
          <t>991002766239702656</t>
        </is>
      </c>
      <c r="AX681" t="inlineStr">
        <is>
          <t>991002766239702656</t>
        </is>
      </c>
      <c r="AY681" t="inlineStr">
        <is>
          <t>2267163500002656</t>
        </is>
      </c>
      <c r="AZ681" t="inlineStr">
        <is>
          <t>BOOK</t>
        </is>
      </c>
      <c r="BC681" t="inlineStr">
        <is>
          <t>32285002695392</t>
        </is>
      </c>
      <c r="BD681" t="inlineStr">
        <is>
          <t>893880389</t>
        </is>
      </c>
    </row>
    <row r="682">
      <c r="A682" t="inlineStr">
        <is>
          <t>No</t>
        </is>
      </c>
      <c r="B682" t="inlineStr">
        <is>
          <t>GN400 .J32</t>
        </is>
      </c>
      <c r="C682" t="inlineStr">
        <is>
          <t>0                      GN 0400000J  32</t>
        </is>
      </c>
      <c r="D682" t="inlineStr">
        <is>
          <t>Pattern in cultural anthropology.</t>
        </is>
      </c>
      <c r="F682" t="inlineStr">
        <is>
          <t>No</t>
        </is>
      </c>
      <c r="G682" t="inlineStr">
        <is>
          <t>1</t>
        </is>
      </c>
      <c r="H682" t="inlineStr">
        <is>
          <t>No</t>
        </is>
      </c>
      <c r="I682" t="inlineStr">
        <is>
          <t>No</t>
        </is>
      </c>
      <c r="J682" t="inlineStr">
        <is>
          <t>0</t>
        </is>
      </c>
      <c r="K682" t="inlineStr">
        <is>
          <t>Jacobs, Melville, 1902-1971.</t>
        </is>
      </c>
      <c r="L682" t="inlineStr">
        <is>
          <t>Homewood, Ill., Dorsey Press, 1964.</t>
        </is>
      </c>
      <c r="M682" t="inlineStr">
        <is>
          <t>1964</t>
        </is>
      </c>
      <c r="O682" t="inlineStr">
        <is>
          <t>eng</t>
        </is>
      </c>
      <c r="P682" t="inlineStr">
        <is>
          <t>ilu</t>
        </is>
      </c>
      <c r="Q682" t="inlineStr">
        <is>
          <t>The Dorsey series in anthropology and sociology</t>
        </is>
      </c>
      <c r="R682" t="inlineStr">
        <is>
          <t xml:space="preserve">GN </t>
        </is>
      </c>
      <c r="S682" t="n">
        <v>5</v>
      </c>
      <c r="T682" t="n">
        <v>5</v>
      </c>
      <c r="U682" t="inlineStr">
        <is>
          <t>2005-11-17</t>
        </is>
      </c>
      <c r="V682" t="inlineStr">
        <is>
          <t>2005-11-17</t>
        </is>
      </c>
      <c r="W682" t="inlineStr">
        <is>
          <t>1997-05-28</t>
        </is>
      </c>
      <c r="X682" t="inlineStr">
        <is>
          <t>1997-05-28</t>
        </is>
      </c>
      <c r="Y682" t="n">
        <v>581</v>
      </c>
      <c r="Z682" t="n">
        <v>486</v>
      </c>
      <c r="AA682" t="n">
        <v>494</v>
      </c>
      <c r="AB682" t="n">
        <v>4</v>
      </c>
      <c r="AC682" t="n">
        <v>4</v>
      </c>
      <c r="AD682" t="n">
        <v>27</v>
      </c>
      <c r="AE682" t="n">
        <v>27</v>
      </c>
      <c r="AF682" t="n">
        <v>11</v>
      </c>
      <c r="AG682" t="n">
        <v>11</v>
      </c>
      <c r="AH682" t="n">
        <v>5</v>
      </c>
      <c r="AI682" t="n">
        <v>5</v>
      </c>
      <c r="AJ682" t="n">
        <v>16</v>
      </c>
      <c r="AK682" t="n">
        <v>16</v>
      </c>
      <c r="AL682" t="n">
        <v>3</v>
      </c>
      <c r="AM682" t="n">
        <v>3</v>
      </c>
      <c r="AN682" t="n">
        <v>0</v>
      </c>
      <c r="AO682" t="n">
        <v>0</v>
      </c>
      <c r="AP682" t="inlineStr">
        <is>
          <t>No</t>
        </is>
      </c>
      <c r="AQ682" t="inlineStr">
        <is>
          <t>Yes</t>
        </is>
      </c>
      <c r="AR682">
        <f>HYPERLINK("http://catalog.hathitrust.org/Record/001274630","HathiTrust Record")</f>
        <v/>
      </c>
      <c r="AS682">
        <f>HYPERLINK("https://creighton-primo.hosted.exlibrisgroup.com/primo-explore/search?tab=default_tab&amp;search_scope=EVERYTHING&amp;vid=01CRU&amp;lang=en_US&amp;offset=0&amp;query=any,contains,991002860859702656","Catalog Record")</f>
        <v/>
      </c>
      <c r="AT682">
        <f>HYPERLINK("http://www.worldcat.org/oclc/492930","WorldCat Record")</f>
        <v/>
      </c>
      <c r="AU682" t="inlineStr">
        <is>
          <t>553526555:eng</t>
        </is>
      </c>
      <c r="AV682" t="inlineStr">
        <is>
          <t>492930</t>
        </is>
      </c>
      <c r="AW682" t="inlineStr">
        <is>
          <t>991002860859702656</t>
        </is>
      </c>
      <c r="AX682" t="inlineStr">
        <is>
          <t>991002860859702656</t>
        </is>
      </c>
      <c r="AY682" t="inlineStr">
        <is>
          <t>2255478270002656</t>
        </is>
      </c>
      <c r="AZ682" t="inlineStr">
        <is>
          <t>BOOK</t>
        </is>
      </c>
      <c r="BC682" t="inlineStr">
        <is>
          <t>32285002695418</t>
        </is>
      </c>
      <c r="BD682" t="inlineStr">
        <is>
          <t>893893088</t>
        </is>
      </c>
    </row>
    <row r="683">
      <c r="A683" t="inlineStr">
        <is>
          <t>No</t>
        </is>
      </c>
      <c r="B683" t="inlineStr">
        <is>
          <t>GN400 .L77</t>
        </is>
      </c>
      <c r="C683" t="inlineStr">
        <is>
          <t>0                      GN 0400000L  77</t>
        </is>
      </c>
      <c r="D683" t="inlineStr">
        <is>
          <t>Four ways of being human; an introduction to anthropology. Illustrated by C. B. Falls.</t>
        </is>
      </c>
      <c r="F683" t="inlineStr">
        <is>
          <t>No</t>
        </is>
      </c>
      <c r="G683" t="inlineStr">
        <is>
          <t>1</t>
        </is>
      </c>
      <c r="H683" t="inlineStr">
        <is>
          <t>No</t>
        </is>
      </c>
      <c r="I683" t="inlineStr">
        <is>
          <t>No</t>
        </is>
      </c>
      <c r="J683" t="inlineStr">
        <is>
          <t>0</t>
        </is>
      </c>
      <c r="K683" t="inlineStr">
        <is>
          <t>Lisitzky, Gene, 1899-</t>
        </is>
      </c>
      <c r="L683" t="inlineStr">
        <is>
          <t>[New York] Viking Press, 1956.</t>
        </is>
      </c>
      <c r="M683" t="inlineStr">
        <is>
          <t>1956</t>
        </is>
      </c>
      <c r="O683" t="inlineStr">
        <is>
          <t>eng</t>
        </is>
      </c>
      <c r="P683" t="inlineStr">
        <is>
          <t>nyu</t>
        </is>
      </c>
      <c r="R683" t="inlineStr">
        <is>
          <t xml:space="preserve">GN </t>
        </is>
      </c>
      <c r="S683" t="n">
        <v>10</v>
      </c>
      <c r="T683" t="n">
        <v>10</v>
      </c>
      <c r="U683" t="inlineStr">
        <is>
          <t>2004-10-25</t>
        </is>
      </c>
      <c r="V683" t="inlineStr">
        <is>
          <t>2004-10-25</t>
        </is>
      </c>
      <c r="W683" t="inlineStr">
        <is>
          <t>1997-05-28</t>
        </is>
      </c>
      <c r="X683" t="inlineStr">
        <is>
          <t>1997-05-28</t>
        </is>
      </c>
      <c r="Y683" t="n">
        <v>514</v>
      </c>
      <c r="Z683" t="n">
        <v>484</v>
      </c>
      <c r="AA683" t="n">
        <v>631</v>
      </c>
      <c r="AB683" t="n">
        <v>3</v>
      </c>
      <c r="AC683" t="n">
        <v>3</v>
      </c>
      <c r="AD683" t="n">
        <v>16</v>
      </c>
      <c r="AE683" t="n">
        <v>21</v>
      </c>
      <c r="AF683" t="n">
        <v>10</v>
      </c>
      <c r="AG683" t="n">
        <v>12</v>
      </c>
      <c r="AH683" t="n">
        <v>1</v>
      </c>
      <c r="AI683" t="n">
        <v>2</v>
      </c>
      <c r="AJ683" t="n">
        <v>10</v>
      </c>
      <c r="AK683" t="n">
        <v>12</v>
      </c>
      <c r="AL683" t="n">
        <v>1</v>
      </c>
      <c r="AM683" t="n">
        <v>1</v>
      </c>
      <c r="AN683" t="n">
        <v>0</v>
      </c>
      <c r="AO683" t="n">
        <v>0</v>
      </c>
      <c r="AP683" t="inlineStr">
        <is>
          <t>No</t>
        </is>
      </c>
      <c r="AQ683" t="inlineStr">
        <is>
          <t>Yes</t>
        </is>
      </c>
      <c r="AR683">
        <f>HYPERLINK("http://catalog.hathitrust.org/Record/001274635","HathiTrust Record")</f>
        <v/>
      </c>
      <c r="AS683">
        <f>HYPERLINK("https://creighton-primo.hosted.exlibrisgroup.com/primo-explore/search?tab=default_tab&amp;search_scope=EVERYTHING&amp;vid=01CRU&amp;lang=en_US&amp;offset=0&amp;query=any,contains,991000953969702656","Catalog Record")</f>
        <v/>
      </c>
      <c r="AT683">
        <f>HYPERLINK("http://www.worldcat.org/oclc/167652","WorldCat Record")</f>
        <v/>
      </c>
      <c r="AU683" t="inlineStr">
        <is>
          <t>1287980:eng</t>
        </is>
      </c>
      <c r="AV683" t="inlineStr">
        <is>
          <t>167652</t>
        </is>
      </c>
      <c r="AW683" t="inlineStr">
        <is>
          <t>991000953969702656</t>
        </is>
      </c>
      <c r="AX683" t="inlineStr">
        <is>
          <t>991000953969702656</t>
        </is>
      </c>
      <c r="AY683" t="inlineStr">
        <is>
          <t>2272633900002656</t>
        </is>
      </c>
      <c r="AZ683" t="inlineStr">
        <is>
          <t>BOOK</t>
        </is>
      </c>
      <c r="BC683" t="inlineStr">
        <is>
          <t>32285002695426</t>
        </is>
      </c>
      <c r="BD683" t="inlineStr">
        <is>
          <t>893872171</t>
        </is>
      </c>
    </row>
    <row r="684">
      <c r="A684" t="inlineStr">
        <is>
          <t>No</t>
        </is>
      </c>
      <c r="B684" t="inlineStr">
        <is>
          <t>GN400 .M75</t>
        </is>
      </c>
      <c r="C684" t="inlineStr">
        <is>
          <t>0                      GN 0400000M  75</t>
        </is>
      </c>
      <c r="D684" t="inlineStr">
        <is>
          <t>Cultural anthropology, by Albert Muntsch.</t>
        </is>
      </c>
      <c r="F684" t="inlineStr">
        <is>
          <t>No</t>
        </is>
      </c>
      <c r="G684" t="inlineStr">
        <is>
          <t>1</t>
        </is>
      </c>
      <c r="H684" t="inlineStr">
        <is>
          <t>No</t>
        </is>
      </c>
      <c r="I684" t="inlineStr">
        <is>
          <t>No</t>
        </is>
      </c>
      <c r="J684" t="inlineStr">
        <is>
          <t>0</t>
        </is>
      </c>
      <c r="K684" t="inlineStr">
        <is>
          <t>Muntsch, Albert, 1873-1967.</t>
        </is>
      </c>
      <c r="L684" t="inlineStr">
        <is>
          <t>New York, Milwaukee [etc.] The Bruce publishing company [c1934]</t>
        </is>
      </c>
      <c r="M684" t="inlineStr">
        <is>
          <t>1934</t>
        </is>
      </c>
      <c r="O684" t="inlineStr">
        <is>
          <t>eng</t>
        </is>
      </c>
      <c r="P684" t="inlineStr">
        <is>
          <t>nyu</t>
        </is>
      </c>
      <c r="Q684" t="inlineStr">
        <is>
          <t>Science and culture series</t>
        </is>
      </c>
      <c r="R684" t="inlineStr">
        <is>
          <t xml:space="preserve">GN </t>
        </is>
      </c>
      <c r="S684" t="n">
        <v>5</v>
      </c>
      <c r="T684" t="n">
        <v>5</v>
      </c>
      <c r="U684" t="inlineStr">
        <is>
          <t>1999-09-30</t>
        </is>
      </c>
      <c r="V684" t="inlineStr">
        <is>
          <t>1999-09-30</t>
        </is>
      </c>
      <c r="W684" t="inlineStr">
        <is>
          <t>1997-05-28</t>
        </is>
      </c>
      <c r="X684" t="inlineStr">
        <is>
          <t>1997-05-28</t>
        </is>
      </c>
      <c r="Y684" t="n">
        <v>130</v>
      </c>
      <c r="Z684" t="n">
        <v>117</v>
      </c>
      <c r="AA684" t="n">
        <v>173</v>
      </c>
      <c r="AB684" t="n">
        <v>2</v>
      </c>
      <c r="AC684" t="n">
        <v>2</v>
      </c>
      <c r="AD684" t="n">
        <v>16</v>
      </c>
      <c r="AE684" t="n">
        <v>23</v>
      </c>
      <c r="AF684" t="n">
        <v>4</v>
      </c>
      <c r="AG684" t="n">
        <v>7</v>
      </c>
      <c r="AH684" t="n">
        <v>3</v>
      </c>
      <c r="AI684" t="n">
        <v>4</v>
      </c>
      <c r="AJ684" t="n">
        <v>15</v>
      </c>
      <c r="AK684" t="n">
        <v>22</v>
      </c>
      <c r="AL684" t="n">
        <v>0</v>
      </c>
      <c r="AM684" t="n">
        <v>0</v>
      </c>
      <c r="AN684" t="n">
        <v>0</v>
      </c>
      <c r="AO684" t="n">
        <v>0</v>
      </c>
      <c r="AP684" t="inlineStr">
        <is>
          <t>No</t>
        </is>
      </c>
      <c r="AQ684" t="inlineStr">
        <is>
          <t>No</t>
        </is>
      </c>
      <c r="AR684">
        <f>HYPERLINK("http://catalog.hathitrust.org/Record/010120789","HathiTrust Record")</f>
        <v/>
      </c>
      <c r="AS684">
        <f>HYPERLINK("https://creighton-primo.hosted.exlibrisgroup.com/primo-explore/search?tab=default_tab&amp;search_scope=EVERYTHING&amp;vid=01CRU&amp;lang=en_US&amp;offset=0&amp;query=any,contains,991004350029702656","Catalog Record")</f>
        <v/>
      </c>
      <c r="AT684">
        <f>HYPERLINK("http://www.worldcat.org/oclc/3117505","WorldCat Record")</f>
        <v/>
      </c>
      <c r="AU684" t="inlineStr">
        <is>
          <t>1583848:eng</t>
        </is>
      </c>
      <c r="AV684" t="inlineStr">
        <is>
          <t>3117505</t>
        </is>
      </c>
      <c r="AW684" t="inlineStr">
        <is>
          <t>991004350029702656</t>
        </is>
      </c>
      <c r="AX684" t="inlineStr">
        <is>
          <t>991004350029702656</t>
        </is>
      </c>
      <c r="AY684" t="inlineStr">
        <is>
          <t>2269974140002656</t>
        </is>
      </c>
      <c r="AZ684" t="inlineStr">
        <is>
          <t>BOOK</t>
        </is>
      </c>
      <c r="BC684" t="inlineStr">
        <is>
          <t>32285002695459</t>
        </is>
      </c>
      <c r="BD684" t="inlineStr">
        <is>
          <t>893229250</t>
        </is>
      </c>
    </row>
    <row r="685">
      <c r="A685" t="inlineStr">
        <is>
          <t>No</t>
        </is>
      </c>
      <c r="B685" t="inlineStr">
        <is>
          <t>GN400 .M78</t>
        </is>
      </c>
      <c r="C685" t="inlineStr">
        <is>
          <t>0                      GN 0400000M  78</t>
        </is>
      </c>
      <c r="D685" t="inlineStr">
        <is>
          <t>Culture and society, twenty-four essays. Foreword by Alexander Spoehr.</t>
        </is>
      </c>
      <c r="F685" t="inlineStr">
        <is>
          <t>No</t>
        </is>
      </c>
      <c r="G685" t="inlineStr">
        <is>
          <t>1</t>
        </is>
      </c>
      <c r="H685" t="inlineStr">
        <is>
          <t>No</t>
        </is>
      </c>
      <c r="I685" t="inlineStr">
        <is>
          <t>No</t>
        </is>
      </c>
      <c r="J685" t="inlineStr">
        <is>
          <t>0</t>
        </is>
      </c>
      <c r="K685" t="inlineStr">
        <is>
          <t>Murdock, George Peter, 1897-1985.</t>
        </is>
      </c>
      <c r="L685" t="inlineStr">
        <is>
          <t>[Pittsburgh] University of Pittsburgh Press [1965]</t>
        </is>
      </c>
      <c r="M685" t="inlineStr">
        <is>
          <t>1965</t>
        </is>
      </c>
      <c r="O685" t="inlineStr">
        <is>
          <t>eng</t>
        </is>
      </c>
      <c r="P685" t="inlineStr">
        <is>
          <t>pau</t>
        </is>
      </c>
      <c r="R685" t="inlineStr">
        <is>
          <t xml:space="preserve">GN </t>
        </is>
      </c>
      <c r="S685" t="n">
        <v>4</v>
      </c>
      <c r="T685" t="n">
        <v>4</v>
      </c>
      <c r="U685" t="inlineStr">
        <is>
          <t>2003-08-04</t>
        </is>
      </c>
      <c r="V685" t="inlineStr">
        <is>
          <t>2003-08-04</t>
        </is>
      </c>
      <c r="W685" t="inlineStr">
        <is>
          <t>1997-05-28</t>
        </is>
      </c>
      <c r="X685" t="inlineStr">
        <is>
          <t>1997-05-28</t>
        </is>
      </c>
      <c r="Y685" t="n">
        <v>932</v>
      </c>
      <c r="Z685" t="n">
        <v>790</v>
      </c>
      <c r="AA685" t="n">
        <v>822</v>
      </c>
      <c r="AB685" t="n">
        <v>6</v>
      </c>
      <c r="AC685" t="n">
        <v>6</v>
      </c>
      <c r="AD685" t="n">
        <v>30</v>
      </c>
      <c r="AE685" t="n">
        <v>31</v>
      </c>
      <c r="AF685" t="n">
        <v>11</v>
      </c>
      <c r="AG685" t="n">
        <v>11</v>
      </c>
      <c r="AH685" t="n">
        <v>7</v>
      </c>
      <c r="AI685" t="n">
        <v>8</v>
      </c>
      <c r="AJ685" t="n">
        <v>14</v>
      </c>
      <c r="AK685" t="n">
        <v>14</v>
      </c>
      <c r="AL685" t="n">
        <v>5</v>
      </c>
      <c r="AM685" t="n">
        <v>5</v>
      </c>
      <c r="AN685" t="n">
        <v>0</v>
      </c>
      <c r="AO685" t="n">
        <v>0</v>
      </c>
      <c r="AP685" t="inlineStr">
        <is>
          <t>No</t>
        </is>
      </c>
      <c r="AQ685" t="inlineStr">
        <is>
          <t>Yes</t>
        </is>
      </c>
      <c r="AR685">
        <f>HYPERLINK("http://catalog.hathitrust.org/Record/001274643","HathiTrust Record")</f>
        <v/>
      </c>
      <c r="AS685">
        <f>HYPERLINK("https://creighton-primo.hosted.exlibrisgroup.com/primo-explore/search?tab=default_tab&amp;search_scope=EVERYTHING&amp;vid=01CRU&amp;lang=en_US&amp;offset=0&amp;query=any,contains,991002121219702656","Catalog Record")</f>
        <v/>
      </c>
      <c r="AT685">
        <f>HYPERLINK("http://www.worldcat.org/oclc/268738","WorldCat Record")</f>
        <v/>
      </c>
      <c r="AU685" t="inlineStr">
        <is>
          <t>5623508670:eng</t>
        </is>
      </c>
      <c r="AV685" t="inlineStr">
        <is>
          <t>268738</t>
        </is>
      </c>
      <c r="AW685" t="inlineStr">
        <is>
          <t>991002121219702656</t>
        </is>
      </c>
      <c r="AX685" t="inlineStr">
        <is>
          <t>991002121219702656</t>
        </is>
      </c>
      <c r="AY685" t="inlineStr">
        <is>
          <t>2270466190002656</t>
        </is>
      </c>
      <c r="AZ685" t="inlineStr">
        <is>
          <t>BOOK</t>
        </is>
      </c>
      <c r="BC685" t="inlineStr">
        <is>
          <t>32285002695467</t>
        </is>
      </c>
      <c r="BD685" t="inlineStr">
        <is>
          <t>893716077</t>
        </is>
      </c>
    </row>
    <row r="686">
      <c r="A686" t="inlineStr">
        <is>
          <t>No</t>
        </is>
      </c>
      <c r="B686" t="inlineStr">
        <is>
          <t>GN405 .D6</t>
        </is>
      </c>
      <c r="C686" t="inlineStr">
        <is>
          <t>0                      GN 0405000D  6</t>
        </is>
      </c>
      <c r="D686" t="inlineStr">
        <is>
          <t>Essays in the science of culture; in honor of Leslie A. White, in celebration of his sixtieth birthday and his thirtieth year of teaching at the University of Michigan. Edited by Gertrude E. Dole and Robert L. Carneiro.</t>
        </is>
      </c>
      <c r="F686" t="inlineStr">
        <is>
          <t>No</t>
        </is>
      </c>
      <c r="G686" t="inlineStr">
        <is>
          <t>1</t>
        </is>
      </c>
      <c r="H686" t="inlineStr">
        <is>
          <t>No</t>
        </is>
      </c>
      <c r="I686" t="inlineStr">
        <is>
          <t>No</t>
        </is>
      </c>
      <c r="J686" t="inlineStr">
        <is>
          <t>0</t>
        </is>
      </c>
      <c r="K686" t="inlineStr">
        <is>
          <t>Dole, Gertrude Evelyn, 1915-2001, editor.</t>
        </is>
      </c>
      <c r="L686" t="inlineStr">
        <is>
          <t>New York, Crowell [1960]</t>
        </is>
      </c>
      <c r="M686" t="inlineStr">
        <is>
          <t>1960</t>
        </is>
      </c>
      <c r="O686" t="inlineStr">
        <is>
          <t>eng</t>
        </is>
      </c>
      <c r="P686" t="inlineStr">
        <is>
          <t>nyu</t>
        </is>
      </c>
      <c r="R686" t="inlineStr">
        <is>
          <t xml:space="preserve">GN </t>
        </is>
      </c>
      <c r="S686" t="n">
        <v>3</v>
      </c>
      <c r="T686" t="n">
        <v>3</v>
      </c>
      <c r="U686" t="inlineStr">
        <is>
          <t>2002-04-08</t>
        </is>
      </c>
      <c r="V686" t="inlineStr">
        <is>
          <t>2002-04-08</t>
        </is>
      </c>
      <c r="W686" t="inlineStr">
        <is>
          <t>1997-05-28</t>
        </is>
      </c>
      <c r="X686" t="inlineStr">
        <is>
          <t>1997-05-28</t>
        </is>
      </c>
      <c r="Y686" t="n">
        <v>560</v>
      </c>
      <c r="Z686" t="n">
        <v>481</v>
      </c>
      <c r="AA686" t="n">
        <v>483</v>
      </c>
      <c r="AB686" t="n">
        <v>5</v>
      </c>
      <c r="AC686" t="n">
        <v>5</v>
      </c>
      <c r="AD686" t="n">
        <v>17</v>
      </c>
      <c r="AE686" t="n">
        <v>17</v>
      </c>
      <c r="AF686" t="n">
        <v>4</v>
      </c>
      <c r="AG686" t="n">
        <v>4</v>
      </c>
      <c r="AH686" t="n">
        <v>3</v>
      </c>
      <c r="AI686" t="n">
        <v>3</v>
      </c>
      <c r="AJ686" t="n">
        <v>10</v>
      </c>
      <c r="AK686" t="n">
        <v>10</v>
      </c>
      <c r="AL686" t="n">
        <v>4</v>
      </c>
      <c r="AM686" t="n">
        <v>4</v>
      </c>
      <c r="AN686" t="n">
        <v>0</v>
      </c>
      <c r="AO686" t="n">
        <v>0</v>
      </c>
      <c r="AP686" t="inlineStr">
        <is>
          <t>No</t>
        </is>
      </c>
      <c r="AQ686" t="inlineStr">
        <is>
          <t>No</t>
        </is>
      </c>
      <c r="AR686">
        <f>HYPERLINK("http://catalog.hathitrust.org/Record/001274667","HathiTrust Record")</f>
        <v/>
      </c>
      <c r="AS686">
        <f>HYPERLINK("https://creighton-primo.hosted.exlibrisgroup.com/primo-explore/search?tab=default_tab&amp;search_scope=EVERYTHING&amp;vid=01CRU&amp;lang=en_US&amp;offset=0&amp;query=any,contains,991002857079702656","Catalog Record")</f>
        <v/>
      </c>
      <c r="AT686">
        <f>HYPERLINK("http://www.worldcat.org/oclc/490514","WorldCat Record")</f>
        <v/>
      </c>
      <c r="AU686" t="inlineStr">
        <is>
          <t>890106457:eng</t>
        </is>
      </c>
      <c r="AV686" t="inlineStr">
        <is>
          <t>490514</t>
        </is>
      </c>
      <c r="AW686" t="inlineStr">
        <is>
          <t>991002857079702656</t>
        </is>
      </c>
      <c r="AX686" t="inlineStr">
        <is>
          <t>991002857079702656</t>
        </is>
      </c>
      <c r="AY686" t="inlineStr">
        <is>
          <t>2257558870002656</t>
        </is>
      </c>
      <c r="AZ686" t="inlineStr">
        <is>
          <t>BOOK</t>
        </is>
      </c>
      <c r="BC686" t="inlineStr">
        <is>
          <t>32285002695558</t>
        </is>
      </c>
      <c r="BD686" t="inlineStr">
        <is>
          <t>893415733</t>
        </is>
      </c>
    </row>
    <row r="687">
      <c r="A687" t="inlineStr">
        <is>
          <t>No</t>
        </is>
      </c>
      <c r="B687" t="inlineStr">
        <is>
          <t>GN405 .H34 1964</t>
        </is>
      </c>
      <c r="C687" t="inlineStr">
        <is>
          <t>0                      GN 0405000H  34          1964</t>
        </is>
      </c>
      <c r="D687" t="inlineStr">
        <is>
          <t>From ape to angel; an informal history of social anthropology [by] H. R. Hays. Drawings by Sue Allen.</t>
        </is>
      </c>
      <c r="F687" t="inlineStr">
        <is>
          <t>No</t>
        </is>
      </c>
      <c r="G687" t="inlineStr">
        <is>
          <t>1</t>
        </is>
      </c>
      <c r="H687" t="inlineStr">
        <is>
          <t>No</t>
        </is>
      </c>
      <c r="I687" t="inlineStr">
        <is>
          <t>Yes</t>
        </is>
      </c>
      <c r="J687" t="inlineStr">
        <is>
          <t>0</t>
        </is>
      </c>
      <c r="K687" t="inlineStr">
        <is>
          <t>Hays, H. R. (Hoffman Reynolds), 1904-1980.</t>
        </is>
      </c>
      <c r="L687" t="inlineStr">
        <is>
          <t>New York, Capricorn Books [1964, c1958]</t>
        </is>
      </c>
      <c r="M687" t="inlineStr">
        <is>
          <t>1964</t>
        </is>
      </c>
      <c r="O687" t="inlineStr">
        <is>
          <t>eng</t>
        </is>
      </c>
      <c r="P687" t="inlineStr">
        <is>
          <t xml:space="preserve">xx </t>
        </is>
      </c>
      <c r="R687" t="inlineStr">
        <is>
          <t xml:space="preserve">GN </t>
        </is>
      </c>
      <c r="S687" t="n">
        <v>1</v>
      </c>
      <c r="T687" t="n">
        <v>1</v>
      </c>
      <c r="U687" t="inlineStr">
        <is>
          <t>2004-03-01</t>
        </is>
      </c>
      <c r="V687" t="inlineStr">
        <is>
          <t>2004-03-01</t>
        </is>
      </c>
      <c r="W687" t="inlineStr">
        <is>
          <t>1997-05-28</t>
        </is>
      </c>
      <c r="X687" t="inlineStr">
        <is>
          <t>1997-05-28</t>
        </is>
      </c>
      <c r="Y687" t="n">
        <v>162</v>
      </c>
      <c r="Z687" t="n">
        <v>141</v>
      </c>
      <c r="AA687" t="n">
        <v>1044</v>
      </c>
      <c r="AB687" t="n">
        <v>2</v>
      </c>
      <c r="AC687" t="n">
        <v>6</v>
      </c>
      <c r="AD687" t="n">
        <v>6</v>
      </c>
      <c r="AE687" t="n">
        <v>36</v>
      </c>
      <c r="AF687" t="n">
        <v>3</v>
      </c>
      <c r="AG687" t="n">
        <v>14</v>
      </c>
      <c r="AH687" t="n">
        <v>2</v>
      </c>
      <c r="AI687" t="n">
        <v>8</v>
      </c>
      <c r="AJ687" t="n">
        <v>1</v>
      </c>
      <c r="AK687" t="n">
        <v>20</v>
      </c>
      <c r="AL687" t="n">
        <v>1</v>
      </c>
      <c r="AM687" t="n">
        <v>4</v>
      </c>
      <c r="AN687" t="n">
        <v>0</v>
      </c>
      <c r="AO687" t="n">
        <v>0</v>
      </c>
      <c r="AP687" t="inlineStr">
        <is>
          <t>No</t>
        </is>
      </c>
      <c r="AQ687" t="inlineStr">
        <is>
          <t>Yes</t>
        </is>
      </c>
      <c r="AR687">
        <f>HYPERLINK("http://catalog.hathitrust.org/Record/012264484","HathiTrust Record")</f>
        <v/>
      </c>
      <c r="AS687">
        <f>HYPERLINK("https://creighton-primo.hosted.exlibrisgroup.com/primo-explore/search?tab=default_tab&amp;search_scope=EVERYTHING&amp;vid=01CRU&amp;lang=en_US&amp;offset=0&amp;query=any,contains,991003358749702656","Catalog Record")</f>
        <v/>
      </c>
      <c r="AT687">
        <f>HYPERLINK("http://www.worldcat.org/oclc/894076","WorldCat Record")</f>
        <v/>
      </c>
      <c r="AU687" t="inlineStr">
        <is>
          <t>445725:eng</t>
        </is>
      </c>
      <c r="AV687" t="inlineStr">
        <is>
          <t>894076</t>
        </is>
      </c>
      <c r="AW687" t="inlineStr">
        <is>
          <t>991003358749702656</t>
        </is>
      </c>
      <c r="AX687" t="inlineStr">
        <is>
          <t>991003358749702656</t>
        </is>
      </c>
      <c r="AY687" t="inlineStr">
        <is>
          <t>2260368770002656</t>
        </is>
      </c>
      <c r="AZ687" t="inlineStr">
        <is>
          <t>BOOK</t>
        </is>
      </c>
      <c r="BC687" t="inlineStr">
        <is>
          <t>32285002695574</t>
        </is>
      </c>
      <c r="BD687" t="inlineStr">
        <is>
          <t>893317921</t>
        </is>
      </c>
    </row>
    <row r="688">
      <c r="A688" t="inlineStr">
        <is>
          <t>No</t>
        </is>
      </c>
      <c r="B688" t="inlineStr">
        <is>
          <t>GN405 .L8</t>
        </is>
      </c>
      <c r="C688" t="inlineStr">
        <is>
          <t>0                      GN 0405000L  8</t>
        </is>
      </c>
      <c r="D688" t="inlineStr">
        <is>
          <t>The church and cultures; an applied anthropology for the religious worker.</t>
        </is>
      </c>
      <c r="F688" t="inlineStr">
        <is>
          <t>No</t>
        </is>
      </c>
      <c r="G688" t="inlineStr">
        <is>
          <t>1</t>
        </is>
      </c>
      <c r="H688" t="inlineStr">
        <is>
          <t>No</t>
        </is>
      </c>
      <c r="I688" t="inlineStr">
        <is>
          <t>No</t>
        </is>
      </c>
      <c r="J688" t="inlineStr">
        <is>
          <t>0</t>
        </is>
      </c>
      <c r="K688" t="inlineStr">
        <is>
          <t>Luzbetak, Louis J.</t>
        </is>
      </c>
      <c r="L688" t="inlineStr">
        <is>
          <t>Techny, Ill., Divine Word Publications, [1963].</t>
        </is>
      </c>
      <c r="M688" t="inlineStr">
        <is>
          <t>1963</t>
        </is>
      </c>
      <c r="O688" t="inlineStr">
        <is>
          <t>eng</t>
        </is>
      </c>
      <c r="P688" t="inlineStr">
        <is>
          <t>ilu</t>
        </is>
      </c>
      <c r="R688" t="inlineStr">
        <is>
          <t xml:space="preserve">GN </t>
        </is>
      </c>
      <c r="S688" t="n">
        <v>1</v>
      </c>
      <c r="T688" t="n">
        <v>1</v>
      </c>
      <c r="U688" t="inlineStr">
        <is>
          <t>1998-10-12</t>
        </is>
      </c>
      <c r="V688" t="inlineStr">
        <is>
          <t>1998-10-12</t>
        </is>
      </c>
      <c r="W688" t="inlineStr">
        <is>
          <t>1997-05-28</t>
        </is>
      </c>
      <c r="X688" t="inlineStr">
        <is>
          <t>1997-05-28</t>
        </is>
      </c>
      <c r="Y688" t="n">
        <v>223</v>
      </c>
      <c r="Z688" t="n">
        <v>180</v>
      </c>
      <c r="AA688" t="n">
        <v>357</v>
      </c>
      <c r="AB688" t="n">
        <v>2</v>
      </c>
      <c r="AC688" t="n">
        <v>3</v>
      </c>
      <c r="AD688" t="n">
        <v>15</v>
      </c>
      <c r="AE688" t="n">
        <v>17</v>
      </c>
      <c r="AF688" t="n">
        <v>4</v>
      </c>
      <c r="AG688" t="n">
        <v>5</v>
      </c>
      <c r="AH688" t="n">
        <v>3</v>
      </c>
      <c r="AI688" t="n">
        <v>4</v>
      </c>
      <c r="AJ688" t="n">
        <v>13</v>
      </c>
      <c r="AK688" t="n">
        <v>15</v>
      </c>
      <c r="AL688" t="n">
        <v>0</v>
      </c>
      <c r="AM688" t="n">
        <v>0</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HYPERLINK("https://creighton-primo.hosted.exlibrisgroup.com/primo-explore/search?tab=default_tab&amp;search_scope=EVERYTHING&amp;vid=01CRU&amp;lang=en_US&amp;offset=0&amp;query=any,contains,991003706259702656","Catalog Record")</f>
        <v/>
      </c>
      <c r="AT688">
        <f>HYPERLINK("http://www.worldcat.org/oclc/1343960","WorldCat Record")</f>
        <v/>
      </c>
      <c r="AU688" t="inlineStr">
        <is>
          <t>537535:eng</t>
        </is>
      </c>
      <c r="AV688" t="inlineStr">
        <is>
          <t>1343960</t>
        </is>
      </c>
      <c r="AW688" t="inlineStr">
        <is>
          <t>991003706259702656</t>
        </is>
      </c>
      <c r="AX688" t="inlineStr">
        <is>
          <t>991003706259702656</t>
        </is>
      </c>
      <c r="AY688" t="inlineStr">
        <is>
          <t>2263676720002656</t>
        </is>
      </c>
      <c r="AZ688" t="inlineStr">
        <is>
          <t>BOOK</t>
        </is>
      </c>
      <c r="BC688" t="inlineStr">
        <is>
          <t>32285002695582</t>
        </is>
      </c>
      <c r="BD688" t="inlineStr">
        <is>
          <t>893686845</t>
        </is>
      </c>
    </row>
    <row r="689">
      <c r="A689" t="inlineStr">
        <is>
          <t>No</t>
        </is>
      </c>
      <c r="B689" t="inlineStr">
        <is>
          <t>GN405 .M4 1961</t>
        </is>
      </c>
      <c r="C689" t="inlineStr">
        <is>
          <t>0                      GN 0405000M  4           1961</t>
        </is>
      </c>
      <c r="D689" t="inlineStr">
        <is>
          <t>Cooperation and competition among primitive peoples.</t>
        </is>
      </c>
      <c r="F689" t="inlineStr">
        <is>
          <t>No</t>
        </is>
      </c>
      <c r="G689" t="inlineStr">
        <is>
          <t>1</t>
        </is>
      </c>
      <c r="H689" t="inlineStr">
        <is>
          <t>No</t>
        </is>
      </c>
      <c r="I689" t="inlineStr">
        <is>
          <t>No</t>
        </is>
      </c>
      <c r="J689" t="inlineStr">
        <is>
          <t>0</t>
        </is>
      </c>
      <c r="K689" t="inlineStr">
        <is>
          <t>Mead, Margaret, 1901-1978 editor.</t>
        </is>
      </c>
      <c r="L689" t="inlineStr">
        <is>
          <t>Boston, Beacon Press [1961]</t>
        </is>
      </c>
      <c r="M689" t="inlineStr">
        <is>
          <t>1961</t>
        </is>
      </c>
      <c r="N689" t="inlineStr">
        <is>
          <t>[Enl. ed. with a new pref. and appraisal]</t>
        </is>
      </c>
      <c r="O689" t="inlineStr">
        <is>
          <t>eng</t>
        </is>
      </c>
      <c r="P689" t="inlineStr">
        <is>
          <t>mau</t>
        </is>
      </c>
      <c r="Q689" t="inlineStr">
        <is>
          <t>Beacon ; BP123</t>
        </is>
      </c>
      <c r="R689" t="inlineStr">
        <is>
          <t xml:space="preserve">GN </t>
        </is>
      </c>
      <c r="S689" t="n">
        <v>2</v>
      </c>
      <c r="T689" t="n">
        <v>2</v>
      </c>
      <c r="U689" t="inlineStr">
        <is>
          <t>2003-07-25</t>
        </is>
      </c>
      <c r="V689" t="inlineStr">
        <is>
          <t>2003-07-25</t>
        </is>
      </c>
      <c r="W689" t="inlineStr">
        <is>
          <t>1997-05-28</t>
        </is>
      </c>
      <c r="X689" t="inlineStr">
        <is>
          <t>1997-05-28</t>
        </is>
      </c>
      <c r="Y689" t="n">
        <v>704</v>
      </c>
      <c r="Z689" t="n">
        <v>621</v>
      </c>
      <c r="AA689" t="n">
        <v>638</v>
      </c>
      <c r="AB689" t="n">
        <v>5</v>
      </c>
      <c r="AC689" t="n">
        <v>5</v>
      </c>
      <c r="AD689" t="n">
        <v>27</v>
      </c>
      <c r="AE689" t="n">
        <v>28</v>
      </c>
      <c r="AF689" t="n">
        <v>14</v>
      </c>
      <c r="AG689" t="n">
        <v>14</v>
      </c>
      <c r="AH689" t="n">
        <v>2</v>
      </c>
      <c r="AI689" t="n">
        <v>2</v>
      </c>
      <c r="AJ689" t="n">
        <v>11</v>
      </c>
      <c r="AK689" t="n">
        <v>12</v>
      </c>
      <c r="AL689" t="n">
        <v>3</v>
      </c>
      <c r="AM689" t="n">
        <v>3</v>
      </c>
      <c r="AN689" t="n">
        <v>1</v>
      </c>
      <c r="AO689" t="n">
        <v>1</v>
      </c>
      <c r="AP689" t="inlineStr">
        <is>
          <t>No</t>
        </is>
      </c>
      <c r="AQ689" t="inlineStr">
        <is>
          <t>No</t>
        </is>
      </c>
      <c r="AR689">
        <f>HYPERLINK("http://catalog.hathitrust.org/Record/001274640","HathiTrust Record")</f>
        <v/>
      </c>
      <c r="AS689">
        <f>HYPERLINK("https://creighton-primo.hosted.exlibrisgroup.com/primo-explore/search?tab=default_tab&amp;search_scope=EVERYTHING&amp;vid=01CRU&amp;lang=en_US&amp;offset=0&amp;query=any,contains,991001046919702656","Catalog Record")</f>
        <v/>
      </c>
      <c r="AT689">
        <f>HYPERLINK("http://www.worldcat.org/oclc/176303","WorldCat Record")</f>
        <v/>
      </c>
      <c r="AU689" t="inlineStr">
        <is>
          <t>10567905508:eng</t>
        </is>
      </c>
      <c r="AV689" t="inlineStr">
        <is>
          <t>176303</t>
        </is>
      </c>
      <c r="AW689" t="inlineStr">
        <is>
          <t>991001046919702656</t>
        </is>
      </c>
      <c r="AX689" t="inlineStr">
        <is>
          <t>991001046919702656</t>
        </is>
      </c>
      <c r="AY689" t="inlineStr">
        <is>
          <t>2267728890002656</t>
        </is>
      </c>
      <c r="AZ689" t="inlineStr">
        <is>
          <t>BOOK</t>
        </is>
      </c>
      <c r="BC689" t="inlineStr">
        <is>
          <t>32285002695590</t>
        </is>
      </c>
      <c r="BD689" t="inlineStr">
        <is>
          <t>893231657</t>
        </is>
      </c>
    </row>
    <row r="690">
      <c r="A690" t="inlineStr">
        <is>
          <t>No</t>
        </is>
      </c>
      <c r="B690" t="inlineStr">
        <is>
          <t>GN405 .M8</t>
        </is>
      </c>
      <c r="C690" t="inlineStr">
        <is>
          <t>0                      GN 0405000M  8</t>
        </is>
      </c>
      <c r="D690" t="inlineStr">
        <is>
          <t>Ethnographic atlas.</t>
        </is>
      </c>
      <c r="F690" t="inlineStr">
        <is>
          <t>No</t>
        </is>
      </c>
      <c r="G690" t="inlineStr">
        <is>
          <t>1</t>
        </is>
      </c>
      <c r="H690" t="inlineStr">
        <is>
          <t>No</t>
        </is>
      </c>
      <c r="I690" t="inlineStr">
        <is>
          <t>No</t>
        </is>
      </c>
      <c r="J690" t="inlineStr">
        <is>
          <t>0</t>
        </is>
      </c>
      <c r="K690" t="inlineStr">
        <is>
          <t>Murdock, George Peter, 1897-1985.</t>
        </is>
      </c>
      <c r="L690" t="inlineStr">
        <is>
          <t>[Pittsburgh] University of Pittsburgh Press [1967]</t>
        </is>
      </c>
      <c r="M690" t="inlineStr">
        <is>
          <t>1967</t>
        </is>
      </c>
      <c r="O690" t="inlineStr">
        <is>
          <t>eng</t>
        </is>
      </c>
      <c r="P690" t="inlineStr">
        <is>
          <t>pau</t>
        </is>
      </c>
      <c r="R690" t="inlineStr">
        <is>
          <t xml:space="preserve">GN </t>
        </is>
      </c>
      <c r="S690" t="n">
        <v>1</v>
      </c>
      <c r="T690" t="n">
        <v>1</v>
      </c>
      <c r="U690" t="inlineStr">
        <is>
          <t>2003-08-04</t>
        </is>
      </c>
      <c r="V690" t="inlineStr">
        <is>
          <t>2003-08-04</t>
        </is>
      </c>
      <c r="W690" t="inlineStr">
        <is>
          <t>1997-05-28</t>
        </is>
      </c>
      <c r="X690" t="inlineStr">
        <is>
          <t>1997-05-28</t>
        </is>
      </c>
      <c r="Y690" t="n">
        <v>718</v>
      </c>
      <c r="Z690" t="n">
        <v>629</v>
      </c>
      <c r="AA690" t="n">
        <v>658</v>
      </c>
      <c r="AB690" t="n">
        <v>5</v>
      </c>
      <c r="AC690" t="n">
        <v>5</v>
      </c>
      <c r="AD690" t="n">
        <v>24</v>
      </c>
      <c r="AE690" t="n">
        <v>26</v>
      </c>
      <c r="AF690" t="n">
        <v>8</v>
      </c>
      <c r="AG690" t="n">
        <v>9</v>
      </c>
      <c r="AH690" t="n">
        <v>5</v>
      </c>
      <c r="AI690" t="n">
        <v>6</v>
      </c>
      <c r="AJ690" t="n">
        <v>13</v>
      </c>
      <c r="AK690" t="n">
        <v>13</v>
      </c>
      <c r="AL690" t="n">
        <v>4</v>
      </c>
      <c r="AM690" t="n">
        <v>4</v>
      </c>
      <c r="AN690" t="n">
        <v>0</v>
      </c>
      <c r="AO690" t="n">
        <v>0</v>
      </c>
      <c r="AP690" t="inlineStr">
        <is>
          <t>No</t>
        </is>
      </c>
      <c r="AQ690" t="inlineStr">
        <is>
          <t>Yes</t>
        </is>
      </c>
      <c r="AR690">
        <f>HYPERLINK("http://catalog.hathitrust.org/Record/001274584","HathiTrust Record")</f>
        <v/>
      </c>
      <c r="AS690">
        <f>HYPERLINK("https://creighton-primo.hosted.exlibrisgroup.com/primo-explore/search?tab=default_tab&amp;search_scope=EVERYTHING&amp;vid=01CRU&amp;lang=en_US&amp;offset=0&amp;query=any,contains,991002704489702656","Catalog Record")</f>
        <v/>
      </c>
      <c r="AT690">
        <f>HYPERLINK("http://www.worldcat.org/oclc/406654","WorldCat Record")</f>
        <v/>
      </c>
      <c r="AU690" t="inlineStr">
        <is>
          <t>4927730235:eng</t>
        </is>
      </c>
      <c r="AV690" t="inlineStr">
        <is>
          <t>406654</t>
        </is>
      </c>
      <c r="AW690" t="inlineStr">
        <is>
          <t>991002704489702656</t>
        </is>
      </c>
      <c r="AX690" t="inlineStr">
        <is>
          <t>991002704489702656</t>
        </is>
      </c>
      <c r="AY690" t="inlineStr">
        <is>
          <t>2261021170002656</t>
        </is>
      </c>
      <c r="AZ690" t="inlineStr">
        <is>
          <t>BOOK</t>
        </is>
      </c>
      <c r="BC690" t="inlineStr">
        <is>
          <t>32285002695608</t>
        </is>
      </c>
      <c r="BD690" t="inlineStr">
        <is>
          <t>893421694</t>
        </is>
      </c>
    </row>
    <row r="691">
      <c r="A691" t="inlineStr">
        <is>
          <t>No</t>
        </is>
      </c>
      <c r="B691" t="inlineStr">
        <is>
          <t>GN405 .S25</t>
        </is>
      </c>
      <c r="C691" t="inlineStr">
        <is>
          <t>0                      GN 0405000S  25</t>
        </is>
      </c>
      <c r="D691" t="inlineStr">
        <is>
          <t>Evolution and culture, by Thomas G. Harding [and others] Edited by Marshall D. Sahlins &amp; Elman R. Service. Foreword by Leslie A. White.</t>
        </is>
      </c>
      <c r="F691" t="inlineStr">
        <is>
          <t>No</t>
        </is>
      </c>
      <c r="G691" t="inlineStr">
        <is>
          <t>1</t>
        </is>
      </c>
      <c r="H691" t="inlineStr">
        <is>
          <t>No</t>
        </is>
      </c>
      <c r="I691" t="inlineStr">
        <is>
          <t>No</t>
        </is>
      </c>
      <c r="J691" t="inlineStr">
        <is>
          <t>0</t>
        </is>
      </c>
      <c r="K691" t="inlineStr">
        <is>
          <t>Sahlins, Marshall, 1930-, editor.</t>
        </is>
      </c>
      <c r="L691" t="inlineStr">
        <is>
          <t>Ann Arbor, University of Michigan Press [1960]</t>
        </is>
      </c>
      <c r="M691" t="inlineStr">
        <is>
          <t>1960</t>
        </is>
      </c>
      <c r="O691" t="inlineStr">
        <is>
          <t>eng</t>
        </is>
      </c>
      <c r="P691" t="inlineStr">
        <is>
          <t>miu</t>
        </is>
      </c>
      <c r="R691" t="inlineStr">
        <is>
          <t xml:space="preserve">GN </t>
        </is>
      </c>
      <c r="S691" t="n">
        <v>3</v>
      </c>
      <c r="T691" t="n">
        <v>3</v>
      </c>
      <c r="U691" t="inlineStr">
        <is>
          <t>2009-04-20</t>
        </is>
      </c>
      <c r="V691" t="inlineStr">
        <is>
          <t>2009-04-20</t>
        </is>
      </c>
      <c r="W691" t="inlineStr">
        <is>
          <t>1997-05-28</t>
        </is>
      </c>
      <c r="X691" t="inlineStr">
        <is>
          <t>1997-05-28</t>
        </is>
      </c>
      <c r="Y691" t="n">
        <v>880</v>
      </c>
      <c r="Z691" t="n">
        <v>725</v>
      </c>
      <c r="AA691" t="n">
        <v>799</v>
      </c>
      <c r="AB691" t="n">
        <v>5</v>
      </c>
      <c r="AC691" t="n">
        <v>5</v>
      </c>
      <c r="AD691" t="n">
        <v>39</v>
      </c>
      <c r="AE691" t="n">
        <v>41</v>
      </c>
      <c r="AF691" t="n">
        <v>18</v>
      </c>
      <c r="AG691" t="n">
        <v>20</v>
      </c>
      <c r="AH691" t="n">
        <v>7</v>
      </c>
      <c r="AI691" t="n">
        <v>7</v>
      </c>
      <c r="AJ691" t="n">
        <v>21</v>
      </c>
      <c r="AK691" t="n">
        <v>21</v>
      </c>
      <c r="AL691" t="n">
        <v>4</v>
      </c>
      <c r="AM691" t="n">
        <v>4</v>
      </c>
      <c r="AN691" t="n">
        <v>0</v>
      </c>
      <c r="AO691" t="n">
        <v>0</v>
      </c>
      <c r="AP691" t="inlineStr">
        <is>
          <t>No</t>
        </is>
      </c>
      <c r="AQ691" t="inlineStr">
        <is>
          <t>Yes</t>
        </is>
      </c>
      <c r="AR691">
        <f>HYPERLINK("http://catalog.hathitrust.org/Record/000011417","HathiTrust Record")</f>
        <v/>
      </c>
      <c r="AS691">
        <f>HYPERLINK("https://creighton-primo.hosted.exlibrisgroup.com/primo-explore/search?tab=default_tab&amp;search_scope=EVERYTHING&amp;vid=01CRU&amp;lang=en_US&amp;offset=0&amp;query=any,contains,991002857959702656","Catalog Record")</f>
        <v/>
      </c>
      <c r="AT691">
        <f>HYPERLINK("http://www.worldcat.org/oclc/491447","WorldCat Record")</f>
        <v/>
      </c>
      <c r="AU691" t="inlineStr">
        <is>
          <t>119161680:eng</t>
        </is>
      </c>
      <c r="AV691" t="inlineStr">
        <is>
          <t>491447</t>
        </is>
      </c>
      <c r="AW691" t="inlineStr">
        <is>
          <t>991002857959702656</t>
        </is>
      </c>
      <c r="AX691" t="inlineStr">
        <is>
          <t>991002857959702656</t>
        </is>
      </c>
      <c r="AY691" t="inlineStr">
        <is>
          <t>2259688660002656</t>
        </is>
      </c>
      <c r="AZ691" t="inlineStr">
        <is>
          <t>BOOK</t>
        </is>
      </c>
      <c r="BC691" t="inlineStr">
        <is>
          <t>32285002695616</t>
        </is>
      </c>
      <c r="BD691" t="inlineStr">
        <is>
          <t>893245736</t>
        </is>
      </c>
    </row>
    <row r="692">
      <c r="A692" t="inlineStr">
        <is>
          <t>No</t>
        </is>
      </c>
      <c r="B692" t="inlineStr">
        <is>
          <t>GN406 .E96 1997</t>
        </is>
      </c>
      <c r="C692" t="inlineStr">
        <is>
          <t>0                      GN 0406000E  96          1997</t>
        </is>
      </c>
      <c r="D692" t="inlineStr">
        <is>
          <t>Experiencing material culture in the Western world / edited by Susan M. Pearce.</t>
        </is>
      </c>
      <c r="F692" t="inlineStr">
        <is>
          <t>No</t>
        </is>
      </c>
      <c r="G692" t="inlineStr">
        <is>
          <t>1</t>
        </is>
      </c>
      <c r="H692" t="inlineStr">
        <is>
          <t>No</t>
        </is>
      </c>
      <c r="I692" t="inlineStr">
        <is>
          <t>No</t>
        </is>
      </c>
      <c r="J692" t="inlineStr">
        <is>
          <t>0</t>
        </is>
      </c>
      <c r="L692" t="inlineStr">
        <is>
          <t>London ; Washington : Leicester University Press, 1997.</t>
        </is>
      </c>
      <c r="M692" t="inlineStr">
        <is>
          <t>1997</t>
        </is>
      </c>
      <c r="O692" t="inlineStr">
        <is>
          <t>eng</t>
        </is>
      </c>
      <c r="P692" t="inlineStr">
        <is>
          <t>enk</t>
        </is>
      </c>
      <c r="Q692" t="inlineStr">
        <is>
          <t>Contemporary issues in museum culture</t>
        </is>
      </c>
      <c r="R692" t="inlineStr">
        <is>
          <t xml:space="preserve">GN </t>
        </is>
      </c>
      <c r="S692" t="n">
        <v>2</v>
      </c>
      <c r="T692" t="n">
        <v>2</v>
      </c>
      <c r="U692" t="inlineStr">
        <is>
          <t>2001-05-29</t>
        </is>
      </c>
      <c r="V692" t="inlineStr">
        <is>
          <t>2001-05-29</t>
        </is>
      </c>
      <c r="W692" t="inlineStr">
        <is>
          <t>2001-05-17</t>
        </is>
      </c>
      <c r="X692" t="inlineStr">
        <is>
          <t>2001-05-17</t>
        </is>
      </c>
      <c r="Y692" t="n">
        <v>284</v>
      </c>
      <c r="Z692" t="n">
        <v>154</v>
      </c>
      <c r="AA692" t="n">
        <v>156</v>
      </c>
      <c r="AB692" t="n">
        <v>2</v>
      </c>
      <c r="AC692" t="n">
        <v>2</v>
      </c>
      <c r="AD692" t="n">
        <v>7</v>
      </c>
      <c r="AE692" t="n">
        <v>7</v>
      </c>
      <c r="AF692" t="n">
        <v>0</v>
      </c>
      <c r="AG692" t="n">
        <v>0</v>
      </c>
      <c r="AH692" t="n">
        <v>3</v>
      </c>
      <c r="AI692" t="n">
        <v>3</v>
      </c>
      <c r="AJ692" t="n">
        <v>4</v>
      </c>
      <c r="AK692" t="n">
        <v>4</v>
      </c>
      <c r="AL692" t="n">
        <v>1</v>
      </c>
      <c r="AM692" t="n">
        <v>1</v>
      </c>
      <c r="AN692" t="n">
        <v>0</v>
      </c>
      <c r="AO692" t="n">
        <v>0</v>
      </c>
      <c r="AP692" t="inlineStr">
        <is>
          <t>No</t>
        </is>
      </c>
      <c r="AQ692" t="inlineStr">
        <is>
          <t>Yes</t>
        </is>
      </c>
      <c r="AR692">
        <f>HYPERLINK("http://catalog.hathitrust.org/Record/003163581","HathiTrust Record")</f>
        <v/>
      </c>
      <c r="AS692">
        <f>HYPERLINK("https://creighton-primo.hosted.exlibrisgroup.com/primo-explore/search?tab=default_tab&amp;search_scope=EVERYTHING&amp;vid=01CRU&amp;lang=en_US&amp;offset=0&amp;query=any,contains,991003533269702656","Catalog Record")</f>
        <v/>
      </c>
      <c r="AT692">
        <f>HYPERLINK("http://www.worldcat.org/oclc/34919814","WorldCat Record")</f>
        <v/>
      </c>
      <c r="AU692" t="inlineStr">
        <is>
          <t>581425:eng</t>
        </is>
      </c>
      <c r="AV692" t="inlineStr">
        <is>
          <t>34919814</t>
        </is>
      </c>
      <c r="AW692" t="inlineStr">
        <is>
          <t>991003533269702656</t>
        </is>
      </c>
      <c r="AX692" t="inlineStr">
        <is>
          <t>991003533269702656</t>
        </is>
      </c>
      <c r="AY692" t="inlineStr">
        <is>
          <t>2259792590002656</t>
        </is>
      </c>
      <c r="AZ692" t="inlineStr">
        <is>
          <t>BOOK</t>
        </is>
      </c>
      <c r="BB692" t="inlineStr">
        <is>
          <t>9780718500214</t>
        </is>
      </c>
      <c r="BC692" t="inlineStr">
        <is>
          <t>32285004318027</t>
        </is>
      </c>
      <c r="BD692" t="inlineStr">
        <is>
          <t>893246450</t>
        </is>
      </c>
    </row>
    <row r="693">
      <c r="A693" t="inlineStr">
        <is>
          <t>No</t>
        </is>
      </c>
      <c r="B693" t="inlineStr">
        <is>
          <t>GN406 .M87 1991</t>
        </is>
      </c>
      <c r="C693" t="inlineStr">
        <is>
          <t>0                      GN 0406000M  87          1991</t>
        </is>
      </c>
      <c r="D693" t="inlineStr">
        <is>
          <t>Museum studies in material culture / edited by Susan M. Pearce.</t>
        </is>
      </c>
      <c r="F693" t="inlineStr">
        <is>
          <t>No</t>
        </is>
      </c>
      <c r="G693" t="inlineStr">
        <is>
          <t>1</t>
        </is>
      </c>
      <c r="H693" t="inlineStr">
        <is>
          <t>No</t>
        </is>
      </c>
      <c r="I693" t="inlineStr">
        <is>
          <t>No</t>
        </is>
      </c>
      <c r="J693" t="inlineStr">
        <is>
          <t>0</t>
        </is>
      </c>
      <c r="L693" t="inlineStr">
        <is>
          <t>Washington, D.C. : Smithsonian Institution Press, 1991.</t>
        </is>
      </c>
      <c r="M693" t="inlineStr">
        <is>
          <t>1991</t>
        </is>
      </c>
      <c r="O693" t="inlineStr">
        <is>
          <t>eng</t>
        </is>
      </c>
      <c r="P693" t="inlineStr">
        <is>
          <t>dcu</t>
        </is>
      </c>
      <c r="R693" t="inlineStr">
        <is>
          <t xml:space="preserve">GN </t>
        </is>
      </c>
      <c r="S693" t="n">
        <v>1</v>
      </c>
      <c r="T693" t="n">
        <v>1</v>
      </c>
      <c r="U693" t="inlineStr">
        <is>
          <t>2001-03-28</t>
        </is>
      </c>
      <c r="V693" t="inlineStr">
        <is>
          <t>2001-03-28</t>
        </is>
      </c>
      <c r="W693" t="inlineStr">
        <is>
          <t>2001-03-28</t>
        </is>
      </c>
      <c r="X693" t="inlineStr">
        <is>
          <t>2001-03-28</t>
        </is>
      </c>
      <c r="Y693" t="n">
        <v>70</v>
      </c>
      <c r="Z693" t="n">
        <v>67</v>
      </c>
      <c r="AA693" t="n">
        <v>289</v>
      </c>
      <c r="AB693" t="n">
        <v>2</v>
      </c>
      <c r="AC693" t="n">
        <v>2</v>
      </c>
      <c r="AD693" t="n">
        <v>5</v>
      </c>
      <c r="AE693" t="n">
        <v>10</v>
      </c>
      <c r="AF693" t="n">
        <v>0</v>
      </c>
      <c r="AG693" t="n">
        <v>1</v>
      </c>
      <c r="AH693" t="n">
        <v>2</v>
      </c>
      <c r="AI693" t="n">
        <v>3</v>
      </c>
      <c r="AJ693" t="n">
        <v>3</v>
      </c>
      <c r="AK693" t="n">
        <v>6</v>
      </c>
      <c r="AL693" t="n">
        <v>1</v>
      </c>
      <c r="AM693" t="n">
        <v>1</v>
      </c>
      <c r="AN693" t="n">
        <v>0</v>
      </c>
      <c r="AO693" t="n">
        <v>0</v>
      </c>
      <c r="AP693" t="inlineStr">
        <is>
          <t>No</t>
        </is>
      </c>
      <c r="AQ693" t="inlineStr">
        <is>
          <t>Yes</t>
        </is>
      </c>
      <c r="AR693">
        <f>HYPERLINK("http://catalog.hathitrust.org/Record/007111118","HathiTrust Record")</f>
        <v/>
      </c>
      <c r="AS693">
        <f>HYPERLINK("https://creighton-primo.hosted.exlibrisgroup.com/primo-explore/search?tab=default_tab&amp;search_scope=EVERYTHING&amp;vid=01CRU&amp;lang=en_US&amp;offset=0&amp;query=any,contains,991003521089702656","Catalog Record")</f>
        <v/>
      </c>
      <c r="AT693">
        <f>HYPERLINK("http://www.worldcat.org/oclc/28657323","WorldCat Record")</f>
        <v/>
      </c>
      <c r="AU693" t="inlineStr">
        <is>
          <t>55521641:eng</t>
        </is>
      </c>
      <c r="AV693" t="inlineStr">
        <is>
          <t>28657323</t>
        </is>
      </c>
      <c r="AW693" t="inlineStr">
        <is>
          <t>991003521089702656</t>
        </is>
      </c>
      <c r="AX693" t="inlineStr">
        <is>
          <t>991003521089702656</t>
        </is>
      </c>
      <c r="AY693" t="inlineStr">
        <is>
          <t>2269894330002656</t>
        </is>
      </c>
      <c r="AZ693" t="inlineStr">
        <is>
          <t>BOOK</t>
        </is>
      </c>
      <c r="BB693" t="inlineStr">
        <is>
          <t>9781560981244</t>
        </is>
      </c>
      <c r="BC693" t="inlineStr">
        <is>
          <t>32285004308275</t>
        </is>
      </c>
      <c r="BD693" t="inlineStr">
        <is>
          <t>893336574</t>
        </is>
      </c>
    </row>
    <row r="694">
      <c r="A694" t="inlineStr">
        <is>
          <t>No</t>
        </is>
      </c>
      <c r="B694" t="inlineStr">
        <is>
          <t>GN407 .W56 1979</t>
        </is>
      </c>
      <c r="C694" t="inlineStr">
        <is>
          <t>0                      GN 0407000W  56          1979</t>
        </is>
      </c>
      <c r="D694" t="inlineStr">
        <is>
          <t>Paleonutrition : method and theory in prehistoric foodways / Elizabeth S. Wing, Antoinette B. Brown.</t>
        </is>
      </c>
      <c r="F694" t="inlineStr">
        <is>
          <t>No</t>
        </is>
      </c>
      <c r="G694" t="inlineStr">
        <is>
          <t>1</t>
        </is>
      </c>
      <c r="H694" t="inlineStr">
        <is>
          <t>No</t>
        </is>
      </c>
      <c r="I694" t="inlineStr">
        <is>
          <t>No</t>
        </is>
      </c>
      <c r="J694" t="inlineStr">
        <is>
          <t>0</t>
        </is>
      </c>
      <c r="K694" t="inlineStr">
        <is>
          <t>Wing, Elizabeth S.</t>
        </is>
      </c>
      <c r="L694" t="inlineStr">
        <is>
          <t>New York : Academic Press, c1979.</t>
        </is>
      </c>
      <c r="M694" t="inlineStr">
        <is>
          <t>1979</t>
        </is>
      </c>
      <c r="O694" t="inlineStr">
        <is>
          <t>eng</t>
        </is>
      </c>
      <c r="P694" t="inlineStr">
        <is>
          <t>nyu</t>
        </is>
      </c>
      <c r="Q694" t="inlineStr">
        <is>
          <t>Studies in archaeology</t>
        </is>
      </c>
      <c r="R694" t="inlineStr">
        <is>
          <t xml:space="preserve">GN </t>
        </is>
      </c>
      <c r="S694" t="n">
        <v>1</v>
      </c>
      <c r="T694" t="n">
        <v>1</v>
      </c>
      <c r="U694" t="inlineStr">
        <is>
          <t>2004-01-15</t>
        </is>
      </c>
      <c r="V694" t="inlineStr">
        <is>
          <t>2004-01-15</t>
        </is>
      </c>
      <c r="W694" t="inlineStr">
        <is>
          <t>1990-09-26</t>
        </is>
      </c>
      <c r="X694" t="inlineStr">
        <is>
          <t>1990-09-26</t>
        </is>
      </c>
      <c r="Y694" t="n">
        <v>465</v>
      </c>
      <c r="Z694" t="n">
        <v>345</v>
      </c>
      <c r="AA694" t="n">
        <v>348</v>
      </c>
      <c r="AB694" t="n">
        <v>3</v>
      </c>
      <c r="AC694" t="n">
        <v>3</v>
      </c>
      <c r="AD694" t="n">
        <v>7</v>
      </c>
      <c r="AE694" t="n">
        <v>7</v>
      </c>
      <c r="AF694" t="n">
        <v>2</v>
      </c>
      <c r="AG694" t="n">
        <v>2</v>
      </c>
      <c r="AH694" t="n">
        <v>1</v>
      </c>
      <c r="AI694" t="n">
        <v>1</v>
      </c>
      <c r="AJ694" t="n">
        <v>2</v>
      </c>
      <c r="AK694" t="n">
        <v>2</v>
      </c>
      <c r="AL694" t="n">
        <v>2</v>
      </c>
      <c r="AM694" t="n">
        <v>2</v>
      </c>
      <c r="AN694" t="n">
        <v>0</v>
      </c>
      <c r="AO694" t="n">
        <v>0</v>
      </c>
      <c r="AP694" t="inlineStr">
        <is>
          <t>No</t>
        </is>
      </c>
      <c r="AQ694" t="inlineStr">
        <is>
          <t>Yes</t>
        </is>
      </c>
      <c r="AR694">
        <f>HYPERLINK("http://catalog.hathitrust.org/Record/000042628","HathiTrust Record")</f>
        <v/>
      </c>
      <c r="AS694">
        <f>HYPERLINK("https://creighton-primo.hosted.exlibrisgroup.com/primo-explore/search?tab=default_tab&amp;search_scope=EVERYTHING&amp;vid=01CRU&amp;lang=en_US&amp;offset=0&amp;query=any,contains,991004831479702656","Catalog Record")</f>
        <v/>
      </c>
      <c r="AT694">
        <f>HYPERLINK("http://www.worldcat.org/oclc/5411236","WorldCat Record")</f>
        <v/>
      </c>
      <c r="AU694" t="inlineStr">
        <is>
          <t>327779745:eng</t>
        </is>
      </c>
      <c r="AV694" t="inlineStr">
        <is>
          <t>5411236</t>
        </is>
      </c>
      <c r="AW694" t="inlineStr">
        <is>
          <t>991004831479702656</t>
        </is>
      </c>
      <c r="AX694" t="inlineStr">
        <is>
          <t>991004831479702656</t>
        </is>
      </c>
      <c r="AY694" t="inlineStr">
        <is>
          <t>2256409190002656</t>
        </is>
      </c>
      <c r="AZ694" t="inlineStr">
        <is>
          <t>BOOK</t>
        </is>
      </c>
      <c r="BB694" t="inlineStr">
        <is>
          <t>9780127593500</t>
        </is>
      </c>
      <c r="BC694" t="inlineStr">
        <is>
          <t>32285000316249</t>
        </is>
      </c>
      <c r="BD694" t="inlineStr">
        <is>
          <t>893263467</t>
        </is>
      </c>
    </row>
    <row r="695">
      <c r="A695" t="inlineStr">
        <is>
          <t>No</t>
        </is>
      </c>
      <c r="B695" t="inlineStr">
        <is>
          <t>GN409 .A73</t>
        </is>
      </c>
      <c r="C695" t="inlineStr">
        <is>
          <t>0                      GN 0409000A  73</t>
        </is>
      </c>
      <c r="D695" t="inlineStr">
        <is>
          <t>The man-eating myth : anthropology &amp; anthropophagy / W. Arens.</t>
        </is>
      </c>
      <c r="F695" t="inlineStr">
        <is>
          <t>No</t>
        </is>
      </c>
      <c r="G695" t="inlineStr">
        <is>
          <t>1</t>
        </is>
      </c>
      <c r="H695" t="inlineStr">
        <is>
          <t>No</t>
        </is>
      </c>
      <c r="I695" t="inlineStr">
        <is>
          <t>No</t>
        </is>
      </c>
      <c r="J695" t="inlineStr">
        <is>
          <t>0</t>
        </is>
      </c>
      <c r="K695" t="inlineStr">
        <is>
          <t>Arens, W., 1940-</t>
        </is>
      </c>
      <c r="L695" t="inlineStr">
        <is>
          <t>New York : Oxford University Press, 1979.</t>
        </is>
      </c>
      <c r="M695" t="inlineStr">
        <is>
          <t>1979</t>
        </is>
      </c>
      <c r="O695" t="inlineStr">
        <is>
          <t>eng</t>
        </is>
      </c>
      <c r="P695" t="inlineStr">
        <is>
          <t>nyu</t>
        </is>
      </c>
      <c r="R695" t="inlineStr">
        <is>
          <t xml:space="preserve">GN </t>
        </is>
      </c>
      <c r="S695" t="n">
        <v>18</v>
      </c>
      <c r="T695" t="n">
        <v>18</v>
      </c>
      <c r="U695" t="inlineStr">
        <is>
          <t>2000-12-04</t>
        </is>
      </c>
      <c r="V695" t="inlineStr">
        <is>
          <t>2000-12-04</t>
        </is>
      </c>
      <c r="W695" t="inlineStr">
        <is>
          <t>1990-09-26</t>
        </is>
      </c>
      <c r="X695" t="inlineStr">
        <is>
          <t>1990-09-26</t>
        </is>
      </c>
      <c r="Y695" t="n">
        <v>1002</v>
      </c>
      <c r="Z695" t="n">
        <v>807</v>
      </c>
      <c r="AA695" t="n">
        <v>857</v>
      </c>
      <c r="AB695" t="n">
        <v>4</v>
      </c>
      <c r="AC695" t="n">
        <v>4</v>
      </c>
      <c r="AD695" t="n">
        <v>24</v>
      </c>
      <c r="AE695" t="n">
        <v>26</v>
      </c>
      <c r="AF695" t="n">
        <v>8</v>
      </c>
      <c r="AG695" t="n">
        <v>9</v>
      </c>
      <c r="AH695" t="n">
        <v>5</v>
      </c>
      <c r="AI695" t="n">
        <v>5</v>
      </c>
      <c r="AJ695" t="n">
        <v>12</v>
      </c>
      <c r="AK695" t="n">
        <v>13</v>
      </c>
      <c r="AL695" t="n">
        <v>3</v>
      </c>
      <c r="AM695" t="n">
        <v>3</v>
      </c>
      <c r="AN695" t="n">
        <v>0</v>
      </c>
      <c r="AO695" t="n">
        <v>0</v>
      </c>
      <c r="AP695" t="inlineStr">
        <is>
          <t>No</t>
        </is>
      </c>
      <c r="AQ695" t="inlineStr">
        <is>
          <t>Yes</t>
        </is>
      </c>
      <c r="AR695">
        <f>HYPERLINK("http://catalog.hathitrust.org/Record/000255896","HathiTrust Record")</f>
        <v/>
      </c>
      <c r="AS695">
        <f>HYPERLINK("https://creighton-primo.hosted.exlibrisgroup.com/primo-explore/search?tab=default_tab&amp;search_scope=EVERYTHING&amp;vid=01CRU&amp;lang=en_US&amp;offset=0&amp;query=any,contains,991004651339702656","Catalog Record")</f>
        <v/>
      </c>
      <c r="AT695">
        <f>HYPERLINK("http://www.worldcat.org/oclc/4494086","WorldCat Record")</f>
        <v/>
      </c>
      <c r="AU695" t="inlineStr">
        <is>
          <t>415130:eng</t>
        </is>
      </c>
      <c r="AV695" t="inlineStr">
        <is>
          <t>4494086</t>
        </is>
      </c>
      <c r="AW695" t="inlineStr">
        <is>
          <t>991004651339702656</t>
        </is>
      </c>
      <c r="AX695" t="inlineStr">
        <is>
          <t>991004651339702656</t>
        </is>
      </c>
      <c r="AY695" t="inlineStr">
        <is>
          <t>2267593050002656</t>
        </is>
      </c>
      <c r="AZ695" t="inlineStr">
        <is>
          <t>BOOK</t>
        </is>
      </c>
      <c r="BB695" t="inlineStr">
        <is>
          <t>9780195025064</t>
        </is>
      </c>
      <c r="BC695" t="inlineStr">
        <is>
          <t>32285000316256</t>
        </is>
      </c>
      <c r="BD695" t="inlineStr">
        <is>
          <t>893719177</t>
        </is>
      </c>
    </row>
    <row r="696">
      <c r="A696" t="inlineStr">
        <is>
          <t>No</t>
        </is>
      </c>
      <c r="B696" t="inlineStr">
        <is>
          <t>GN409.5 .M46 1998</t>
        </is>
      </c>
      <c r="C696" t="inlineStr">
        <is>
          <t>0                      GN 0409500M  46          1998</t>
        </is>
      </c>
      <c r="D696" t="inlineStr">
        <is>
          <t>Man eating bugs : the art and science of eating insects / Peter Menzel and Faith D'Aluisio.</t>
        </is>
      </c>
      <c r="F696" t="inlineStr">
        <is>
          <t>No</t>
        </is>
      </c>
      <c r="G696" t="inlineStr">
        <is>
          <t>1</t>
        </is>
      </c>
      <c r="H696" t="inlineStr">
        <is>
          <t>No</t>
        </is>
      </c>
      <c r="I696" t="inlineStr">
        <is>
          <t>No</t>
        </is>
      </c>
      <c r="J696" t="inlineStr">
        <is>
          <t>0</t>
        </is>
      </c>
      <c r="K696" t="inlineStr">
        <is>
          <t>Menzel, Peter, 1948-</t>
        </is>
      </c>
      <c r="L696" t="inlineStr">
        <is>
          <t>Berkeley, Calif. : Ten Speed Press, c1998.</t>
        </is>
      </c>
      <c r="M696" t="inlineStr">
        <is>
          <t>1998</t>
        </is>
      </c>
      <c r="O696" t="inlineStr">
        <is>
          <t>eng</t>
        </is>
      </c>
      <c r="P696" t="inlineStr">
        <is>
          <t>cau</t>
        </is>
      </c>
      <c r="R696" t="inlineStr">
        <is>
          <t xml:space="preserve">GN </t>
        </is>
      </c>
      <c r="S696" t="n">
        <v>11</v>
      </c>
      <c r="T696" t="n">
        <v>11</v>
      </c>
      <c r="U696" t="inlineStr">
        <is>
          <t>2008-09-23</t>
        </is>
      </c>
      <c r="V696" t="inlineStr">
        <is>
          <t>2008-09-23</t>
        </is>
      </c>
      <c r="W696" t="inlineStr">
        <is>
          <t>2000-12-14</t>
        </is>
      </c>
      <c r="X696" t="inlineStr">
        <is>
          <t>2000-12-14</t>
        </is>
      </c>
      <c r="Y696" t="n">
        <v>623</v>
      </c>
      <c r="Z696" t="n">
        <v>558</v>
      </c>
      <c r="AA696" t="n">
        <v>562</v>
      </c>
      <c r="AB696" t="n">
        <v>7</v>
      </c>
      <c r="AC696" t="n">
        <v>7</v>
      </c>
      <c r="AD696" t="n">
        <v>8</v>
      </c>
      <c r="AE696" t="n">
        <v>8</v>
      </c>
      <c r="AF696" t="n">
        <v>2</v>
      </c>
      <c r="AG696" t="n">
        <v>2</v>
      </c>
      <c r="AH696" t="n">
        <v>1</v>
      </c>
      <c r="AI696" t="n">
        <v>1</v>
      </c>
      <c r="AJ696" t="n">
        <v>3</v>
      </c>
      <c r="AK696" t="n">
        <v>3</v>
      </c>
      <c r="AL696" t="n">
        <v>3</v>
      </c>
      <c r="AM696" t="n">
        <v>3</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HYPERLINK("https://creighton-primo.hosted.exlibrisgroup.com/primo-explore/search?tab=default_tab&amp;search_scope=EVERYTHING&amp;vid=01CRU&amp;lang=en_US&amp;offset=0&amp;query=any,contains,991003355269702656","Catalog Record")</f>
        <v/>
      </c>
      <c r="AT696">
        <f>HYPERLINK("http://www.worldcat.org/oclc/38930504","WorldCat Record")</f>
        <v/>
      </c>
      <c r="AU696" t="inlineStr">
        <is>
          <t>329691725:eng</t>
        </is>
      </c>
      <c r="AV696" t="inlineStr">
        <is>
          <t>38930504</t>
        </is>
      </c>
      <c r="AW696" t="inlineStr">
        <is>
          <t>991003355269702656</t>
        </is>
      </c>
      <c r="AX696" t="inlineStr">
        <is>
          <t>991003355269702656</t>
        </is>
      </c>
      <c r="AY696" t="inlineStr">
        <is>
          <t>2260342520002656</t>
        </is>
      </c>
      <c r="AZ696" t="inlineStr">
        <is>
          <t>BOOK</t>
        </is>
      </c>
      <c r="BB696" t="inlineStr">
        <is>
          <t>9781580080224</t>
        </is>
      </c>
      <c r="BC696" t="inlineStr">
        <is>
          <t>32285004276712</t>
        </is>
      </c>
      <c r="BD696" t="inlineStr">
        <is>
          <t>893610956</t>
        </is>
      </c>
    </row>
    <row r="697">
      <c r="A697" t="inlineStr">
        <is>
          <t>No</t>
        </is>
      </c>
      <c r="B697" t="inlineStr">
        <is>
          <t>GN41.6 .C48 1987</t>
        </is>
      </c>
      <c r="C697" t="inlineStr">
        <is>
          <t>0                      GN 0041600C  48          1987</t>
        </is>
      </c>
      <c r="D697" t="inlineStr">
        <is>
          <t>Children in the field : anthropological experiences / edited by Joan Cassell.</t>
        </is>
      </c>
      <c r="F697" t="inlineStr">
        <is>
          <t>No</t>
        </is>
      </c>
      <c r="G697" t="inlineStr">
        <is>
          <t>1</t>
        </is>
      </c>
      <c r="H697" t="inlineStr">
        <is>
          <t>No</t>
        </is>
      </c>
      <c r="I697" t="inlineStr">
        <is>
          <t>No</t>
        </is>
      </c>
      <c r="J697" t="inlineStr">
        <is>
          <t>0</t>
        </is>
      </c>
      <c r="L697" t="inlineStr">
        <is>
          <t>Philadelphia : Temple University Press, c1987.</t>
        </is>
      </c>
      <c r="M697" t="inlineStr">
        <is>
          <t>1987</t>
        </is>
      </c>
      <c r="O697" t="inlineStr">
        <is>
          <t>eng</t>
        </is>
      </c>
      <c r="P697" t="inlineStr">
        <is>
          <t>pau</t>
        </is>
      </c>
      <c r="R697" t="inlineStr">
        <is>
          <t xml:space="preserve">GN </t>
        </is>
      </c>
      <c r="S697" t="n">
        <v>3</v>
      </c>
      <c r="T697" t="n">
        <v>3</v>
      </c>
      <c r="U697" t="inlineStr">
        <is>
          <t>2008-06-13</t>
        </is>
      </c>
      <c r="V697" t="inlineStr">
        <is>
          <t>2008-06-13</t>
        </is>
      </c>
      <c r="W697" t="inlineStr">
        <is>
          <t>1989-10-19</t>
        </is>
      </c>
      <c r="X697" t="inlineStr">
        <is>
          <t>1989-10-19</t>
        </is>
      </c>
      <c r="Y697" t="n">
        <v>440</v>
      </c>
      <c r="Z697" t="n">
        <v>357</v>
      </c>
      <c r="AA697" t="n">
        <v>554</v>
      </c>
      <c r="AB697" t="n">
        <v>2</v>
      </c>
      <c r="AC697" t="n">
        <v>2</v>
      </c>
      <c r="AD697" t="n">
        <v>14</v>
      </c>
      <c r="AE697" t="n">
        <v>21</v>
      </c>
      <c r="AF697" t="n">
        <v>5</v>
      </c>
      <c r="AG697" t="n">
        <v>9</v>
      </c>
      <c r="AH697" t="n">
        <v>4</v>
      </c>
      <c r="AI697" t="n">
        <v>6</v>
      </c>
      <c r="AJ697" t="n">
        <v>10</v>
      </c>
      <c r="AK697" t="n">
        <v>12</v>
      </c>
      <c r="AL697" t="n">
        <v>1</v>
      </c>
      <c r="AM697" t="n">
        <v>1</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HYPERLINK("https://creighton-primo.hosted.exlibrisgroup.com/primo-explore/search?tab=default_tab&amp;search_scope=EVERYTHING&amp;vid=01CRU&amp;lang=en_US&amp;offset=0&amp;query=any,contains,991000955969702656","Catalog Record")</f>
        <v/>
      </c>
      <c r="AT697">
        <f>HYPERLINK("http://www.worldcat.org/oclc/14718593","WorldCat Record")</f>
        <v/>
      </c>
      <c r="AU697" t="inlineStr">
        <is>
          <t>797293611:eng</t>
        </is>
      </c>
      <c r="AV697" t="inlineStr">
        <is>
          <t>14718593</t>
        </is>
      </c>
      <c r="AW697" t="inlineStr">
        <is>
          <t>991000955969702656</t>
        </is>
      </c>
      <c r="AX697" t="inlineStr">
        <is>
          <t>991000955969702656</t>
        </is>
      </c>
      <c r="AY697" t="inlineStr">
        <is>
          <t>2255301030002656</t>
        </is>
      </c>
      <c r="AZ697" t="inlineStr">
        <is>
          <t>BOOK</t>
        </is>
      </c>
      <c r="BB697" t="inlineStr">
        <is>
          <t>9780877224778</t>
        </is>
      </c>
      <c r="BC697" t="inlineStr">
        <is>
          <t>32285000000256</t>
        </is>
      </c>
      <c r="BD697" t="inlineStr">
        <is>
          <t>893791028</t>
        </is>
      </c>
    </row>
    <row r="698">
      <c r="A698" t="inlineStr">
        <is>
          <t>No</t>
        </is>
      </c>
      <c r="B698" t="inlineStr">
        <is>
          <t>GN411 .R83 1994</t>
        </is>
      </c>
      <c r="C698" t="inlineStr">
        <is>
          <t>0                      GN 0411000R  83          1994</t>
        </is>
      </c>
      <c r="D698" t="inlineStr">
        <is>
          <t>Essential substances : a cultural history of intoxicants in society / Richard Rudgley.</t>
        </is>
      </c>
      <c r="F698" t="inlineStr">
        <is>
          <t>No</t>
        </is>
      </c>
      <c r="G698" t="inlineStr">
        <is>
          <t>1</t>
        </is>
      </c>
      <c r="H698" t="inlineStr">
        <is>
          <t>No</t>
        </is>
      </c>
      <c r="I698" t="inlineStr">
        <is>
          <t>No</t>
        </is>
      </c>
      <c r="J698" t="inlineStr">
        <is>
          <t>0</t>
        </is>
      </c>
      <c r="K698" t="inlineStr">
        <is>
          <t>Rudgley, Richard, 1961-</t>
        </is>
      </c>
      <c r="L698" t="inlineStr">
        <is>
          <t>New York : Kodansha International, 1994.</t>
        </is>
      </c>
      <c r="M698" t="inlineStr">
        <is>
          <t>1994</t>
        </is>
      </c>
      <c r="O698" t="inlineStr">
        <is>
          <t>eng</t>
        </is>
      </c>
      <c r="P698" t="inlineStr">
        <is>
          <t>nyu</t>
        </is>
      </c>
      <c r="R698" t="inlineStr">
        <is>
          <t xml:space="preserve">GN </t>
        </is>
      </c>
      <c r="S698" t="n">
        <v>1</v>
      </c>
      <c r="T698" t="n">
        <v>1</v>
      </c>
      <c r="U698" t="inlineStr">
        <is>
          <t>2003-09-08</t>
        </is>
      </c>
      <c r="V698" t="inlineStr">
        <is>
          <t>2003-09-08</t>
        </is>
      </c>
      <c r="W698" t="inlineStr">
        <is>
          <t>1994-09-07</t>
        </is>
      </c>
      <c r="X698" t="inlineStr">
        <is>
          <t>1994-09-07</t>
        </is>
      </c>
      <c r="Y698" t="n">
        <v>626</v>
      </c>
      <c r="Z698" t="n">
        <v>586</v>
      </c>
      <c r="AA698" t="n">
        <v>687</v>
      </c>
      <c r="AB698" t="n">
        <v>6</v>
      </c>
      <c r="AC698" t="n">
        <v>7</v>
      </c>
      <c r="AD698" t="n">
        <v>23</v>
      </c>
      <c r="AE698" t="n">
        <v>25</v>
      </c>
      <c r="AF698" t="n">
        <v>7</v>
      </c>
      <c r="AG698" t="n">
        <v>7</v>
      </c>
      <c r="AH698" t="n">
        <v>3</v>
      </c>
      <c r="AI698" t="n">
        <v>4</v>
      </c>
      <c r="AJ698" t="n">
        <v>9</v>
      </c>
      <c r="AK698" t="n">
        <v>10</v>
      </c>
      <c r="AL698" t="n">
        <v>5</v>
      </c>
      <c r="AM698" t="n">
        <v>6</v>
      </c>
      <c r="AN698" t="n">
        <v>1</v>
      </c>
      <c r="AO698" t="n">
        <v>1</v>
      </c>
      <c r="AP698" t="inlineStr">
        <is>
          <t>No</t>
        </is>
      </c>
      <c r="AQ698" t="inlineStr">
        <is>
          <t>Yes</t>
        </is>
      </c>
      <c r="AR698">
        <f>HYPERLINK("http://catalog.hathitrust.org/Record/002876793","HathiTrust Record")</f>
        <v/>
      </c>
      <c r="AS698">
        <f>HYPERLINK("https://creighton-primo.hosted.exlibrisgroup.com/primo-explore/search?tab=default_tab&amp;search_scope=EVERYTHING&amp;vid=01CRU&amp;lang=en_US&amp;offset=0&amp;query=any,contains,991002288569702656","Catalog Record")</f>
        <v/>
      </c>
      <c r="AT698">
        <f>HYPERLINK("http://www.worldcat.org/oclc/29668965","WorldCat Record")</f>
        <v/>
      </c>
      <c r="AU698" t="inlineStr">
        <is>
          <t>31876314:eng</t>
        </is>
      </c>
      <c r="AV698" t="inlineStr">
        <is>
          <t>29668965</t>
        </is>
      </c>
      <c r="AW698" t="inlineStr">
        <is>
          <t>991002288569702656</t>
        </is>
      </c>
      <c r="AX698" t="inlineStr">
        <is>
          <t>991002288569702656</t>
        </is>
      </c>
      <c r="AY698" t="inlineStr">
        <is>
          <t>2271761110002656</t>
        </is>
      </c>
      <c r="AZ698" t="inlineStr">
        <is>
          <t>BOOK</t>
        </is>
      </c>
      <c r="BB698" t="inlineStr">
        <is>
          <t>9781568360164</t>
        </is>
      </c>
      <c r="BC698" t="inlineStr">
        <is>
          <t>32285001945459</t>
        </is>
      </c>
      <c r="BD698" t="inlineStr">
        <is>
          <t>893421169</t>
        </is>
      </c>
    </row>
    <row r="699">
      <c r="A699" t="inlineStr">
        <is>
          <t>No</t>
        </is>
      </c>
      <c r="B699" t="inlineStr">
        <is>
          <t>GN411 .W3</t>
        </is>
      </c>
      <c r="C699" t="inlineStr">
        <is>
          <t>0                      GN 0411000W  3</t>
        </is>
      </c>
      <c r="D699" t="inlineStr">
        <is>
          <t>Primitive drinking : a study of the uses and functions of alcohol in preliterate societies.</t>
        </is>
      </c>
      <c r="F699" t="inlineStr">
        <is>
          <t>No</t>
        </is>
      </c>
      <c r="G699" t="inlineStr">
        <is>
          <t>1</t>
        </is>
      </c>
      <c r="H699" t="inlineStr">
        <is>
          <t>No</t>
        </is>
      </c>
      <c r="I699" t="inlineStr">
        <is>
          <t>No</t>
        </is>
      </c>
      <c r="J699" t="inlineStr">
        <is>
          <t>0</t>
        </is>
      </c>
      <c r="K699" t="inlineStr">
        <is>
          <t>Washburne, Chandler, 1924-</t>
        </is>
      </c>
      <c r="L699" t="inlineStr">
        <is>
          <t>New York : College and University Press, [1961]</t>
        </is>
      </c>
      <c r="M699" t="inlineStr">
        <is>
          <t>1961</t>
        </is>
      </c>
      <c r="O699" t="inlineStr">
        <is>
          <t>eng</t>
        </is>
      </c>
      <c r="P699" t="inlineStr">
        <is>
          <t>nyu</t>
        </is>
      </c>
      <c r="R699" t="inlineStr">
        <is>
          <t xml:space="preserve">GN </t>
        </is>
      </c>
      <c r="S699" t="n">
        <v>10</v>
      </c>
      <c r="T699" t="n">
        <v>10</v>
      </c>
      <c r="U699" t="inlineStr">
        <is>
          <t>1999-03-20</t>
        </is>
      </c>
      <c r="V699" t="inlineStr">
        <is>
          <t>1999-03-20</t>
        </is>
      </c>
      <c r="W699" t="inlineStr">
        <is>
          <t>1995-05-04</t>
        </is>
      </c>
      <c r="X699" t="inlineStr">
        <is>
          <t>1995-05-04</t>
        </is>
      </c>
      <c r="Y699" t="n">
        <v>437</v>
      </c>
      <c r="Z699" t="n">
        <v>387</v>
      </c>
      <c r="AA699" t="n">
        <v>401</v>
      </c>
      <c r="AB699" t="n">
        <v>4</v>
      </c>
      <c r="AC699" t="n">
        <v>4</v>
      </c>
      <c r="AD699" t="n">
        <v>19</v>
      </c>
      <c r="AE699" t="n">
        <v>19</v>
      </c>
      <c r="AF699" t="n">
        <v>6</v>
      </c>
      <c r="AG699" t="n">
        <v>6</v>
      </c>
      <c r="AH699" t="n">
        <v>3</v>
      </c>
      <c r="AI699" t="n">
        <v>3</v>
      </c>
      <c r="AJ699" t="n">
        <v>11</v>
      </c>
      <c r="AK699" t="n">
        <v>11</v>
      </c>
      <c r="AL699" t="n">
        <v>3</v>
      </c>
      <c r="AM699" t="n">
        <v>3</v>
      </c>
      <c r="AN699" t="n">
        <v>0</v>
      </c>
      <c r="AO699" t="n">
        <v>0</v>
      </c>
      <c r="AP699" t="inlineStr">
        <is>
          <t>Yes</t>
        </is>
      </c>
      <c r="AQ699" t="inlineStr">
        <is>
          <t>No</t>
        </is>
      </c>
      <c r="AR699">
        <f>HYPERLINK("http://catalog.hathitrust.org/Record/001274685","HathiTrust Record")</f>
        <v/>
      </c>
      <c r="AS699">
        <f>HYPERLINK("https://creighton-primo.hosted.exlibrisgroup.com/primo-explore/search?tab=default_tab&amp;search_scope=EVERYTHING&amp;vid=01CRU&amp;lang=en_US&amp;offset=0&amp;query=any,contains,991002411079702656","Catalog Record")</f>
        <v/>
      </c>
      <c r="AT699">
        <f>HYPERLINK("http://www.worldcat.org/oclc/339713","WorldCat Record")</f>
        <v/>
      </c>
      <c r="AU699" t="inlineStr">
        <is>
          <t>1469442:eng</t>
        </is>
      </c>
      <c r="AV699" t="inlineStr">
        <is>
          <t>339713</t>
        </is>
      </c>
      <c r="AW699" t="inlineStr">
        <is>
          <t>991002411079702656</t>
        </is>
      </c>
      <c r="AX699" t="inlineStr">
        <is>
          <t>991002411079702656</t>
        </is>
      </c>
      <c r="AY699" t="inlineStr">
        <is>
          <t>2259007620002656</t>
        </is>
      </c>
      <c r="AZ699" t="inlineStr">
        <is>
          <t>BOOK</t>
        </is>
      </c>
      <c r="BC699" t="inlineStr">
        <is>
          <t>32285002032109</t>
        </is>
      </c>
      <c r="BD699" t="inlineStr">
        <is>
          <t>893685336</t>
        </is>
      </c>
    </row>
    <row r="700">
      <c r="A700" t="inlineStr">
        <is>
          <t>No</t>
        </is>
      </c>
      <c r="B700" t="inlineStr">
        <is>
          <t>GN414.3.T45 F33 1979</t>
        </is>
      </c>
      <c r="C700" t="inlineStr">
        <is>
          <t>0                      GN 0414300T  45                 F  33          1979</t>
        </is>
      </c>
      <c r="D700" t="inlineStr">
        <is>
          <t>Tents : architecture of the nomads / Torvald Faegre ; illustrated by the author.</t>
        </is>
      </c>
      <c r="F700" t="inlineStr">
        <is>
          <t>No</t>
        </is>
      </c>
      <c r="G700" t="inlineStr">
        <is>
          <t>1</t>
        </is>
      </c>
      <c r="H700" t="inlineStr">
        <is>
          <t>No</t>
        </is>
      </c>
      <c r="I700" t="inlineStr">
        <is>
          <t>No</t>
        </is>
      </c>
      <c r="J700" t="inlineStr">
        <is>
          <t>0</t>
        </is>
      </c>
      <c r="K700" t="inlineStr">
        <is>
          <t>Faegre, Torvald.</t>
        </is>
      </c>
      <c r="L700" t="inlineStr">
        <is>
          <t>Garden City, N.Y. : Anchor Press/Doubleday, 1979.</t>
        </is>
      </c>
      <c r="M700" t="inlineStr">
        <is>
          <t>1979</t>
        </is>
      </c>
      <c r="N700" t="inlineStr">
        <is>
          <t>Anchor Books ed.</t>
        </is>
      </c>
      <c r="O700" t="inlineStr">
        <is>
          <t>eng</t>
        </is>
      </c>
      <c r="P700" t="inlineStr">
        <is>
          <t>nyu</t>
        </is>
      </c>
      <c r="R700" t="inlineStr">
        <is>
          <t xml:space="preserve">GN </t>
        </is>
      </c>
      <c r="S700" t="n">
        <v>1</v>
      </c>
      <c r="T700" t="n">
        <v>1</v>
      </c>
      <c r="U700" t="inlineStr">
        <is>
          <t>2008-09-28</t>
        </is>
      </c>
      <c r="V700" t="inlineStr">
        <is>
          <t>2008-09-28</t>
        </is>
      </c>
      <c r="W700" t="inlineStr">
        <is>
          <t>1990-09-26</t>
        </is>
      </c>
      <c r="X700" t="inlineStr">
        <is>
          <t>1990-09-26</t>
        </is>
      </c>
      <c r="Y700" t="n">
        <v>536</v>
      </c>
      <c r="Z700" t="n">
        <v>479</v>
      </c>
      <c r="AA700" t="n">
        <v>498</v>
      </c>
      <c r="AB700" t="n">
        <v>2</v>
      </c>
      <c r="AC700" t="n">
        <v>2</v>
      </c>
      <c r="AD700" t="n">
        <v>6</v>
      </c>
      <c r="AE700" t="n">
        <v>7</v>
      </c>
      <c r="AF700" t="n">
        <v>1</v>
      </c>
      <c r="AG700" t="n">
        <v>2</v>
      </c>
      <c r="AH700" t="n">
        <v>2</v>
      </c>
      <c r="AI700" t="n">
        <v>2</v>
      </c>
      <c r="AJ700" t="n">
        <v>4</v>
      </c>
      <c r="AK700" t="n">
        <v>4</v>
      </c>
      <c r="AL700" t="n">
        <v>1</v>
      </c>
      <c r="AM700" t="n">
        <v>1</v>
      </c>
      <c r="AN700" t="n">
        <v>0</v>
      </c>
      <c r="AO700" t="n">
        <v>0</v>
      </c>
      <c r="AP700" t="inlineStr">
        <is>
          <t>No</t>
        </is>
      </c>
      <c r="AQ700" t="inlineStr">
        <is>
          <t>Yes</t>
        </is>
      </c>
      <c r="AR700">
        <f>HYPERLINK("http://catalog.hathitrust.org/Record/000214724","HathiTrust Record")</f>
        <v/>
      </c>
      <c r="AS700">
        <f>HYPERLINK("https://creighton-primo.hosted.exlibrisgroup.com/primo-explore/search?tab=default_tab&amp;search_scope=EVERYTHING&amp;vid=01CRU&amp;lang=en_US&amp;offset=0&amp;query=any,contains,991004596039702656","Catalog Record")</f>
        <v/>
      </c>
      <c r="AT700">
        <f>HYPERLINK("http://www.worldcat.org/oclc/4137193","WorldCat Record")</f>
        <v/>
      </c>
      <c r="AU700" t="inlineStr">
        <is>
          <t>7574049:eng</t>
        </is>
      </c>
      <c r="AV700" t="inlineStr">
        <is>
          <t>4137193</t>
        </is>
      </c>
      <c r="AW700" t="inlineStr">
        <is>
          <t>991004596039702656</t>
        </is>
      </c>
      <c r="AX700" t="inlineStr">
        <is>
          <t>991004596039702656</t>
        </is>
      </c>
      <c r="AY700" t="inlineStr">
        <is>
          <t>2257748640002656</t>
        </is>
      </c>
      <c r="AZ700" t="inlineStr">
        <is>
          <t>BOOK</t>
        </is>
      </c>
      <c r="BB700" t="inlineStr">
        <is>
          <t>9780385116565</t>
        </is>
      </c>
      <c r="BC700" t="inlineStr">
        <is>
          <t>32285000316264</t>
        </is>
      </c>
      <c r="BD700" t="inlineStr">
        <is>
          <t>893442795</t>
        </is>
      </c>
    </row>
    <row r="701">
      <c r="A701" t="inlineStr">
        <is>
          <t>No</t>
        </is>
      </c>
      <c r="B701" t="inlineStr">
        <is>
          <t>GN419.3 .B8</t>
        </is>
      </c>
      <c r="C701" t="inlineStr">
        <is>
          <t>0                      GN 0419300B  8</t>
        </is>
      </c>
      <c r="D701" t="inlineStr">
        <is>
          <t>Memoirs of a tattooist, from the notes, diaries, and letters of the late "King of Tattooists," George Burchett. Compiled and edited by Peter Leighton.</t>
        </is>
      </c>
      <c r="F701" t="inlineStr">
        <is>
          <t>No</t>
        </is>
      </c>
      <c r="G701" t="inlineStr">
        <is>
          <t>1</t>
        </is>
      </c>
      <c r="H701" t="inlineStr">
        <is>
          <t>No</t>
        </is>
      </c>
      <c r="I701" t="inlineStr">
        <is>
          <t>No</t>
        </is>
      </c>
      <c r="J701" t="inlineStr">
        <is>
          <t>0</t>
        </is>
      </c>
      <c r="K701" t="inlineStr">
        <is>
          <t>Burchett, George, 1872-1953.</t>
        </is>
      </c>
      <c r="L701" t="inlineStr">
        <is>
          <t>London, Oldbourne [1958]</t>
        </is>
      </c>
      <c r="M701" t="inlineStr">
        <is>
          <t>1958</t>
        </is>
      </c>
      <c r="O701" t="inlineStr">
        <is>
          <t>eng</t>
        </is>
      </c>
      <c r="P701" t="inlineStr">
        <is>
          <t>enk</t>
        </is>
      </c>
      <c r="R701" t="inlineStr">
        <is>
          <t xml:space="preserve">GN </t>
        </is>
      </c>
      <c r="S701" t="n">
        <v>6</v>
      </c>
      <c r="T701" t="n">
        <v>6</v>
      </c>
      <c r="U701" t="inlineStr">
        <is>
          <t>2004-09-26</t>
        </is>
      </c>
      <c r="V701" t="inlineStr">
        <is>
          <t>2004-09-26</t>
        </is>
      </c>
      <c r="W701" t="inlineStr">
        <is>
          <t>1997-05-28</t>
        </is>
      </c>
      <c r="X701" t="inlineStr">
        <is>
          <t>1997-05-28</t>
        </is>
      </c>
      <c r="Y701" t="n">
        <v>83</v>
      </c>
      <c r="Z701" t="n">
        <v>64</v>
      </c>
      <c r="AA701" t="n">
        <v>119</v>
      </c>
      <c r="AB701" t="n">
        <v>1</v>
      </c>
      <c r="AC701" t="n">
        <v>1</v>
      </c>
      <c r="AD701" t="n">
        <v>1</v>
      </c>
      <c r="AE701" t="n">
        <v>3</v>
      </c>
      <c r="AF701" t="n">
        <v>0</v>
      </c>
      <c r="AG701" t="n">
        <v>2</v>
      </c>
      <c r="AH701" t="n">
        <v>1</v>
      </c>
      <c r="AI701" t="n">
        <v>1</v>
      </c>
      <c r="AJ701" t="n">
        <v>0</v>
      </c>
      <c r="AK701" t="n">
        <v>0</v>
      </c>
      <c r="AL701" t="n">
        <v>0</v>
      </c>
      <c r="AM701" t="n">
        <v>0</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HYPERLINK("https://creighton-primo.hosted.exlibrisgroup.com/primo-explore/search?tab=default_tab&amp;search_scope=EVERYTHING&amp;vid=01CRU&amp;lang=en_US&amp;offset=0&amp;query=any,contains,991004367509702656","Catalog Record")</f>
        <v/>
      </c>
      <c r="AT701">
        <f>HYPERLINK("http://www.worldcat.org/oclc/3175173","WorldCat Record")</f>
        <v/>
      </c>
      <c r="AU701" t="inlineStr">
        <is>
          <t>287786243:eng</t>
        </is>
      </c>
      <c r="AV701" t="inlineStr">
        <is>
          <t>3175173</t>
        </is>
      </c>
      <c r="AW701" t="inlineStr">
        <is>
          <t>991004367509702656</t>
        </is>
      </c>
      <c r="AX701" t="inlineStr">
        <is>
          <t>991004367509702656</t>
        </is>
      </c>
      <c r="AY701" t="inlineStr">
        <is>
          <t>2265533350002656</t>
        </is>
      </c>
      <c r="AZ701" t="inlineStr">
        <is>
          <t>BOOK</t>
        </is>
      </c>
      <c r="BC701" t="inlineStr">
        <is>
          <t>32285002695632</t>
        </is>
      </c>
      <c r="BD701" t="inlineStr">
        <is>
          <t>893446167</t>
        </is>
      </c>
    </row>
    <row r="702">
      <c r="A702" t="inlineStr">
        <is>
          <t>No</t>
        </is>
      </c>
      <c r="B702" t="inlineStr">
        <is>
          <t>GN424 .H55</t>
        </is>
      </c>
      <c r="C702" t="inlineStr">
        <is>
          <t>0                      GN 0424000H  55</t>
        </is>
      </c>
      <c r="D702" t="inlineStr">
        <is>
          <t>The earliest farmers and the first cities / Charles Higham.</t>
        </is>
      </c>
      <c r="F702" t="inlineStr">
        <is>
          <t>No</t>
        </is>
      </c>
      <c r="G702" t="inlineStr">
        <is>
          <t>1</t>
        </is>
      </c>
      <c r="H702" t="inlineStr">
        <is>
          <t>No</t>
        </is>
      </c>
      <c r="I702" t="inlineStr">
        <is>
          <t>No</t>
        </is>
      </c>
      <c r="J702" t="inlineStr">
        <is>
          <t>0</t>
        </is>
      </c>
      <c r="K702" t="inlineStr">
        <is>
          <t>Higham, Charles.</t>
        </is>
      </c>
      <c r="L702" t="inlineStr">
        <is>
          <t>London : Cambridge University Press, 1974.</t>
        </is>
      </c>
      <c r="M702" t="inlineStr">
        <is>
          <t>1974</t>
        </is>
      </c>
      <c r="O702" t="inlineStr">
        <is>
          <t>eng</t>
        </is>
      </c>
      <c r="P702" t="inlineStr">
        <is>
          <t xml:space="preserve">en </t>
        </is>
      </c>
      <c r="Q702" t="inlineStr">
        <is>
          <t>Cambridge introduction to the history of mankind. Topic book</t>
        </is>
      </c>
      <c r="R702" t="inlineStr">
        <is>
          <t xml:space="preserve">GN </t>
        </is>
      </c>
      <c r="S702" t="n">
        <v>4</v>
      </c>
      <c r="T702" t="n">
        <v>4</v>
      </c>
      <c r="U702" t="inlineStr">
        <is>
          <t>1999-11-26</t>
        </is>
      </c>
      <c r="V702" t="inlineStr">
        <is>
          <t>1999-11-26</t>
        </is>
      </c>
      <c r="W702" t="inlineStr">
        <is>
          <t>1997-05-28</t>
        </is>
      </c>
      <c r="X702" t="inlineStr">
        <is>
          <t>1997-05-28</t>
        </is>
      </c>
      <c r="Y702" t="n">
        <v>245</v>
      </c>
      <c r="Z702" t="n">
        <v>194</v>
      </c>
      <c r="AA702" t="n">
        <v>432</v>
      </c>
      <c r="AB702" t="n">
        <v>3</v>
      </c>
      <c r="AC702" t="n">
        <v>4</v>
      </c>
      <c r="AD702" t="n">
        <v>9</v>
      </c>
      <c r="AE702" t="n">
        <v>9</v>
      </c>
      <c r="AF702" t="n">
        <v>2</v>
      </c>
      <c r="AG702" t="n">
        <v>2</v>
      </c>
      <c r="AH702" t="n">
        <v>2</v>
      </c>
      <c r="AI702" t="n">
        <v>2</v>
      </c>
      <c r="AJ702" t="n">
        <v>5</v>
      </c>
      <c r="AK702" t="n">
        <v>5</v>
      </c>
      <c r="AL702" t="n">
        <v>2</v>
      </c>
      <c r="AM702" t="n">
        <v>2</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HYPERLINK("https://creighton-primo.hosted.exlibrisgroup.com/primo-explore/search?tab=default_tab&amp;search_scope=EVERYTHING&amp;vid=01CRU&amp;lang=en_US&amp;offset=0&amp;query=any,contains,991004418769702656","Catalog Record")</f>
        <v/>
      </c>
      <c r="AT702">
        <f>HYPERLINK("http://www.worldcat.org/oclc/3375743","WorldCat Record")</f>
        <v/>
      </c>
      <c r="AU702" t="inlineStr">
        <is>
          <t>487410:eng</t>
        </is>
      </c>
      <c r="AV702" t="inlineStr">
        <is>
          <t>3375743</t>
        </is>
      </c>
      <c r="AW702" t="inlineStr">
        <is>
          <t>991004418769702656</t>
        </is>
      </c>
      <c r="AX702" t="inlineStr">
        <is>
          <t>991004418769702656</t>
        </is>
      </c>
      <c r="AY702" t="inlineStr">
        <is>
          <t>2259486510002656</t>
        </is>
      </c>
      <c r="AZ702" t="inlineStr">
        <is>
          <t>BOOK</t>
        </is>
      </c>
      <c r="BB702" t="inlineStr">
        <is>
          <t>9780521084406</t>
        </is>
      </c>
      <c r="BC702" t="inlineStr">
        <is>
          <t>32285002695665</t>
        </is>
      </c>
      <c r="BD702" t="inlineStr">
        <is>
          <t>893519630</t>
        </is>
      </c>
    </row>
    <row r="703">
      <c r="A703" t="inlineStr">
        <is>
          <t>No</t>
        </is>
      </c>
      <c r="B703" t="inlineStr">
        <is>
          <t>GN43 .A57</t>
        </is>
      </c>
      <c r="C703" t="inlineStr">
        <is>
          <t>0                      GN 0043000A  57</t>
        </is>
      </c>
      <c r="D703" t="inlineStr">
        <is>
          <t>Anthropologists at home in North America : methods and issues in the study of one's own society / Donald A. Messerschmidt, editor.</t>
        </is>
      </c>
      <c r="F703" t="inlineStr">
        <is>
          <t>No</t>
        </is>
      </c>
      <c r="G703" t="inlineStr">
        <is>
          <t>1</t>
        </is>
      </c>
      <c r="H703" t="inlineStr">
        <is>
          <t>No</t>
        </is>
      </c>
      <c r="I703" t="inlineStr">
        <is>
          <t>No</t>
        </is>
      </c>
      <c r="J703" t="inlineStr">
        <is>
          <t>0</t>
        </is>
      </c>
      <c r="L703" t="inlineStr">
        <is>
          <t>Cambridge [Cambridgeshire] ; New York : Cambridge University Press, 1981.</t>
        </is>
      </c>
      <c r="M703" t="inlineStr">
        <is>
          <t>1981</t>
        </is>
      </c>
      <c r="O703" t="inlineStr">
        <is>
          <t>eng</t>
        </is>
      </c>
      <c r="P703" t="inlineStr">
        <is>
          <t>enk</t>
        </is>
      </c>
      <c r="R703" t="inlineStr">
        <is>
          <t xml:space="preserve">GN </t>
        </is>
      </c>
      <c r="S703" t="n">
        <v>1</v>
      </c>
      <c r="T703" t="n">
        <v>1</v>
      </c>
      <c r="U703" t="inlineStr">
        <is>
          <t>2008-06-13</t>
        </is>
      </c>
      <c r="V703" t="inlineStr">
        <is>
          <t>2008-06-13</t>
        </is>
      </c>
      <c r="W703" t="inlineStr">
        <is>
          <t>1990-09-18</t>
        </is>
      </c>
      <c r="X703" t="inlineStr">
        <is>
          <t>1990-09-18</t>
        </is>
      </c>
      <c r="Y703" t="n">
        <v>578</v>
      </c>
      <c r="Z703" t="n">
        <v>458</v>
      </c>
      <c r="AA703" t="n">
        <v>463</v>
      </c>
      <c r="AB703" t="n">
        <v>4</v>
      </c>
      <c r="AC703" t="n">
        <v>4</v>
      </c>
      <c r="AD703" t="n">
        <v>17</v>
      </c>
      <c r="AE703" t="n">
        <v>17</v>
      </c>
      <c r="AF703" t="n">
        <v>5</v>
      </c>
      <c r="AG703" t="n">
        <v>5</v>
      </c>
      <c r="AH703" t="n">
        <v>5</v>
      </c>
      <c r="AI703" t="n">
        <v>5</v>
      </c>
      <c r="AJ703" t="n">
        <v>9</v>
      </c>
      <c r="AK703" t="n">
        <v>9</v>
      </c>
      <c r="AL703" t="n">
        <v>3</v>
      </c>
      <c r="AM703" t="n">
        <v>3</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HYPERLINK("https://creighton-primo.hosted.exlibrisgroup.com/primo-explore/search?tab=default_tab&amp;search_scope=EVERYTHING&amp;vid=01CRU&amp;lang=en_US&amp;offset=0&amp;query=any,contains,991005115469702656","Catalog Record")</f>
        <v/>
      </c>
      <c r="AT703">
        <f>HYPERLINK("http://www.worldcat.org/oclc/7462079","WorldCat Record")</f>
        <v/>
      </c>
      <c r="AU703" t="inlineStr">
        <is>
          <t>848595336:eng</t>
        </is>
      </c>
      <c r="AV703" t="inlineStr">
        <is>
          <t>7462079</t>
        </is>
      </c>
      <c r="AW703" t="inlineStr">
        <is>
          <t>991005115469702656</t>
        </is>
      </c>
      <c r="AX703" t="inlineStr">
        <is>
          <t>991005115469702656</t>
        </is>
      </c>
      <c r="AY703" t="inlineStr">
        <is>
          <t>2262713960002656</t>
        </is>
      </c>
      <c r="AZ703" t="inlineStr">
        <is>
          <t>BOOK</t>
        </is>
      </c>
      <c r="BB703" t="inlineStr">
        <is>
          <t>9780521240673</t>
        </is>
      </c>
      <c r="BC703" t="inlineStr">
        <is>
          <t>32285000289610</t>
        </is>
      </c>
      <c r="BD703" t="inlineStr">
        <is>
          <t>893722773</t>
        </is>
      </c>
    </row>
    <row r="704">
      <c r="A704" t="inlineStr">
        <is>
          <t>No</t>
        </is>
      </c>
      <c r="B704" t="inlineStr">
        <is>
          <t>GN448 .P55 2001</t>
        </is>
      </c>
      <c r="C704" t="inlineStr">
        <is>
          <t>0                      GN 0448000P  55          2001</t>
        </is>
      </c>
      <c r="D704" t="inlineStr">
        <is>
          <t>Plural globalities in multiple localities : new world borders / edited by Martha W. Rees, Josephine Smart.</t>
        </is>
      </c>
      <c r="F704" t="inlineStr">
        <is>
          <t>No</t>
        </is>
      </c>
      <c r="G704" t="inlineStr">
        <is>
          <t>1</t>
        </is>
      </c>
      <c r="H704" t="inlineStr">
        <is>
          <t>No</t>
        </is>
      </c>
      <c r="I704" t="inlineStr">
        <is>
          <t>No</t>
        </is>
      </c>
      <c r="J704" t="inlineStr">
        <is>
          <t>0</t>
        </is>
      </c>
      <c r="L704" t="inlineStr">
        <is>
          <t>Lanham, Md. : University Press of America, c2001.</t>
        </is>
      </c>
      <c r="M704" t="inlineStr">
        <is>
          <t>2001</t>
        </is>
      </c>
      <c r="O704" t="inlineStr">
        <is>
          <t>eng</t>
        </is>
      </c>
      <c r="P704" t="inlineStr">
        <is>
          <t>mdu</t>
        </is>
      </c>
      <c r="Q704" t="inlineStr">
        <is>
          <t>Monographs in economic anthropology ; no. 17</t>
        </is>
      </c>
      <c r="R704" t="inlineStr">
        <is>
          <t xml:space="preserve">GN </t>
        </is>
      </c>
      <c r="S704" t="n">
        <v>1</v>
      </c>
      <c r="T704" t="n">
        <v>1</v>
      </c>
      <c r="U704" t="inlineStr">
        <is>
          <t>2002-09-24</t>
        </is>
      </c>
      <c r="V704" t="inlineStr">
        <is>
          <t>2002-09-24</t>
        </is>
      </c>
      <c r="W704" t="inlineStr">
        <is>
          <t>2002-09-24</t>
        </is>
      </c>
      <c r="X704" t="inlineStr">
        <is>
          <t>2002-09-24</t>
        </is>
      </c>
      <c r="Y704" t="n">
        <v>153</v>
      </c>
      <c r="Z704" t="n">
        <v>122</v>
      </c>
      <c r="AA704" t="n">
        <v>129</v>
      </c>
      <c r="AB704" t="n">
        <v>2</v>
      </c>
      <c r="AC704" t="n">
        <v>2</v>
      </c>
      <c r="AD704" t="n">
        <v>7</v>
      </c>
      <c r="AE704" t="n">
        <v>7</v>
      </c>
      <c r="AF704" t="n">
        <v>3</v>
      </c>
      <c r="AG704" t="n">
        <v>3</v>
      </c>
      <c r="AH704" t="n">
        <v>3</v>
      </c>
      <c r="AI704" t="n">
        <v>3</v>
      </c>
      <c r="AJ704" t="n">
        <v>3</v>
      </c>
      <c r="AK704" t="n">
        <v>3</v>
      </c>
      <c r="AL704" t="n">
        <v>1</v>
      </c>
      <c r="AM704" t="n">
        <v>1</v>
      </c>
      <c r="AN704" t="n">
        <v>0</v>
      </c>
      <c r="AO704" t="n">
        <v>0</v>
      </c>
      <c r="AP704" t="inlineStr">
        <is>
          <t>No</t>
        </is>
      </c>
      <c r="AQ704" t="inlineStr">
        <is>
          <t>Yes</t>
        </is>
      </c>
      <c r="AR704">
        <f>HYPERLINK("http://catalog.hathitrust.org/Record/003554444","HathiTrust Record")</f>
        <v/>
      </c>
      <c r="AS704">
        <f>HYPERLINK("https://creighton-primo.hosted.exlibrisgroup.com/primo-explore/search?tab=default_tab&amp;search_scope=EVERYTHING&amp;vid=01CRU&amp;lang=en_US&amp;offset=0&amp;query=any,contains,991003851279702656","Catalog Record")</f>
        <v/>
      </c>
      <c r="AT704">
        <f>HYPERLINK("http://www.worldcat.org/oclc/45827988","WorldCat Record")</f>
        <v/>
      </c>
      <c r="AU704" t="inlineStr">
        <is>
          <t>371633549:eng</t>
        </is>
      </c>
      <c r="AV704" t="inlineStr">
        <is>
          <t>45827988</t>
        </is>
      </c>
      <c r="AW704" t="inlineStr">
        <is>
          <t>991003851279702656</t>
        </is>
      </c>
      <c r="AX704" t="inlineStr">
        <is>
          <t>991003851279702656</t>
        </is>
      </c>
      <c r="AY704" t="inlineStr">
        <is>
          <t>2257375110002656</t>
        </is>
      </c>
      <c r="AZ704" t="inlineStr">
        <is>
          <t>BOOK</t>
        </is>
      </c>
      <c r="BB704" t="inlineStr">
        <is>
          <t>9780761819660</t>
        </is>
      </c>
      <c r="BC704" t="inlineStr">
        <is>
          <t>32285004648613</t>
        </is>
      </c>
      <c r="BD704" t="inlineStr">
        <is>
          <t>893429297</t>
        </is>
      </c>
    </row>
    <row r="705">
      <c r="A705" t="inlineStr">
        <is>
          <t>No</t>
        </is>
      </c>
      <c r="B705" t="inlineStr">
        <is>
          <t>GN448.2 .G827 2001</t>
        </is>
      </c>
      <c r="C705" t="inlineStr">
        <is>
          <t>0                      GN 0448200G  827         2001</t>
        </is>
      </c>
      <c r="D705" t="inlineStr">
        <is>
          <t>The anthropology of economy : community, market, and culture / Stephen Gudeman.</t>
        </is>
      </c>
      <c r="F705" t="inlineStr">
        <is>
          <t>No</t>
        </is>
      </c>
      <c r="G705" t="inlineStr">
        <is>
          <t>1</t>
        </is>
      </c>
      <c r="H705" t="inlineStr">
        <is>
          <t>No</t>
        </is>
      </c>
      <c r="I705" t="inlineStr">
        <is>
          <t>No</t>
        </is>
      </c>
      <c r="J705" t="inlineStr">
        <is>
          <t>0</t>
        </is>
      </c>
      <c r="K705" t="inlineStr">
        <is>
          <t>Gudeman, Stephen F.</t>
        </is>
      </c>
      <c r="L705" t="inlineStr">
        <is>
          <t>Malden, Mass. : Blackwell, 2001.</t>
        </is>
      </c>
      <c r="M705" t="inlineStr">
        <is>
          <t>2001</t>
        </is>
      </c>
      <c r="O705" t="inlineStr">
        <is>
          <t>eng</t>
        </is>
      </c>
      <c r="P705" t="inlineStr">
        <is>
          <t>mau</t>
        </is>
      </c>
      <c r="R705" t="inlineStr">
        <is>
          <t xml:space="preserve">GN </t>
        </is>
      </c>
      <c r="S705" t="n">
        <v>1</v>
      </c>
      <c r="T705" t="n">
        <v>1</v>
      </c>
      <c r="U705" t="inlineStr">
        <is>
          <t>2005-11-03</t>
        </is>
      </c>
      <c r="V705" t="inlineStr">
        <is>
          <t>2005-11-03</t>
        </is>
      </c>
      <c r="W705" t="inlineStr">
        <is>
          <t>2002-12-02</t>
        </is>
      </c>
      <c r="X705" t="inlineStr">
        <is>
          <t>2002-12-02</t>
        </is>
      </c>
      <c r="Y705" t="n">
        <v>462</v>
      </c>
      <c r="Z705" t="n">
        <v>309</v>
      </c>
      <c r="AA705" t="n">
        <v>310</v>
      </c>
      <c r="AB705" t="n">
        <v>3</v>
      </c>
      <c r="AC705" t="n">
        <v>3</v>
      </c>
      <c r="AD705" t="n">
        <v>16</v>
      </c>
      <c r="AE705" t="n">
        <v>17</v>
      </c>
      <c r="AF705" t="n">
        <v>3</v>
      </c>
      <c r="AG705" t="n">
        <v>3</v>
      </c>
      <c r="AH705" t="n">
        <v>6</v>
      </c>
      <c r="AI705" t="n">
        <v>6</v>
      </c>
      <c r="AJ705" t="n">
        <v>9</v>
      </c>
      <c r="AK705" t="n">
        <v>10</v>
      </c>
      <c r="AL705" t="n">
        <v>2</v>
      </c>
      <c r="AM705" t="n">
        <v>2</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HYPERLINK("https://creighton-primo.hosted.exlibrisgroup.com/primo-explore/search?tab=default_tab&amp;search_scope=EVERYTHING&amp;vid=01CRU&amp;lang=en_US&amp;offset=0&amp;query=any,contains,991003921579702656","Catalog Record")</f>
        <v/>
      </c>
      <c r="AT705">
        <f>HYPERLINK("http://www.worldcat.org/oclc/45963043","WorldCat Record")</f>
        <v/>
      </c>
      <c r="AU705" t="inlineStr">
        <is>
          <t>20969176:eng</t>
        </is>
      </c>
      <c r="AV705" t="inlineStr">
        <is>
          <t>45963043</t>
        </is>
      </c>
      <c r="AW705" t="inlineStr">
        <is>
          <t>991003921579702656</t>
        </is>
      </c>
      <c r="AX705" t="inlineStr">
        <is>
          <t>991003921579702656</t>
        </is>
      </c>
      <c r="AY705" t="inlineStr">
        <is>
          <t>2257960460002656</t>
        </is>
      </c>
      <c r="AZ705" t="inlineStr">
        <is>
          <t>BOOK</t>
        </is>
      </c>
      <c r="BB705" t="inlineStr">
        <is>
          <t>9780631225669</t>
        </is>
      </c>
      <c r="BC705" t="inlineStr">
        <is>
          <t>32285004666482</t>
        </is>
      </c>
      <c r="BD705" t="inlineStr">
        <is>
          <t>893900569</t>
        </is>
      </c>
    </row>
    <row r="706">
      <c r="A706" t="inlineStr">
        <is>
          <t>No</t>
        </is>
      </c>
      <c r="B706" t="inlineStr">
        <is>
          <t>GN448.2 .R57 1990</t>
        </is>
      </c>
      <c r="C706" t="inlineStr">
        <is>
          <t>0                      GN 0448200R  57          1990</t>
        </is>
      </c>
      <c r="D706" t="inlineStr">
        <is>
          <t>Risk and uncertainty in tribal and peasant economies / edited by Elizabeth Cashdan.</t>
        </is>
      </c>
      <c r="F706" t="inlineStr">
        <is>
          <t>No</t>
        </is>
      </c>
      <c r="G706" t="inlineStr">
        <is>
          <t>1</t>
        </is>
      </c>
      <c r="H706" t="inlineStr">
        <is>
          <t>No</t>
        </is>
      </c>
      <c r="I706" t="inlineStr">
        <is>
          <t>No</t>
        </is>
      </c>
      <c r="J706" t="inlineStr">
        <is>
          <t>0</t>
        </is>
      </c>
      <c r="L706" t="inlineStr">
        <is>
          <t>Boulder : Westview Press, 1990.</t>
        </is>
      </c>
      <c r="M706" t="inlineStr">
        <is>
          <t>1990</t>
        </is>
      </c>
      <c r="O706" t="inlineStr">
        <is>
          <t>eng</t>
        </is>
      </c>
      <c r="P706" t="inlineStr">
        <is>
          <t>cou</t>
        </is>
      </c>
      <c r="R706" t="inlineStr">
        <is>
          <t xml:space="preserve">GN </t>
        </is>
      </c>
      <c r="S706" t="n">
        <v>2</v>
      </c>
      <c r="T706" t="n">
        <v>2</v>
      </c>
      <c r="U706" t="inlineStr">
        <is>
          <t>2003-10-10</t>
        </is>
      </c>
      <c r="V706" t="inlineStr">
        <is>
          <t>2003-10-10</t>
        </is>
      </c>
      <c r="W706" t="inlineStr">
        <is>
          <t>1990-05-08</t>
        </is>
      </c>
      <c r="X706" t="inlineStr">
        <is>
          <t>1990-05-08</t>
        </is>
      </c>
      <c r="Y706" t="n">
        <v>298</v>
      </c>
      <c r="Z706" t="n">
        <v>230</v>
      </c>
      <c r="AA706" t="n">
        <v>249</v>
      </c>
      <c r="AB706" t="n">
        <v>3</v>
      </c>
      <c r="AC706" t="n">
        <v>3</v>
      </c>
      <c r="AD706" t="n">
        <v>9</v>
      </c>
      <c r="AE706" t="n">
        <v>9</v>
      </c>
      <c r="AF706" t="n">
        <v>2</v>
      </c>
      <c r="AG706" t="n">
        <v>2</v>
      </c>
      <c r="AH706" t="n">
        <v>2</v>
      </c>
      <c r="AI706" t="n">
        <v>2</v>
      </c>
      <c r="AJ706" t="n">
        <v>7</v>
      </c>
      <c r="AK706" t="n">
        <v>7</v>
      </c>
      <c r="AL706" t="n">
        <v>2</v>
      </c>
      <c r="AM706" t="n">
        <v>2</v>
      </c>
      <c r="AN706" t="n">
        <v>0</v>
      </c>
      <c r="AO706" t="n">
        <v>0</v>
      </c>
      <c r="AP706" t="inlineStr">
        <is>
          <t>No</t>
        </is>
      </c>
      <c r="AQ706" t="inlineStr">
        <is>
          <t>Yes</t>
        </is>
      </c>
      <c r="AR706">
        <f>HYPERLINK("http://catalog.hathitrust.org/Record/001832918","HathiTrust Record")</f>
        <v/>
      </c>
      <c r="AS706">
        <f>HYPERLINK("https://creighton-primo.hosted.exlibrisgroup.com/primo-explore/search?tab=default_tab&amp;search_scope=EVERYTHING&amp;vid=01CRU&amp;lang=en_US&amp;offset=0&amp;query=any,contains,991001515549702656","Catalog Record")</f>
        <v/>
      </c>
      <c r="AT706">
        <f>HYPERLINK("http://www.worldcat.org/oclc/19921749","WorldCat Record")</f>
        <v/>
      </c>
      <c r="AU706" t="inlineStr">
        <is>
          <t>21465558:eng</t>
        </is>
      </c>
      <c r="AV706" t="inlineStr">
        <is>
          <t>19921749</t>
        </is>
      </c>
      <c r="AW706" t="inlineStr">
        <is>
          <t>991001515549702656</t>
        </is>
      </c>
      <c r="AX706" t="inlineStr">
        <is>
          <t>991001515549702656</t>
        </is>
      </c>
      <c r="AY706" t="inlineStr">
        <is>
          <t>2269640440002656</t>
        </is>
      </c>
      <c r="AZ706" t="inlineStr">
        <is>
          <t>BOOK</t>
        </is>
      </c>
      <c r="BB706" t="inlineStr">
        <is>
          <t>9780813378213</t>
        </is>
      </c>
      <c r="BC706" t="inlineStr">
        <is>
          <t>32285000135607</t>
        </is>
      </c>
      <c r="BD706" t="inlineStr">
        <is>
          <t>893772638</t>
        </is>
      </c>
    </row>
    <row r="707">
      <c r="A707" t="inlineStr">
        <is>
          <t>No</t>
        </is>
      </c>
      <c r="B707" t="inlineStr">
        <is>
          <t>GN448.2 .S63 2006</t>
        </is>
      </c>
      <c r="C707" t="inlineStr">
        <is>
          <t>0                      GN 0448200S  63          2006</t>
        </is>
      </c>
      <c r="D707" t="inlineStr">
        <is>
          <t>Labor in cross-cultural perspective / E. Paul Durrenberger And Judith Marti, editors.</t>
        </is>
      </c>
      <c r="F707" t="inlineStr">
        <is>
          <t>No</t>
        </is>
      </c>
      <c r="G707" t="inlineStr">
        <is>
          <t>1</t>
        </is>
      </c>
      <c r="H707" t="inlineStr">
        <is>
          <t>No</t>
        </is>
      </c>
      <c r="I707" t="inlineStr">
        <is>
          <t>No</t>
        </is>
      </c>
      <c r="J707" t="inlineStr">
        <is>
          <t>0</t>
        </is>
      </c>
      <c r="K707" t="inlineStr">
        <is>
          <t>Society for Economic Anthropology (U.S.). Meeting (2001 : Milwaukee, Wis.)</t>
        </is>
      </c>
      <c r="L707" t="inlineStr">
        <is>
          <t>Lanham, MD : AltaMira Press ; [Durham, N.H.] : Published in cooperation with the Society for Economic Anthropology, c2006.</t>
        </is>
      </c>
      <c r="M707" t="inlineStr">
        <is>
          <t>2006</t>
        </is>
      </c>
      <c r="O707" t="inlineStr">
        <is>
          <t>eng</t>
        </is>
      </c>
      <c r="P707" t="inlineStr">
        <is>
          <t>mdu</t>
        </is>
      </c>
      <c r="Q707" t="inlineStr">
        <is>
          <t>Society for Economic Anthropology (SEA) monographs ; no. 23</t>
        </is>
      </c>
      <c r="R707" t="inlineStr">
        <is>
          <t xml:space="preserve">GN </t>
        </is>
      </c>
      <c r="S707" t="n">
        <v>1</v>
      </c>
      <c r="T707" t="n">
        <v>1</v>
      </c>
      <c r="U707" t="inlineStr">
        <is>
          <t>2006-11-21</t>
        </is>
      </c>
      <c r="V707" t="inlineStr">
        <is>
          <t>2006-11-21</t>
        </is>
      </c>
      <c r="W707" t="inlineStr">
        <is>
          <t>2006-11-21</t>
        </is>
      </c>
      <c r="X707" t="inlineStr">
        <is>
          <t>2006-11-21</t>
        </is>
      </c>
      <c r="Y707" t="n">
        <v>207</v>
      </c>
      <c r="Z707" t="n">
        <v>151</v>
      </c>
      <c r="AA707" t="n">
        <v>170</v>
      </c>
      <c r="AB707" t="n">
        <v>2</v>
      </c>
      <c r="AC707" t="n">
        <v>2</v>
      </c>
      <c r="AD707" t="n">
        <v>5</v>
      </c>
      <c r="AE707" t="n">
        <v>6</v>
      </c>
      <c r="AF707" t="n">
        <v>0</v>
      </c>
      <c r="AG707" t="n">
        <v>1</v>
      </c>
      <c r="AH707" t="n">
        <v>3</v>
      </c>
      <c r="AI707" t="n">
        <v>4</v>
      </c>
      <c r="AJ707" t="n">
        <v>2</v>
      </c>
      <c r="AK707" t="n">
        <v>2</v>
      </c>
      <c r="AL707" t="n">
        <v>1</v>
      </c>
      <c r="AM707" t="n">
        <v>1</v>
      </c>
      <c r="AN707" t="n">
        <v>0</v>
      </c>
      <c r="AO707" t="n">
        <v>0</v>
      </c>
      <c r="AP707" t="inlineStr">
        <is>
          <t>No</t>
        </is>
      </c>
      <c r="AQ707" t="inlineStr">
        <is>
          <t>Yes</t>
        </is>
      </c>
      <c r="AR707">
        <f>HYPERLINK("http://catalog.hathitrust.org/Record/005213961","HathiTrust Record")</f>
        <v/>
      </c>
      <c r="AS707">
        <f>HYPERLINK("https://creighton-primo.hosted.exlibrisgroup.com/primo-explore/search?tab=default_tab&amp;search_scope=EVERYTHING&amp;vid=01CRU&amp;lang=en_US&amp;offset=0&amp;query=any,contains,991004968189702656","Catalog Record")</f>
        <v/>
      </c>
      <c r="AT707">
        <f>HYPERLINK("http://www.worldcat.org/oclc/59223923","WorldCat Record")</f>
        <v/>
      </c>
      <c r="AU707" t="inlineStr">
        <is>
          <t>351877551:eng</t>
        </is>
      </c>
      <c r="AV707" t="inlineStr">
        <is>
          <t>59223923</t>
        </is>
      </c>
      <c r="AW707" t="inlineStr">
        <is>
          <t>991004968189702656</t>
        </is>
      </c>
      <c r="AX707" t="inlineStr">
        <is>
          <t>991004968189702656</t>
        </is>
      </c>
      <c r="AY707" t="inlineStr">
        <is>
          <t>2262638550002656</t>
        </is>
      </c>
      <c r="AZ707" t="inlineStr">
        <is>
          <t>BOOK</t>
        </is>
      </c>
      <c r="BB707" t="inlineStr">
        <is>
          <t>9780759105829</t>
        </is>
      </c>
      <c r="BC707" t="inlineStr">
        <is>
          <t>32285005261044</t>
        </is>
      </c>
      <c r="BD707" t="inlineStr">
        <is>
          <t>893443240</t>
        </is>
      </c>
    </row>
    <row r="708">
      <c r="A708" t="inlineStr">
        <is>
          <t>No</t>
        </is>
      </c>
      <c r="B708" t="inlineStr">
        <is>
          <t>GN449.3 .L36 1998</t>
        </is>
      </c>
      <c r="C708" t="inlineStr">
        <is>
          <t>0                      GN 0449300L  36          1998</t>
        </is>
      </c>
      <c r="D708" t="inlineStr">
        <is>
          <t>Landless and hungry? : access to land in early and traditional societies : proceedings of a seminar held in Leiden, 20 and 21 June, 1996 / edited by B. Haring and R. de Maaijer.</t>
        </is>
      </c>
      <c r="F708" t="inlineStr">
        <is>
          <t>No</t>
        </is>
      </c>
      <c r="G708" t="inlineStr">
        <is>
          <t>1</t>
        </is>
      </c>
      <c r="H708" t="inlineStr">
        <is>
          <t>No</t>
        </is>
      </c>
      <c r="I708" t="inlineStr">
        <is>
          <t>No</t>
        </is>
      </c>
      <c r="J708" t="inlineStr">
        <is>
          <t>0</t>
        </is>
      </c>
      <c r="L708" t="inlineStr">
        <is>
          <t>Leiden : Research School CNWS, School of Asian, African, and Amerindian Studies, 1998.</t>
        </is>
      </c>
      <c r="M708" t="inlineStr">
        <is>
          <t>1998</t>
        </is>
      </c>
      <c r="O708" t="inlineStr">
        <is>
          <t>eng</t>
        </is>
      </c>
      <c r="P708" t="inlineStr">
        <is>
          <t xml:space="preserve">ne </t>
        </is>
      </c>
      <c r="Q708" t="inlineStr">
        <is>
          <t>CNWS publications ; no. 67</t>
        </is>
      </c>
      <c r="R708" t="inlineStr">
        <is>
          <t xml:space="preserve">GN </t>
        </is>
      </c>
      <c r="S708" t="n">
        <v>1</v>
      </c>
      <c r="T708" t="n">
        <v>1</v>
      </c>
      <c r="U708" t="inlineStr">
        <is>
          <t>2002-03-28</t>
        </is>
      </c>
      <c r="V708" t="inlineStr">
        <is>
          <t>2002-03-28</t>
        </is>
      </c>
      <c r="W708" t="inlineStr">
        <is>
          <t>2001-01-04</t>
        </is>
      </c>
      <c r="X708" t="inlineStr">
        <is>
          <t>2001-01-04</t>
        </is>
      </c>
      <c r="Y708" t="n">
        <v>67</v>
      </c>
      <c r="Z708" t="n">
        <v>36</v>
      </c>
      <c r="AA708" t="n">
        <v>38</v>
      </c>
      <c r="AB708" t="n">
        <v>1</v>
      </c>
      <c r="AC708" t="n">
        <v>1</v>
      </c>
      <c r="AD708" t="n">
        <v>1</v>
      </c>
      <c r="AE708" t="n">
        <v>1</v>
      </c>
      <c r="AF708" t="n">
        <v>0</v>
      </c>
      <c r="AG708" t="n">
        <v>0</v>
      </c>
      <c r="AH708" t="n">
        <v>1</v>
      </c>
      <c r="AI708" t="n">
        <v>1</v>
      </c>
      <c r="AJ708" t="n">
        <v>1</v>
      </c>
      <c r="AK708" t="n">
        <v>1</v>
      </c>
      <c r="AL708" t="n">
        <v>0</v>
      </c>
      <c r="AM708" t="n">
        <v>0</v>
      </c>
      <c r="AN708" t="n">
        <v>0</v>
      </c>
      <c r="AO708" t="n">
        <v>0</v>
      </c>
      <c r="AP708" t="inlineStr">
        <is>
          <t>No</t>
        </is>
      </c>
      <c r="AQ708" t="inlineStr">
        <is>
          <t>Yes</t>
        </is>
      </c>
      <c r="AR708">
        <f>HYPERLINK("http://catalog.hathitrust.org/Record/003452227","HathiTrust Record")</f>
        <v/>
      </c>
      <c r="AS708">
        <f>HYPERLINK("https://creighton-primo.hosted.exlibrisgroup.com/primo-explore/search?tab=default_tab&amp;search_scope=EVERYTHING&amp;vid=01CRU&amp;lang=en_US&amp;offset=0&amp;query=any,contains,991003231749702656","Catalog Record")</f>
        <v/>
      </c>
      <c r="AT708">
        <f>HYPERLINK("http://www.worldcat.org/oclc/40265778","WorldCat Record")</f>
        <v/>
      </c>
      <c r="AU708" t="inlineStr">
        <is>
          <t>25314511:eng</t>
        </is>
      </c>
      <c r="AV708" t="inlineStr">
        <is>
          <t>40265778</t>
        </is>
      </c>
      <c r="AW708" t="inlineStr">
        <is>
          <t>991003231749702656</t>
        </is>
      </c>
      <c r="AX708" t="inlineStr">
        <is>
          <t>991003231749702656</t>
        </is>
      </c>
      <c r="AY708" t="inlineStr">
        <is>
          <t>2254798290002656</t>
        </is>
      </c>
      <c r="AZ708" t="inlineStr">
        <is>
          <t>BOOK</t>
        </is>
      </c>
      <c r="BB708" t="inlineStr">
        <is>
          <t>9789057890086</t>
        </is>
      </c>
      <c r="BC708" t="inlineStr">
        <is>
          <t>32285004280045</t>
        </is>
      </c>
      <c r="BD708" t="inlineStr">
        <is>
          <t>893793432</t>
        </is>
      </c>
    </row>
    <row r="709">
      <c r="A709" t="inlineStr">
        <is>
          <t>No</t>
        </is>
      </c>
      <c r="B709" t="inlineStr">
        <is>
          <t>GN450.8 .I57 2001</t>
        </is>
      </c>
      <c r="C709" t="inlineStr">
        <is>
          <t>0                      GN 0450800I  57          2001</t>
        </is>
      </c>
      <c r="D709" t="inlineStr">
        <is>
          <t>Inside organizations : anthropologists at work / edited by David N. Gellner and Eric Hirsch.</t>
        </is>
      </c>
      <c r="F709" t="inlineStr">
        <is>
          <t>No</t>
        </is>
      </c>
      <c r="G709" t="inlineStr">
        <is>
          <t>1</t>
        </is>
      </c>
      <c r="H709" t="inlineStr">
        <is>
          <t>No</t>
        </is>
      </c>
      <c r="I709" t="inlineStr">
        <is>
          <t>No</t>
        </is>
      </c>
      <c r="J709" t="inlineStr">
        <is>
          <t>0</t>
        </is>
      </c>
      <c r="L709" t="inlineStr">
        <is>
          <t>Oxford : Berg, 2001.</t>
        </is>
      </c>
      <c r="M709" t="inlineStr">
        <is>
          <t>2001</t>
        </is>
      </c>
      <c r="O709" t="inlineStr">
        <is>
          <t>eng</t>
        </is>
      </c>
      <c r="P709" t="inlineStr">
        <is>
          <t>enk</t>
        </is>
      </c>
      <c r="R709" t="inlineStr">
        <is>
          <t xml:space="preserve">GN </t>
        </is>
      </c>
      <c r="S709" t="n">
        <v>1</v>
      </c>
      <c r="T709" t="n">
        <v>1</v>
      </c>
      <c r="U709" t="inlineStr">
        <is>
          <t>2002-07-15</t>
        </is>
      </c>
      <c r="V709" t="inlineStr">
        <is>
          <t>2002-07-15</t>
        </is>
      </c>
      <c r="W709" t="inlineStr">
        <is>
          <t>2002-07-10</t>
        </is>
      </c>
      <c r="X709" t="inlineStr">
        <is>
          <t>2002-07-10</t>
        </is>
      </c>
      <c r="Y709" t="n">
        <v>537</v>
      </c>
      <c r="Z709" t="n">
        <v>404</v>
      </c>
      <c r="AA709" t="n">
        <v>723</v>
      </c>
      <c r="AB709" t="n">
        <v>3</v>
      </c>
      <c r="AC709" t="n">
        <v>6</v>
      </c>
      <c r="AD709" t="n">
        <v>21</v>
      </c>
      <c r="AE709" t="n">
        <v>27</v>
      </c>
      <c r="AF709" t="n">
        <v>8</v>
      </c>
      <c r="AG709" t="n">
        <v>9</v>
      </c>
      <c r="AH709" t="n">
        <v>6</v>
      </c>
      <c r="AI709" t="n">
        <v>7</v>
      </c>
      <c r="AJ709" t="n">
        <v>12</v>
      </c>
      <c r="AK709" t="n">
        <v>14</v>
      </c>
      <c r="AL709" t="n">
        <v>2</v>
      </c>
      <c r="AM709" t="n">
        <v>5</v>
      </c>
      <c r="AN709" t="n">
        <v>0</v>
      </c>
      <c r="AO709" t="n">
        <v>0</v>
      </c>
      <c r="AP709" t="inlineStr">
        <is>
          <t>No</t>
        </is>
      </c>
      <c r="AQ709" t="inlineStr">
        <is>
          <t>Yes</t>
        </is>
      </c>
      <c r="AR709">
        <f>HYPERLINK("http://catalog.hathitrust.org/Record/004180476","HathiTrust Record")</f>
        <v/>
      </c>
      <c r="AS709">
        <f>HYPERLINK("https://creighton-primo.hosted.exlibrisgroup.com/primo-explore/search?tab=default_tab&amp;search_scope=EVERYTHING&amp;vid=01CRU&amp;lang=en_US&amp;offset=0&amp;query=any,contains,991003825569702656","Catalog Record")</f>
        <v/>
      </c>
      <c r="AT709">
        <f>HYPERLINK("http://www.worldcat.org/oclc/46433378","WorldCat Record")</f>
        <v/>
      </c>
      <c r="AU709" t="inlineStr">
        <is>
          <t>794203198:eng</t>
        </is>
      </c>
      <c r="AV709" t="inlineStr">
        <is>
          <t>46433378</t>
        </is>
      </c>
      <c r="AW709" t="inlineStr">
        <is>
          <t>991003825569702656</t>
        </is>
      </c>
      <c r="AX709" t="inlineStr">
        <is>
          <t>991003825569702656</t>
        </is>
      </c>
      <c r="AY709" t="inlineStr">
        <is>
          <t>2258255230002656</t>
        </is>
      </c>
      <c r="AZ709" t="inlineStr">
        <is>
          <t>BOOK</t>
        </is>
      </c>
      <c r="BB709" t="inlineStr">
        <is>
          <t>9781859734827</t>
        </is>
      </c>
      <c r="BC709" t="inlineStr">
        <is>
          <t>32285004497144</t>
        </is>
      </c>
      <c r="BD709" t="inlineStr">
        <is>
          <t>893343065</t>
        </is>
      </c>
    </row>
    <row r="710">
      <c r="A710" t="inlineStr">
        <is>
          <t>No</t>
        </is>
      </c>
      <c r="B710" t="inlineStr">
        <is>
          <t>GN450.8 .S86 2007</t>
        </is>
      </c>
      <c r="C710" t="inlineStr">
        <is>
          <t>0                      GN 0450800S  86          2007</t>
        </is>
      </c>
      <c r="D710" t="inlineStr">
        <is>
          <t>Doing anthropology in consumer research / Patricia L. Sunderland and Rita M. Denny.</t>
        </is>
      </c>
      <c r="F710" t="inlineStr">
        <is>
          <t>No</t>
        </is>
      </c>
      <c r="G710" t="inlineStr">
        <is>
          <t>1</t>
        </is>
      </c>
      <c r="H710" t="inlineStr">
        <is>
          <t>No</t>
        </is>
      </c>
      <c r="I710" t="inlineStr">
        <is>
          <t>No</t>
        </is>
      </c>
      <c r="J710" t="inlineStr">
        <is>
          <t>0</t>
        </is>
      </c>
      <c r="K710" t="inlineStr">
        <is>
          <t>Sunderland, Patricia L.</t>
        </is>
      </c>
      <c r="L710" t="inlineStr">
        <is>
          <t>Walnut Creek, CA : Left Coast Press, c2007.</t>
        </is>
      </c>
      <c r="M710" t="inlineStr">
        <is>
          <t>2007</t>
        </is>
      </c>
      <c r="O710" t="inlineStr">
        <is>
          <t>eng</t>
        </is>
      </c>
      <c r="P710" t="inlineStr">
        <is>
          <t>cau</t>
        </is>
      </c>
      <c r="R710" t="inlineStr">
        <is>
          <t xml:space="preserve">GN </t>
        </is>
      </c>
      <c r="S710" t="n">
        <v>1</v>
      </c>
      <c r="T710" t="n">
        <v>1</v>
      </c>
      <c r="U710" t="inlineStr">
        <is>
          <t>2009-05-06</t>
        </is>
      </c>
      <c r="V710" t="inlineStr">
        <is>
          <t>2009-05-06</t>
        </is>
      </c>
      <c r="W710" t="inlineStr">
        <is>
          <t>2009-05-06</t>
        </is>
      </c>
      <c r="X710" t="inlineStr">
        <is>
          <t>2009-05-06</t>
        </is>
      </c>
      <c r="Y710" t="n">
        <v>530</v>
      </c>
      <c r="Z710" t="n">
        <v>420</v>
      </c>
      <c r="AA710" t="n">
        <v>443</v>
      </c>
      <c r="AB710" t="n">
        <v>6</v>
      </c>
      <c r="AC710" t="n">
        <v>6</v>
      </c>
      <c r="AD710" t="n">
        <v>24</v>
      </c>
      <c r="AE710" t="n">
        <v>24</v>
      </c>
      <c r="AF710" t="n">
        <v>10</v>
      </c>
      <c r="AG710" t="n">
        <v>10</v>
      </c>
      <c r="AH710" t="n">
        <v>7</v>
      </c>
      <c r="AI710" t="n">
        <v>7</v>
      </c>
      <c r="AJ710" t="n">
        <v>8</v>
      </c>
      <c r="AK710" t="n">
        <v>8</v>
      </c>
      <c r="AL710" t="n">
        <v>5</v>
      </c>
      <c r="AM710" t="n">
        <v>5</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HYPERLINK("https://creighton-primo.hosted.exlibrisgroup.com/primo-explore/search?tab=default_tab&amp;search_scope=EVERYTHING&amp;vid=01CRU&amp;lang=en_US&amp;offset=0&amp;query=any,contains,991005313309702656","Catalog Record")</f>
        <v/>
      </c>
      <c r="AT710">
        <f>HYPERLINK("http://www.worldcat.org/oclc/166255173","WorldCat Record")</f>
        <v/>
      </c>
      <c r="AU710" t="inlineStr">
        <is>
          <t>112811542:eng</t>
        </is>
      </c>
      <c r="AV710" t="inlineStr">
        <is>
          <t>166255173</t>
        </is>
      </c>
      <c r="AW710" t="inlineStr">
        <is>
          <t>991005313309702656</t>
        </is>
      </c>
      <c r="AX710" t="inlineStr">
        <is>
          <t>991005313309702656</t>
        </is>
      </c>
      <c r="AY710" t="inlineStr">
        <is>
          <t>2264239410002656</t>
        </is>
      </c>
      <c r="AZ710" t="inlineStr">
        <is>
          <t>BOOK</t>
        </is>
      </c>
      <c r="BB710" t="inlineStr">
        <is>
          <t>9781598740905</t>
        </is>
      </c>
      <c r="BC710" t="inlineStr">
        <is>
          <t>32285005531156</t>
        </is>
      </c>
      <c r="BD710" t="inlineStr">
        <is>
          <t>893260902</t>
        </is>
      </c>
    </row>
    <row r="711">
      <c r="A711" t="inlineStr">
        <is>
          <t>No</t>
        </is>
      </c>
      <c r="B711" t="inlineStr">
        <is>
          <t>GN451 .A44 1970</t>
        </is>
      </c>
      <c r="C711" t="inlineStr">
        <is>
          <t>0                      GN 0451000A  44          1970</t>
        </is>
      </c>
      <c r="D711" t="inlineStr">
        <is>
          <t>The primitive mind and modern civilization. With an introd. by Bronislaw Malinowski and a foreword by C. G. Jung.</t>
        </is>
      </c>
      <c r="F711" t="inlineStr">
        <is>
          <t>No</t>
        </is>
      </c>
      <c r="G711" t="inlineStr">
        <is>
          <t>1</t>
        </is>
      </c>
      <c r="H711" t="inlineStr">
        <is>
          <t>No</t>
        </is>
      </c>
      <c r="I711" t="inlineStr">
        <is>
          <t>No</t>
        </is>
      </c>
      <c r="J711" t="inlineStr">
        <is>
          <t>0</t>
        </is>
      </c>
      <c r="K711" t="inlineStr">
        <is>
          <t>Aldrich, Charles Roberts, 1877-1933.</t>
        </is>
      </c>
      <c r="L711" t="inlineStr">
        <is>
          <t>Westport, Conn., Greenwood Press [1970]</t>
        </is>
      </c>
      <c r="M711" t="inlineStr">
        <is>
          <t>1970</t>
        </is>
      </c>
      <c r="O711" t="inlineStr">
        <is>
          <t>eng</t>
        </is>
      </c>
      <c r="P711" t="inlineStr">
        <is>
          <t>ctu</t>
        </is>
      </c>
      <c r="R711" t="inlineStr">
        <is>
          <t xml:space="preserve">GN </t>
        </is>
      </c>
      <c r="S711" t="n">
        <v>2</v>
      </c>
      <c r="T711" t="n">
        <v>2</v>
      </c>
      <c r="U711" t="inlineStr">
        <is>
          <t>1998-11-15</t>
        </is>
      </c>
      <c r="V711" t="inlineStr">
        <is>
          <t>1998-11-15</t>
        </is>
      </c>
      <c r="W711" t="inlineStr">
        <is>
          <t>1997-05-28</t>
        </is>
      </c>
      <c r="X711" t="inlineStr">
        <is>
          <t>1997-05-28</t>
        </is>
      </c>
      <c r="Y711" t="n">
        <v>141</v>
      </c>
      <c r="Z711" t="n">
        <v>123</v>
      </c>
      <c r="AA711" t="n">
        <v>452</v>
      </c>
      <c r="AB711" t="n">
        <v>1</v>
      </c>
      <c r="AC711" t="n">
        <v>3</v>
      </c>
      <c r="AD711" t="n">
        <v>3</v>
      </c>
      <c r="AE711" t="n">
        <v>10</v>
      </c>
      <c r="AF711" t="n">
        <v>2</v>
      </c>
      <c r="AG711" t="n">
        <v>2</v>
      </c>
      <c r="AH711" t="n">
        <v>2</v>
      </c>
      <c r="AI711" t="n">
        <v>3</v>
      </c>
      <c r="AJ711" t="n">
        <v>2</v>
      </c>
      <c r="AK711" t="n">
        <v>6</v>
      </c>
      <c r="AL711" t="n">
        <v>0</v>
      </c>
      <c r="AM711" t="n">
        <v>2</v>
      </c>
      <c r="AN711" t="n">
        <v>0</v>
      </c>
      <c r="AO711" t="n">
        <v>0</v>
      </c>
      <c r="AP711" t="inlineStr">
        <is>
          <t>No</t>
        </is>
      </c>
      <c r="AQ711" t="inlineStr">
        <is>
          <t>Yes</t>
        </is>
      </c>
      <c r="AR711">
        <f>HYPERLINK("http://catalog.hathitrust.org/Record/000471161","HathiTrust Record")</f>
        <v/>
      </c>
      <c r="AS711">
        <f>HYPERLINK("https://creighton-primo.hosted.exlibrisgroup.com/primo-explore/search?tab=default_tab&amp;search_scope=EVERYTHING&amp;vid=01CRU&amp;lang=en_US&amp;offset=0&amp;query=any,contains,991000681359702656","Catalog Record")</f>
        <v/>
      </c>
      <c r="AT711">
        <f>HYPERLINK("http://www.worldcat.org/oclc/122015","WorldCat Record")</f>
        <v/>
      </c>
      <c r="AU711" t="inlineStr">
        <is>
          <t>45645:eng</t>
        </is>
      </c>
      <c r="AV711" t="inlineStr">
        <is>
          <t>122015</t>
        </is>
      </c>
      <c r="AW711" t="inlineStr">
        <is>
          <t>991000681359702656</t>
        </is>
      </c>
      <c r="AX711" t="inlineStr">
        <is>
          <t>991000681359702656</t>
        </is>
      </c>
      <c r="AY711" t="inlineStr">
        <is>
          <t>2263034810002656</t>
        </is>
      </c>
      <c r="AZ711" t="inlineStr">
        <is>
          <t>BOOK</t>
        </is>
      </c>
      <c r="BB711" t="inlineStr">
        <is>
          <t>9780837132402</t>
        </is>
      </c>
      <c r="BC711" t="inlineStr">
        <is>
          <t>32285002695715</t>
        </is>
      </c>
      <c r="BD711" t="inlineStr">
        <is>
          <t>893771874</t>
        </is>
      </c>
    </row>
    <row r="712">
      <c r="A712" t="inlineStr">
        <is>
          <t>No</t>
        </is>
      </c>
      <c r="B712" t="inlineStr">
        <is>
          <t>GN451 .B4 1977</t>
        </is>
      </c>
      <c r="C712" t="inlineStr">
        <is>
          <t>0                      GN 0451000B  4           1977</t>
        </is>
      </c>
      <c r="D712" t="inlineStr">
        <is>
          <t>Trance in Bali / by Jane Belo ; pref. by Margaret Mead.</t>
        </is>
      </c>
      <c r="F712" t="inlineStr">
        <is>
          <t>No</t>
        </is>
      </c>
      <c r="G712" t="inlineStr">
        <is>
          <t>1</t>
        </is>
      </c>
      <c r="H712" t="inlineStr">
        <is>
          <t>No</t>
        </is>
      </c>
      <c r="I712" t="inlineStr">
        <is>
          <t>No</t>
        </is>
      </c>
      <c r="J712" t="inlineStr">
        <is>
          <t>0</t>
        </is>
      </c>
      <c r="K712" t="inlineStr">
        <is>
          <t>Belo, Jane, 1904-1968.</t>
        </is>
      </c>
      <c r="L712" t="inlineStr">
        <is>
          <t>Westport, Conn. : Greenwood Press, 1977, c1960.</t>
        </is>
      </c>
      <c r="M712" t="inlineStr">
        <is>
          <t>1977</t>
        </is>
      </c>
      <c r="O712" t="inlineStr">
        <is>
          <t>eng</t>
        </is>
      </c>
      <c r="P712" t="inlineStr">
        <is>
          <t>ctu</t>
        </is>
      </c>
      <c r="R712" t="inlineStr">
        <is>
          <t xml:space="preserve">GN </t>
        </is>
      </c>
      <c r="S712" t="n">
        <v>4</v>
      </c>
      <c r="T712" t="n">
        <v>4</v>
      </c>
      <c r="U712" t="inlineStr">
        <is>
          <t>2006-04-17</t>
        </is>
      </c>
      <c r="V712" t="inlineStr">
        <is>
          <t>2006-04-17</t>
        </is>
      </c>
      <c r="W712" t="inlineStr">
        <is>
          <t>1997-05-28</t>
        </is>
      </c>
      <c r="X712" t="inlineStr">
        <is>
          <t>1997-05-28</t>
        </is>
      </c>
      <c r="Y712" t="n">
        <v>60</v>
      </c>
      <c r="Z712" t="n">
        <v>49</v>
      </c>
      <c r="AA712" t="n">
        <v>468</v>
      </c>
      <c r="AB712" t="n">
        <v>1</v>
      </c>
      <c r="AC712" t="n">
        <v>3</v>
      </c>
      <c r="AD712" t="n">
        <v>2</v>
      </c>
      <c r="AE712" t="n">
        <v>18</v>
      </c>
      <c r="AF712" t="n">
        <v>1</v>
      </c>
      <c r="AG712" t="n">
        <v>4</v>
      </c>
      <c r="AH712" t="n">
        <v>1</v>
      </c>
      <c r="AI712" t="n">
        <v>6</v>
      </c>
      <c r="AJ712" t="n">
        <v>1</v>
      </c>
      <c r="AK712" t="n">
        <v>9</v>
      </c>
      <c r="AL712" t="n">
        <v>0</v>
      </c>
      <c r="AM712" t="n">
        <v>2</v>
      </c>
      <c r="AN712" t="n">
        <v>0</v>
      </c>
      <c r="AO712" t="n">
        <v>0</v>
      </c>
      <c r="AP712" t="inlineStr">
        <is>
          <t>No</t>
        </is>
      </c>
      <c r="AQ712" t="inlineStr">
        <is>
          <t>Yes</t>
        </is>
      </c>
      <c r="AR712">
        <f>HYPERLINK("http://catalog.hathitrust.org/Record/000212495","HathiTrust Record")</f>
        <v/>
      </c>
      <c r="AS712">
        <f>HYPERLINK("https://creighton-primo.hosted.exlibrisgroup.com/primo-explore/search?tab=default_tab&amp;search_scope=EVERYTHING&amp;vid=01CRU&amp;lang=en_US&amp;offset=0&amp;query=any,contains,991004287369702656","Catalog Record")</f>
        <v/>
      </c>
      <c r="AT712">
        <f>HYPERLINK("http://www.worldcat.org/oclc/2929547","WorldCat Record")</f>
        <v/>
      </c>
      <c r="AU712" t="inlineStr">
        <is>
          <t>1498507:eng</t>
        </is>
      </c>
      <c r="AV712" t="inlineStr">
        <is>
          <t>2929547</t>
        </is>
      </c>
      <c r="AW712" t="inlineStr">
        <is>
          <t>991004287369702656</t>
        </is>
      </c>
      <c r="AX712" t="inlineStr">
        <is>
          <t>991004287369702656</t>
        </is>
      </c>
      <c r="AY712" t="inlineStr">
        <is>
          <t>2267707860002656</t>
        </is>
      </c>
      <c r="AZ712" t="inlineStr">
        <is>
          <t>BOOK</t>
        </is>
      </c>
      <c r="BB712" t="inlineStr">
        <is>
          <t>9780837196527</t>
        </is>
      </c>
      <c r="BC712" t="inlineStr">
        <is>
          <t>32285002695723</t>
        </is>
      </c>
      <c r="BD712" t="inlineStr">
        <is>
          <t>893442435</t>
        </is>
      </c>
    </row>
    <row r="713">
      <c r="A713" t="inlineStr">
        <is>
          <t>No</t>
        </is>
      </c>
      <c r="B713" t="inlineStr">
        <is>
          <t>GN451 .G66 1977</t>
        </is>
      </c>
      <c r="C713" t="inlineStr">
        <is>
          <t>0                      GN 0451000G  66          1977</t>
        </is>
      </c>
      <c r="D713" t="inlineStr">
        <is>
          <t>The domestication of the savage mind / by Jack Goody.</t>
        </is>
      </c>
      <c r="F713" t="inlineStr">
        <is>
          <t>No</t>
        </is>
      </c>
      <c r="G713" t="inlineStr">
        <is>
          <t>1</t>
        </is>
      </c>
      <c r="H713" t="inlineStr">
        <is>
          <t>No</t>
        </is>
      </c>
      <c r="I713" t="inlineStr">
        <is>
          <t>No</t>
        </is>
      </c>
      <c r="J713" t="inlineStr">
        <is>
          <t>0</t>
        </is>
      </c>
      <c r="K713" t="inlineStr">
        <is>
          <t>Goody, Jack.</t>
        </is>
      </c>
      <c r="L713" t="inlineStr">
        <is>
          <t>Cambridge [Eng.] ; New York : Cambridge University Press, c1977, 1978 printing.</t>
        </is>
      </c>
      <c r="M713" t="inlineStr">
        <is>
          <t>1977</t>
        </is>
      </c>
      <c r="O713" t="inlineStr">
        <is>
          <t>eng</t>
        </is>
      </c>
      <c r="P713" t="inlineStr">
        <is>
          <t>enk</t>
        </is>
      </c>
      <c r="Q713" t="inlineStr">
        <is>
          <t>Themes in the social sciences</t>
        </is>
      </c>
      <c r="R713" t="inlineStr">
        <is>
          <t xml:space="preserve">GN </t>
        </is>
      </c>
      <c r="S713" t="n">
        <v>5</v>
      </c>
      <c r="T713" t="n">
        <v>5</v>
      </c>
      <c r="U713" t="inlineStr">
        <is>
          <t>2004-06-04</t>
        </is>
      </c>
      <c r="V713" t="inlineStr">
        <is>
          <t>2004-06-04</t>
        </is>
      </c>
      <c r="W713" t="inlineStr">
        <is>
          <t>1990-09-26</t>
        </is>
      </c>
      <c r="X713" t="inlineStr">
        <is>
          <t>1990-09-26</t>
        </is>
      </c>
      <c r="Y713" t="n">
        <v>742</v>
      </c>
      <c r="Z713" t="n">
        <v>496</v>
      </c>
      <c r="AA713" t="n">
        <v>497</v>
      </c>
      <c r="AB713" t="n">
        <v>5</v>
      </c>
      <c r="AC713" t="n">
        <v>5</v>
      </c>
      <c r="AD713" t="n">
        <v>24</v>
      </c>
      <c r="AE713" t="n">
        <v>24</v>
      </c>
      <c r="AF713" t="n">
        <v>7</v>
      </c>
      <c r="AG713" t="n">
        <v>7</v>
      </c>
      <c r="AH713" t="n">
        <v>5</v>
      </c>
      <c r="AI713" t="n">
        <v>5</v>
      </c>
      <c r="AJ713" t="n">
        <v>12</v>
      </c>
      <c r="AK713" t="n">
        <v>12</v>
      </c>
      <c r="AL713" t="n">
        <v>4</v>
      </c>
      <c r="AM713" t="n">
        <v>4</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HYPERLINK("https://creighton-primo.hosted.exlibrisgroup.com/primo-explore/search?tab=default_tab&amp;search_scope=EVERYTHING&amp;vid=01CRU&amp;lang=en_US&amp;offset=0&amp;query=any,contains,991004286809702656","Catalog Record")</f>
        <v/>
      </c>
      <c r="AT713">
        <f>HYPERLINK("http://www.worldcat.org/oclc/2929218","WorldCat Record")</f>
        <v/>
      </c>
      <c r="AU713" t="inlineStr">
        <is>
          <t>505927:eng</t>
        </is>
      </c>
      <c r="AV713" t="inlineStr">
        <is>
          <t>2929218</t>
        </is>
      </c>
      <c r="AW713" t="inlineStr">
        <is>
          <t>991004286809702656</t>
        </is>
      </c>
      <c r="AX713" t="inlineStr">
        <is>
          <t>991004286809702656</t>
        </is>
      </c>
      <c r="AY713" t="inlineStr">
        <is>
          <t>2267746580002656</t>
        </is>
      </c>
      <c r="AZ713" t="inlineStr">
        <is>
          <t>BOOK</t>
        </is>
      </c>
      <c r="BB713" t="inlineStr">
        <is>
          <t>9780521217262</t>
        </is>
      </c>
      <c r="BC713" t="inlineStr">
        <is>
          <t>32285000316322</t>
        </is>
      </c>
      <c r="BD713" t="inlineStr">
        <is>
          <t>893423619</t>
        </is>
      </c>
    </row>
    <row r="714">
      <c r="A714" t="inlineStr">
        <is>
          <t>No</t>
        </is>
      </c>
      <c r="B714" t="inlineStr">
        <is>
          <t>GN451 .H27</t>
        </is>
      </c>
      <c r="C714" t="inlineStr">
        <is>
          <t>0                      GN 0451000H  27</t>
        </is>
      </c>
      <c r="D714" t="inlineStr">
        <is>
          <t>The foundations of primitive thought / C. R. Hallpike.</t>
        </is>
      </c>
      <c r="F714" t="inlineStr">
        <is>
          <t>No</t>
        </is>
      </c>
      <c r="G714" t="inlineStr">
        <is>
          <t>1</t>
        </is>
      </c>
      <c r="H714" t="inlineStr">
        <is>
          <t>No</t>
        </is>
      </c>
      <c r="I714" t="inlineStr">
        <is>
          <t>No</t>
        </is>
      </c>
      <c r="J714" t="inlineStr">
        <is>
          <t>0</t>
        </is>
      </c>
      <c r="K714" t="inlineStr">
        <is>
          <t>Hallpike, C. R. (Christopher Robert)</t>
        </is>
      </c>
      <c r="L714" t="inlineStr">
        <is>
          <t>Oxford : Clarendon Press ; New York : Oxford University Press, 1979.</t>
        </is>
      </c>
      <c r="M714" t="inlineStr">
        <is>
          <t>1979</t>
        </is>
      </c>
      <c r="O714" t="inlineStr">
        <is>
          <t>eng</t>
        </is>
      </c>
      <c r="P714" t="inlineStr">
        <is>
          <t>enk</t>
        </is>
      </c>
      <c r="R714" t="inlineStr">
        <is>
          <t xml:space="preserve">GN </t>
        </is>
      </c>
      <c r="S714" t="n">
        <v>1</v>
      </c>
      <c r="T714" t="n">
        <v>1</v>
      </c>
      <c r="U714" t="inlineStr">
        <is>
          <t>2004-04-20</t>
        </is>
      </c>
      <c r="V714" t="inlineStr">
        <is>
          <t>2004-04-20</t>
        </is>
      </c>
      <c r="W714" t="inlineStr">
        <is>
          <t>1990-09-26</t>
        </is>
      </c>
      <c r="X714" t="inlineStr">
        <is>
          <t>1990-09-26</t>
        </is>
      </c>
      <c r="Y714" t="n">
        <v>400</v>
      </c>
      <c r="Z714" t="n">
        <v>250</v>
      </c>
      <c r="AA714" t="n">
        <v>256</v>
      </c>
      <c r="AB714" t="n">
        <v>3</v>
      </c>
      <c r="AC714" t="n">
        <v>3</v>
      </c>
      <c r="AD714" t="n">
        <v>8</v>
      </c>
      <c r="AE714" t="n">
        <v>8</v>
      </c>
      <c r="AF714" t="n">
        <v>0</v>
      </c>
      <c r="AG714" t="n">
        <v>0</v>
      </c>
      <c r="AH714" t="n">
        <v>2</v>
      </c>
      <c r="AI714" t="n">
        <v>2</v>
      </c>
      <c r="AJ714" t="n">
        <v>5</v>
      </c>
      <c r="AK714" t="n">
        <v>5</v>
      </c>
      <c r="AL714" t="n">
        <v>2</v>
      </c>
      <c r="AM714" t="n">
        <v>2</v>
      </c>
      <c r="AN714" t="n">
        <v>0</v>
      </c>
      <c r="AO714" t="n">
        <v>0</v>
      </c>
      <c r="AP714" t="inlineStr">
        <is>
          <t>No</t>
        </is>
      </c>
      <c r="AQ714" t="inlineStr">
        <is>
          <t>Yes</t>
        </is>
      </c>
      <c r="AR714">
        <f>HYPERLINK("http://catalog.hathitrust.org/Record/000682606","HathiTrust Record")</f>
        <v/>
      </c>
      <c r="AS714">
        <f>HYPERLINK("https://creighton-primo.hosted.exlibrisgroup.com/primo-explore/search?tab=default_tab&amp;search_scope=EVERYTHING&amp;vid=01CRU&amp;lang=en_US&amp;offset=0&amp;query=any,contains,991004811729702656","Catalog Record")</f>
        <v/>
      </c>
      <c r="AT714">
        <f>HYPERLINK("http://www.worldcat.org/oclc/5285823","WorldCat Record")</f>
        <v/>
      </c>
      <c r="AU714" t="inlineStr">
        <is>
          <t>16789849:eng</t>
        </is>
      </c>
      <c r="AV714" t="inlineStr">
        <is>
          <t>5285823</t>
        </is>
      </c>
      <c r="AW714" t="inlineStr">
        <is>
          <t>991004811729702656</t>
        </is>
      </c>
      <c r="AX714" t="inlineStr">
        <is>
          <t>991004811729702656</t>
        </is>
      </c>
      <c r="AY714" t="inlineStr">
        <is>
          <t>2272168380002656</t>
        </is>
      </c>
      <c r="AZ714" t="inlineStr">
        <is>
          <t>BOOK</t>
        </is>
      </c>
      <c r="BB714" t="inlineStr">
        <is>
          <t>9780198231967</t>
        </is>
      </c>
      <c r="BC714" t="inlineStr">
        <is>
          <t>32285000316330</t>
        </is>
      </c>
      <c r="BD714" t="inlineStr">
        <is>
          <t>893594130</t>
        </is>
      </c>
    </row>
    <row r="715">
      <c r="A715" t="inlineStr">
        <is>
          <t>No</t>
        </is>
      </c>
      <c r="B715" t="inlineStr">
        <is>
          <t>GN451 .L3813</t>
        </is>
      </c>
      <c r="C715" t="inlineStr">
        <is>
          <t>0                      GN 0451000L  3813</t>
        </is>
      </c>
      <c r="D715" t="inlineStr">
        <is>
          <t>The savage mind.</t>
        </is>
      </c>
      <c r="F715" t="inlineStr">
        <is>
          <t>No</t>
        </is>
      </c>
      <c r="G715" t="inlineStr">
        <is>
          <t>1</t>
        </is>
      </c>
      <c r="H715" t="inlineStr">
        <is>
          <t>Yes</t>
        </is>
      </c>
      <c r="I715" t="inlineStr">
        <is>
          <t>No</t>
        </is>
      </c>
      <c r="J715" t="inlineStr">
        <is>
          <t>0</t>
        </is>
      </c>
      <c r="K715" t="inlineStr">
        <is>
          <t>Lévi-Strauss, Claude.</t>
        </is>
      </c>
      <c r="L715" t="inlineStr">
        <is>
          <t>[Chicago] University of Chicago Press [1966]</t>
        </is>
      </c>
      <c r="M715" t="inlineStr">
        <is>
          <t>1966</t>
        </is>
      </c>
      <c r="O715" t="inlineStr">
        <is>
          <t>eng</t>
        </is>
      </c>
      <c r="P715" t="inlineStr">
        <is>
          <t>ilu</t>
        </is>
      </c>
      <c r="Q715" t="inlineStr">
        <is>
          <t>The Nature of human society series</t>
        </is>
      </c>
      <c r="R715" t="inlineStr">
        <is>
          <t xml:space="preserve">GN </t>
        </is>
      </c>
      <c r="S715" t="n">
        <v>3</v>
      </c>
      <c r="T715" t="n">
        <v>3</v>
      </c>
      <c r="U715" t="inlineStr">
        <is>
          <t>2000-03-18</t>
        </is>
      </c>
      <c r="V715" t="inlineStr">
        <is>
          <t>2000-03-18</t>
        </is>
      </c>
      <c r="W715" t="inlineStr">
        <is>
          <t>1997-05-27</t>
        </is>
      </c>
      <c r="X715" t="inlineStr">
        <is>
          <t>1997-05-27</t>
        </is>
      </c>
      <c r="Y715" t="n">
        <v>1914</v>
      </c>
      <c r="Z715" t="n">
        <v>1706</v>
      </c>
      <c r="AA715" t="n">
        <v>1815</v>
      </c>
      <c r="AB715" t="n">
        <v>14</v>
      </c>
      <c r="AC715" t="n">
        <v>14</v>
      </c>
      <c r="AD715" t="n">
        <v>54</v>
      </c>
      <c r="AE715" t="n">
        <v>56</v>
      </c>
      <c r="AF715" t="n">
        <v>25</v>
      </c>
      <c r="AG715" t="n">
        <v>26</v>
      </c>
      <c r="AH715" t="n">
        <v>11</v>
      </c>
      <c r="AI715" t="n">
        <v>11</v>
      </c>
      <c r="AJ715" t="n">
        <v>23</v>
      </c>
      <c r="AK715" t="n">
        <v>24</v>
      </c>
      <c r="AL715" t="n">
        <v>8</v>
      </c>
      <c r="AM715" t="n">
        <v>8</v>
      </c>
      <c r="AN715" t="n">
        <v>0</v>
      </c>
      <c r="AO715" t="n">
        <v>0</v>
      </c>
      <c r="AP715" t="inlineStr">
        <is>
          <t>No</t>
        </is>
      </c>
      <c r="AQ715" t="inlineStr">
        <is>
          <t>Yes</t>
        </is>
      </c>
      <c r="AR715">
        <f>HYPERLINK("http://catalog.hathitrust.org/Record/001274753","HathiTrust Record")</f>
        <v/>
      </c>
      <c r="AS715">
        <f>HYPERLINK("https://creighton-primo.hosted.exlibrisgroup.com/primo-explore/search?tab=default_tab&amp;search_scope=EVERYTHING&amp;vid=01CRU&amp;lang=en_US&amp;offset=0&amp;query=any,contains,991001642439702656","Catalog Record")</f>
        <v/>
      </c>
      <c r="AT715">
        <f>HYPERLINK("http://www.worldcat.org/oclc/491441","WorldCat Record")</f>
        <v/>
      </c>
      <c r="AU715" t="inlineStr">
        <is>
          <t>4820333598:eng</t>
        </is>
      </c>
      <c r="AV715" t="inlineStr">
        <is>
          <t>491441</t>
        </is>
      </c>
      <c r="AW715" t="inlineStr">
        <is>
          <t>991001642439702656</t>
        </is>
      </c>
      <c r="AX715" t="inlineStr">
        <is>
          <t>991001642439702656</t>
        </is>
      </c>
      <c r="AY715" t="inlineStr">
        <is>
          <t>2259688500002656</t>
        </is>
      </c>
      <c r="AZ715" t="inlineStr">
        <is>
          <t>BOOK</t>
        </is>
      </c>
      <c r="BC715" t="inlineStr">
        <is>
          <t>32285002695756</t>
        </is>
      </c>
      <c r="BD715" t="inlineStr">
        <is>
          <t>893866358</t>
        </is>
      </c>
    </row>
    <row r="716">
      <c r="A716" t="inlineStr">
        <is>
          <t>No</t>
        </is>
      </c>
      <c r="B716" t="inlineStr">
        <is>
          <t>GN451 .L513 1979</t>
        </is>
      </c>
      <c r="C716" t="inlineStr">
        <is>
          <t>0                      GN 0451000L  513         1979</t>
        </is>
      </c>
      <c r="D716" t="inlineStr">
        <is>
          <t>How natives think / Lusien Lévy-Bruhl ; translation by Lilian A. Clare.</t>
        </is>
      </c>
      <c r="F716" t="inlineStr">
        <is>
          <t>No</t>
        </is>
      </c>
      <c r="G716" t="inlineStr">
        <is>
          <t>1</t>
        </is>
      </c>
      <c r="H716" t="inlineStr">
        <is>
          <t>No</t>
        </is>
      </c>
      <c r="I716" t="inlineStr">
        <is>
          <t>No</t>
        </is>
      </c>
      <c r="J716" t="inlineStr">
        <is>
          <t>0</t>
        </is>
      </c>
      <c r="K716" t="inlineStr">
        <is>
          <t>Lévy-Bruhl, Lucien, 1857-1939.</t>
        </is>
      </c>
      <c r="L716" t="inlineStr">
        <is>
          <t>New York : Arno Press, 1979, c1926.</t>
        </is>
      </c>
      <c r="M716" t="inlineStr">
        <is>
          <t>1979</t>
        </is>
      </c>
      <c r="O716" t="inlineStr">
        <is>
          <t>eng</t>
        </is>
      </c>
      <c r="P716" t="inlineStr">
        <is>
          <t>nyu</t>
        </is>
      </c>
      <c r="Q716" t="inlineStr">
        <is>
          <t>Perennial works in sociology</t>
        </is>
      </c>
      <c r="R716" t="inlineStr">
        <is>
          <t xml:space="preserve">GN </t>
        </is>
      </c>
      <c r="S716" t="n">
        <v>1</v>
      </c>
      <c r="T716" t="n">
        <v>1</v>
      </c>
      <c r="U716" t="inlineStr">
        <is>
          <t>1992-10-10</t>
        </is>
      </c>
      <c r="V716" t="inlineStr">
        <is>
          <t>1992-10-10</t>
        </is>
      </c>
      <c r="W716" t="inlineStr">
        <is>
          <t>1990-09-26</t>
        </is>
      </c>
      <c r="X716" t="inlineStr">
        <is>
          <t>1990-09-26</t>
        </is>
      </c>
      <c r="Y716" t="n">
        <v>104</v>
      </c>
      <c r="Z716" t="n">
        <v>81</v>
      </c>
      <c r="AA716" t="n">
        <v>525</v>
      </c>
      <c r="AB716" t="n">
        <v>1</v>
      </c>
      <c r="AC716" t="n">
        <v>3</v>
      </c>
      <c r="AD716" t="n">
        <v>3</v>
      </c>
      <c r="AE716" t="n">
        <v>24</v>
      </c>
      <c r="AF716" t="n">
        <v>0</v>
      </c>
      <c r="AG716" t="n">
        <v>9</v>
      </c>
      <c r="AH716" t="n">
        <v>1</v>
      </c>
      <c r="AI716" t="n">
        <v>6</v>
      </c>
      <c r="AJ716" t="n">
        <v>2</v>
      </c>
      <c r="AK716" t="n">
        <v>12</v>
      </c>
      <c r="AL716" t="n">
        <v>0</v>
      </c>
      <c r="AM716" t="n">
        <v>2</v>
      </c>
      <c r="AN716" t="n">
        <v>0</v>
      </c>
      <c r="AO716" t="n">
        <v>0</v>
      </c>
      <c r="AP716" t="inlineStr">
        <is>
          <t>No</t>
        </is>
      </c>
      <c r="AQ716" t="inlineStr">
        <is>
          <t>Yes</t>
        </is>
      </c>
      <c r="AR716">
        <f>HYPERLINK("http://catalog.hathitrust.org/Record/000130010","HathiTrust Record")</f>
        <v/>
      </c>
      <c r="AS716">
        <f>HYPERLINK("https://creighton-primo.hosted.exlibrisgroup.com/primo-explore/search?tab=default_tab&amp;search_scope=EVERYTHING&amp;vid=01CRU&amp;lang=en_US&amp;offset=0&amp;query=any,contains,991004809209702656","Catalog Record")</f>
        <v/>
      </c>
      <c r="AT716">
        <f>HYPERLINK("http://www.worldcat.org/oclc/5264814","WorldCat Record")</f>
        <v/>
      </c>
      <c r="AU716" t="inlineStr">
        <is>
          <t>4917388956:eng</t>
        </is>
      </c>
      <c r="AV716" t="inlineStr">
        <is>
          <t>5264814</t>
        </is>
      </c>
      <c r="AW716" t="inlineStr">
        <is>
          <t>991004809209702656</t>
        </is>
      </c>
      <c r="AX716" t="inlineStr">
        <is>
          <t>991004809209702656</t>
        </is>
      </c>
      <c r="AY716" t="inlineStr">
        <is>
          <t>2259077810002656</t>
        </is>
      </c>
      <c r="AZ716" t="inlineStr">
        <is>
          <t>BOOK</t>
        </is>
      </c>
      <c r="BB716" t="inlineStr">
        <is>
          <t>9780405121043</t>
        </is>
      </c>
      <c r="BC716" t="inlineStr">
        <is>
          <t>32285000316348</t>
        </is>
      </c>
      <c r="BD716" t="inlineStr">
        <is>
          <t>893536216</t>
        </is>
      </c>
    </row>
    <row r="717">
      <c r="A717" t="inlineStr">
        <is>
          <t>No</t>
        </is>
      </c>
      <c r="B717" t="inlineStr">
        <is>
          <t>GN452.5 .S95</t>
        </is>
      </c>
      <c r="C717" t="inlineStr">
        <is>
          <t>0                      GN 0452500S  95</t>
        </is>
      </c>
      <c r="D717" t="inlineStr">
        <is>
          <t>Symbolic anthropology : a reader in the study of symbols and meanings / Janet L. Dolgin, David S. Kemnitzer, David M. Schneider, editors.</t>
        </is>
      </c>
      <c r="F717" t="inlineStr">
        <is>
          <t>No</t>
        </is>
      </c>
      <c r="G717" t="inlineStr">
        <is>
          <t>1</t>
        </is>
      </c>
      <c r="H717" t="inlineStr">
        <is>
          <t>No</t>
        </is>
      </c>
      <c r="I717" t="inlineStr">
        <is>
          <t>No</t>
        </is>
      </c>
      <c r="J717" t="inlineStr">
        <is>
          <t>0</t>
        </is>
      </c>
      <c r="L717" t="inlineStr">
        <is>
          <t>New York : Columbia University Press, 1977.</t>
        </is>
      </c>
      <c r="M717" t="inlineStr">
        <is>
          <t>1977</t>
        </is>
      </c>
      <c r="O717" t="inlineStr">
        <is>
          <t>eng</t>
        </is>
      </c>
      <c r="P717" t="inlineStr">
        <is>
          <t>nyu</t>
        </is>
      </c>
      <c r="R717" t="inlineStr">
        <is>
          <t xml:space="preserve">GN </t>
        </is>
      </c>
      <c r="S717" t="n">
        <v>2</v>
      </c>
      <c r="T717" t="n">
        <v>2</v>
      </c>
      <c r="U717" t="inlineStr">
        <is>
          <t>2010-05-20</t>
        </is>
      </c>
      <c r="V717" t="inlineStr">
        <is>
          <t>2010-05-20</t>
        </is>
      </c>
      <c r="W717" t="inlineStr">
        <is>
          <t>1997-05-28</t>
        </is>
      </c>
      <c r="X717" t="inlineStr">
        <is>
          <t>1997-05-28</t>
        </is>
      </c>
      <c r="Y717" t="n">
        <v>771</v>
      </c>
      <c r="Z717" t="n">
        <v>588</v>
      </c>
      <c r="AA717" t="n">
        <v>588</v>
      </c>
      <c r="AB717" t="n">
        <v>3</v>
      </c>
      <c r="AC717" t="n">
        <v>3</v>
      </c>
      <c r="AD717" t="n">
        <v>29</v>
      </c>
      <c r="AE717" t="n">
        <v>29</v>
      </c>
      <c r="AF717" t="n">
        <v>11</v>
      </c>
      <c r="AG717" t="n">
        <v>11</v>
      </c>
      <c r="AH717" t="n">
        <v>6</v>
      </c>
      <c r="AI717" t="n">
        <v>6</v>
      </c>
      <c r="AJ717" t="n">
        <v>18</v>
      </c>
      <c r="AK717" t="n">
        <v>18</v>
      </c>
      <c r="AL717" t="n">
        <v>2</v>
      </c>
      <c r="AM717" t="n">
        <v>2</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HYPERLINK("https://creighton-primo.hosted.exlibrisgroup.com/primo-explore/search?tab=default_tab&amp;search_scope=EVERYTHING&amp;vid=01CRU&amp;lang=en_US&amp;offset=0&amp;query=any,contains,991004252619702656","Catalog Record")</f>
        <v/>
      </c>
      <c r="AT717">
        <f>HYPERLINK("http://www.worldcat.org/oclc/2818036","WorldCat Record")</f>
        <v/>
      </c>
      <c r="AU717" t="inlineStr">
        <is>
          <t>848593848:eng</t>
        </is>
      </c>
      <c r="AV717" t="inlineStr">
        <is>
          <t>2818036</t>
        </is>
      </c>
      <c r="AW717" t="inlineStr">
        <is>
          <t>991004252619702656</t>
        </is>
      </c>
      <c r="AX717" t="inlineStr">
        <is>
          <t>991004252619702656</t>
        </is>
      </c>
      <c r="AY717" t="inlineStr">
        <is>
          <t>2265320610002656</t>
        </is>
      </c>
      <c r="AZ717" t="inlineStr">
        <is>
          <t>BOOK</t>
        </is>
      </c>
      <c r="BB717" t="inlineStr">
        <is>
          <t>9780231040327</t>
        </is>
      </c>
      <c r="BC717" t="inlineStr">
        <is>
          <t>32285002695780</t>
        </is>
      </c>
      <c r="BD717" t="inlineStr">
        <is>
          <t>893806843</t>
        </is>
      </c>
    </row>
    <row r="718">
      <c r="A718" t="inlineStr">
        <is>
          <t>No</t>
        </is>
      </c>
      <c r="B718" t="inlineStr">
        <is>
          <t>GN452.5 .W33 1986</t>
        </is>
      </c>
      <c r="C718" t="inlineStr">
        <is>
          <t>0                      GN 0452500W  33          1986</t>
        </is>
      </c>
      <c r="D718" t="inlineStr">
        <is>
          <t>Symbols that stand for themselves / Roy Wagner.</t>
        </is>
      </c>
      <c r="F718" t="inlineStr">
        <is>
          <t>No</t>
        </is>
      </c>
      <c r="G718" t="inlineStr">
        <is>
          <t>1</t>
        </is>
      </c>
      <c r="H718" t="inlineStr">
        <is>
          <t>No</t>
        </is>
      </c>
      <c r="I718" t="inlineStr">
        <is>
          <t>No</t>
        </is>
      </c>
      <c r="J718" t="inlineStr">
        <is>
          <t>0</t>
        </is>
      </c>
      <c r="K718" t="inlineStr">
        <is>
          <t>Wagner, Roy.</t>
        </is>
      </c>
      <c r="L718" t="inlineStr">
        <is>
          <t>Chicago : University of Chicago Press, 1986.</t>
        </is>
      </c>
      <c r="M718" t="inlineStr">
        <is>
          <t>1986</t>
        </is>
      </c>
      <c r="O718" t="inlineStr">
        <is>
          <t>eng</t>
        </is>
      </c>
      <c r="P718" t="inlineStr">
        <is>
          <t>ilu</t>
        </is>
      </c>
      <c r="R718" t="inlineStr">
        <is>
          <t xml:space="preserve">GN </t>
        </is>
      </c>
      <c r="S718" t="n">
        <v>4</v>
      </c>
      <c r="T718" t="n">
        <v>4</v>
      </c>
      <c r="U718" t="inlineStr">
        <is>
          <t>1992-06-11</t>
        </is>
      </c>
      <c r="V718" t="inlineStr">
        <is>
          <t>1992-06-11</t>
        </is>
      </c>
      <c r="W718" t="inlineStr">
        <is>
          <t>1991-10-16</t>
        </is>
      </c>
      <c r="X718" t="inlineStr">
        <is>
          <t>1991-10-16</t>
        </is>
      </c>
      <c r="Y718" t="n">
        <v>588</v>
      </c>
      <c r="Z718" t="n">
        <v>473</v>
      </c>
      <c r="AA718" t="n">
        <v>473</v>
      </c>
      <c r="AB718" t="n">
        <v>5</v>
      </c>
      <c r="AC718" t="n">
        <v>5</v>
      </c>
      <c r="AD718" t="n">
        <v>24</v>
      </c>
      <c r="AE718" t="n">
        <v>24</v>
      </c>
      <c r="AF718" t="n">
        <v>10</v>
      </c>
      <c r="AG718" t="n">
        <v>10</v>
      </c>
      <c r="AH718" t="n">
        <v>5</v>
      </c>
      <c r="AI718" t="n">
        <v>5</v>
      </c>
      <c r="AJ718" t="n">
        <v>14</v>
      </c>
      <c r="AK718" t="n">
        <v>14</v>
      </c>
      <c r="AL718" t="n">
        <v>4</v>
      </c>
      <c r="AM718" t="n">
        <v>4</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HYPERLINK("https://creighton-primo.hosted.exlibrisgroup.com/primo-explore/search?tab=default_tab&amp;search_scope=EVERYTHING&amp;vid=01CRU&amp;lang=en_US&amp;offset=0&amp;query=any,contains,991000671689702656","Catalog Record")</f>
        <v/>
      </c>
      <c r="AT718">
        <f>HYPERLINK("http://www.worldcat.org/oclc/12315672","WorldCat Record")</f>
        <v/>
      </c>
      <c r="AU718" t="inlineStr">
        <is>
          <t>141347221:eng</t>
        </is>
      </c>
      <c r="AV718" t="inlineStr">
        <is>
          <t>12315672</t>
        </is>
      </c>
      <c r="AW718" t="inlineStr">
        <is>
          <t>991000671689702656</t>
        </is>
      </c>
      <c r="AX718" t="inlineStr">
        <is>
          <t>991000671689702656</t>
        </is>
      </c>
      <c r="AY718" t="inlineStr">
        <is>
          <t>2272802520002656</t>
        </is>
      </c>
      <c r="AZ718" t="inlineStr">
        <is>
          <t>BOOK</t>
        </is>
      </c>
      <c r="BB718" t="inlineStr">
        <is>
          <t>9780226869285</t>
        </is>
      </c>
      <c r="BC718" t="inlineStr">
        <is>
          <t>32285000726439</t>
        </is>
      </c>
      <c r="BD718" t="inlineStr">
        <is>
          <t>893614391</t>
        </is>
      </c>
    </row>
    <row r="719">
      <c r="A719" t="inlineStr">
        <is>
          <t>No</t>
        </is>
      </c>
      <c r="B719" t="inlineStr">
        <is>
          <t>GN453.A8 P6</t>
        </is>
      </c>
      <c r="C719" t="inlineStr">
        <is>
          <t>0                      GN 0453000A  8                  P  6</t>
        </is>
      </c>
      <c r="D719" t="inlineStr">
        <is>
          <t>The psychology of a primitive people; a study of the Australian aborigine, by Stanley D. Porteus ...</t>
        </is>
      </c>
      <c r="F719" t="inlineStr">
        <is>
          <t>No</t>
        </is>
      </c>
      <c r="G719" t="inlineStr">
        <is>
          <t>1</t>
        </is>
      </c>
      <c r="H719" t="inlineStr">
        <is>
          <t>No</t>
        </is>
      </c>
      <c r="I719" t="inlineStr">
        <is>
          <t>No</t>
        </is>
      </c>
      <c r="J719" t="inlineStr">
        <is>
          <t>0</t>
        </is>
      </c>
      <c r="K719" t="inlineStr">
        <is>
          <t>Porteus, S. D. (Stanley David), 1883-1972.</t>
        </is>
      </c>
      <c r="L719" t="inlineStr">
        <is>
          <t>New York, Longmans, Green &amp; Co.; London, E. Arnold &amp; Co. [1931]</t>
        </is>
      </c>
      <c r="M719" t="inlineStr">
        <is>
          <t>1931</t>
        </is>
      </c>
      <c r="O719" t="inlineStr">
        <is>
          <t>eng</t>
        </is>
      </c>
      <c r="P719" t="inlineStr">
        <is>
          <t>nyu</t>
        </is>
      </c>
      <c r="R719" t="inlineStr">
        <is>
          <t xml:space="preserve">GN </t>
        </is>
      </c>
      <c r="S719" t="n">
        <v>5</v>
      </c>
      <c r="T719" t="n">
        <v>5</v>
      </c>
      <c r="U719" t="inlineStr">
        <is>
          <t>2001-04-08</t>
        </is>
      </c>
      <c r="V719" t="inlineStr">
        <is>
          <t>2001-04-08</t>
        </is>
      </c>
      <c r="W719" t="inlineStr">
        <is>
          <t>1997-05-28</t>
        </is>
      </c>
      <c r="X719" t="inlineStr">
        <is>
          <t>1997-05-28</t>
        </is>
      </c>
      <c r="Y719" t="n">
        <v>283</v>
      </c>
      <c r="Z719" t="n">
        <v>224</v>
      </c>
      <c r="AA719" t="n">
        <v>280</v>
      </c>
      <c r="AB719" t="n">
        <v>1</v>
      </c>
      <c r="AC719" t="n">
        <v>1</v>
      </c>
      <c r="AD719" t="n">
        <v>8</v>
      </c>
      <c r="AE719" t="n">
        <v>11</v>
      </c>
      <c r="AF719" t="n">
        <v>2</v>
      </c>
      <c r="AG719" t="n">
        <v>3</v>
      </c>
      <c r="AH719" t="n">
        <v>2</v>
      </c>
      <c r="AI719" t="n">
        <v>2</v>
      </c>
      <c r="AJ719" t="n">
        <v>5</v>
      </c>
      <c r="AK719" t="n">
        <v>7</v>
      </c>
      <c r="AL719" t="n">
        <v>0</v>
      </c>
      <c r="AM719" t="n">
        <v>0</v>
      </c>
      <c r="AN719" t="n">
        <v>0</v>
      </c>
      <c r="AO719" t="n">
        <v>0</v>
      </c>
      <c r="AP719" t="inlineStr">
        <is>
          <t>No</t>
        </is>
      </c>
      <c r="AQ719" t="inlineStr">
        <is>
          <t>No</t>
        </is>
      </c>
      <c r="AR719">
        <f>HYPERLINK("http://catalog.hathitrust.org/Record/001274757","HathiTrust Record")</f>
        <v/>
      </c>
      <c r="AS719">
        <f>HYPERLINK("https://creighton-primo.hosted.exlibrisgroup.com/primo-explore/search?tab=default_tab&amp;search_scope=EVERYTHING&amp;vid=01CRU&amp;lang=en_US&amp;offset=0&amp;query=any,contains,991004115749702656","Catalog Record")</f>
        <v/>
      </c>
      <c r="AT719">
        <f>HYPERLINK("http://www.worldcat.org/oclc/2411836","WorldCat Record")</f>
        <v/>
      </c>
      <c r="AU719" t="inlineStr">
        <is>
          <t>1458211:eng</t>
        </is>
      </c>
      <c r="AV719" t="inlineStr">
        <is>
          <t>2411836</t>
        </is>
      </c>
      <c r="AW719" t="inlineStr">
        <is>
          <t>991004115749702656</t>
        </is>
      </c>
      <c r="AX719" t="inlineStr">
        <is>
          <t>991004115749702656</t>
        </is>
      </c>
      <c r="AY719" t="inlineStr">
        <is>
          <t>2263007230002656</t>
        </is>
      </c>
      <c r="AZ719" t="inlineStr">
        <is>
          <t>BOOK</t>
        </is>
      </c>
      <c r="BC719" t="inlineStr">
        <is>
          <t>32285002695798</t>
        </is>
      </c>
      <c r="BD719" t="inlineStr">
        <is>
          <t>893800595</t>
        </is>
      </c>
    </row>
    <row r="720">
      <c r="A720" t="inlineStr">
        <is>
          <t>No</t>
        </is>
      </c>
      <c r="B720" t="inlineStr">
        <is>
          <t>GN454 .A841 1977</t>
        </is>
      </c>
      <c r="C720" t="inlineStr">
        <is>
          <t>0                      GN 0454000A  841         1977</t>
        </is>
      </c>
      <c r="D720" t="inlineStr">
        <is>
          <t>Studies in the anthropology of play : papers in memory of B. Allan Tindall ; proceedings from the second annual meeting of the Association for the Anthropological Study of Play / edited by Phillips Stevens, Jr.</t>
        </is>
      </c>
      <c r="F720" t="inlineStr">
        <is>
          <t>No</t>
        </is>
      </c>
      <c r="G720" t="inlineStr">
        <is>
          <t>1</t>
        </is>
      </c>
      <c r="H720" t="inlineStr">
        <is>
          <t>No</t>
        </is>
      </c>
      <c r="I720" t="inlineStr">
        <is>
          <t>No</t>
        </is>
      </c>
      <c r="J720" t="inlineStr">
        <is>
          <t>0</t>
        </is>
      </c>
      <c r="K720" t="inlineStr">
        <is>
          <t>Association for the Anthropological Study of Play.</t>
        </is>
      </c>
      <c r="L720" t="inlineStr">
        <is>
          <t>West Point, N.Y. : Leisure Press, 1977.</t>
        </is>
      </c>
      <c r="M720" t="inlineStr">
        <is>
          <t>1977</t>
        </is>
      </c>
      <c r="O720" t="inlineStr">
        <is>
          <t>eng</t>
        </is>
      </c>
      <c r="P720" t="inlineStr">
        <is>
          <t>nyu</t>
        </is>
      </c>
      <c r="R720" t="inlineStr">
        <is>
          <t xml:space="preserve">GN </t>
        </is>
      </c>
      <c r="S720" t="n">
        <v>1</v>
      </c>
      <c r="T720" t="n">
        <v>1</v>
      </c>
      <c r="U720" t="inlineStr">
        <is>
          <t>2009-08-19</t>
        </is>
      </c>
      <c r="V720" t="inlineStr">
        <is>
          <t>2009-08-19</t>
        </is>
      </c>
      <c r="W720" t="inlineStr">
        <is>
          <t>1990-09-26</t>
        </is>
      </c>
      <c r="X720" t="inlineStr">
        <is>
          <t>1990-09-26</t>
        </is>
      </c>
      <c r="Y720" t="n">
        <v>334</v>
      </c>
      <c r="Z720" t="n">
        <v>284</v>
      </c>
      <c r="AA720" t="n">
        <v>299</v>
      </c>
      <c r="AB720" t="n">
        <v>3</v>
      </c>
      <c r="AC720" t="n">
        <v>3</v>
      </c>
      <c r="AD720" t="n">
        <v>10</v>
      </c>
      <c r="AE720" t="n">
        <v>11</v>
      </c>
      <c r="AF720" t="n">
        <v>4</v>
      </c>
      <c r="AG720" t="n">
        <v>4</v>
      </c>
      <c r="AH720" t="n">
        <v>0</v>
      </c>
      <c r="AI720" t="n">
        <v>1</v>
      </c>
      <c r="AJ720" t="n">
        <v>5</v>
      </c>
      <c r="AK720" t="n">
        <v>6</v>
      </c>
      <c r="AL720" t="n">
        <v>2</v>
      </c>
      <c r="AM720" t="n">
        <v>2</v>
      </c>
      <c r="AN720" t="n">
        <v>0</v>
      </c>
      <c r="AO720" t="n">
        <v>0</v>
      </c>
      <c r="AP720" t="inlineStr">
        <is>
          <t>No</t>
        </is>
      </c>
      <c r="AQ720" t="inlineStr">
        <is>
          <t>Yes</t>
        </is>
      </c>
      <c r="AR720">
        <f>HYPERLINK("http://catalog.hathitrust.org/Record/000709617","HathiTrust Record")</f>
        <v/>
      </c>
      <c r="AS720">
        <f>HYPERLINK("https://creighton-primo.hosted.exlibrisgroup.com/primo-explore/search?tab=default_tab&amp;search_scope=EVERYTHING&amp;vid=01CRU&amp;lang=en_US&amp;offset=0&amp;query=any,contains,991005091829702656","Catalog Record")</f>
        <v/>
      </c>
      <c r="AT720">
        <f>HYPERLINK("http://www.worldcat.org/oclc/13668830","WorldCat Record")</f>
        <v/>
      </c>
      <c r="AU720" t="inlineStr">
        <is>
          <t>896396823:eng</t>
        </is>
      </c>
      <c r="AV720" t="inlineStr">
        <is>
          <t>13668830</t>
        </is>
      </c>
      <c r="AW720" t="inlineStr">
        <is>
          <t>991005091829702656</t>
        </is>
      </c>
      <c r="AX720" t="inlineStr">
        <is>
          <t>991005091829702656</t>
        </is>
      </c>
      <c r="AY720" t="inlineStr">
        <is>
          <t>2261288000002656</t>
        </is>
      </c>
      <c r="AZ720" t="inlineStr">
        <is>
          <t>BOOK</t>
        </is>
      </c>
      <c r="BB720" t="inlineStr">
        <is>
          <t>9780918438096</t>
        </is>
      </c>
      <c r="BC720" t="inlineStr">
        <is>
          <t>32285000316397</t>
        </is>
      </c>
      <c r="BD720" t="inlineStr">
        <is>
          <t>893533148</t>
        </is>
      </c>
    </row>
    <row r="721">
      <c r="A721" t="inlineStr">
        <is>
          <t>No</t>
        </is>
      </c>
      <c r="B721" t="inlineStr">
        <is>
          <t>GN454.7 .R6</t>
        </is>
      </c>
      <c r="C721" t="inlineStr">
        <is>
          <t>0                      GN 0454700R  6</t>
        </is>
      </c>
      <c r="D721" t="inlineStr">
        <is>
          <t>Out to play : the middle years of childhood / by Alasdair Roberts.</t>
        </is>
      </c>
      <c r="F721" t="inlineStr">
        <is>
          <t>No</t>
        </is>
      </c>
      <c r="G721" t="inlineStr">
        <is>
          <t>1</t>
        </is>
      </c>
      <c r="H721" t="inlineStr">
        <is>
          <t>No</t>
        </is>
      </c>
      <c r="I721" t="inlineStr">
        <is>
          <t>No</t>
        </is>
      </c>
      <c r="J721" t="inlineStr">
        <is>
          <t>0</t>
        </is>
      </c>
      <c r="K721" t="inlineStr">
        <is>
          <t>Roberts, Alasdair.</t>
        </is>
      </c>
      <c r="L721" t="inlineStr">
        <is>
          <t>[s.l.] : Aberdeen University Press, 1980.</t>
        </is>
      </c>
      <c r="M721" t="inlineStr">
        <is>
          <t>1980</t>
        </is>
      </c>
      <c r="O721" t="inlineStr">
        <is>
          <t>eng</t>
        </is>
      </c>
      <c r="P721" t="inlineStr">
        <is>
          <t>xxk</t>
        </is>
      </c>
      <c r="R721" t="inlineStr">
        <is>
          <t xml:space="preserve">GN </t>
        </is>
      </c>
      <c r="S721" t="n">
        <v>3</v>
      </c>
      <c r="T721" t="n">
        <v>3</v>
      </c>
      <c r="U721" t="inlineStr">
        <is>
          <t>2009-08-19</t>
        </is>
      </c>
      <c r="V721" t="inlineStr">
        <is>
          <t>2009-08-19</t>
        </is>
      </c>
      <c r="W721" t="inlineStr">
        <is>
          <t>1990-04-10</t>
        </is>
      </c>
      <c r="X721" t="inlineStr">
        <is>
          <t>1990-04-10</t>
        </is>
      </c>
      <c r="Y721" t="n">
        <v>200</v>
      </c>
      <c r="Z721" t="n">
        <v>122</v>
      </c>
      <c r="AA721" t="n">
        <v>123</v>
      </c>
      <c r="AB721" t="n">
        <v>1</v>
      </c>
      <c r="AC721" t="n">
        <v>1</v>
      </c>
      <c r="AD721" t="n">
        <v>1</v>
      </c>
      <c r="AE721" t="n">
        <v>1</v>
      </c>
      <c r="AF721" t="n">
        <v>0</v>
      </c>
      <c r="AG721" t="n">
        <v>0</v>
      </c>
      <c r="AH721" t="n">
        <v>1</v>
      </c>
      <c r="AI721" t="n">
        <v>1</v>
      </c>
      <c r="AJ721" t="n">
        <v>1</v>
      </c>
      <c r="AK721" t="n">
        <v>1</v>
      </c>
      <c r="AL721" t="n">
        <v>0</v>
      </c>
      <c r="AM721" t="n">
        <v>0</v>
      </c>
      <c r="AN721" t="n">
        <v>0</v>
      </c>
      <c r="AO721" t="n">
        <v>0</v>
      </c>
      <c r="AP721" t="inlineStr">
        <is>
          <t>No</t>
        </is>
      </c>
      <c r="AQ721" t="inlineStr">
        <is>
          <t>Yes</t>
        </is>
      </c>
      <c r="AR721">
        <f>HYPERLINK("http://catalog.hathitrust.org/Record/007117460","HathiTrust Record")</f>
        <v/>
      </c>
      <c r="AS721">
        <f>HYPERLINK("https://creighton-primo.hosted.exlibrisgroup.com/primo-explore/search?tab=default_tab&amp;search_scope=EVERYTHING&amp;vid=01CRU&amp;lang=en_US&amp;offset=0&amp;query=any,contains,991005104209702656","Catalog Record")</f>
        <v/>
      </c>
      <c r="AT721">
        <f>HYPERLINK("http://www.worldcat.org/oclc/7317432","WorldCat Record")</f>
        <v/>
      </c>
      <c r="AU721" t="inlineStr">
        <is>
          <t>407705:eng</t>
        </is>
      </c>
      <c r="AV721" t="inlineStr">
        <is>
          <t>7317432</t>
        </is>
      </c>
      <c r="AW721" t="inlineStr">
        <is>
          <t>991005104209702656</t>
        </is>
      </c>
      <c r="AX721" t="inlineStr">
        <is>
          <t>991005104209702656</t>
        </is>
      </c>
      <c r="AY721" t="inlineStr">
        <is>
          <t>2269412120002656</t>
        </is>
      </c>
      <c r="AZ721" t="inlineStr">
        <is>
          <t>BOOK</t>
        </is>
      </c>
      <c r="BB721" t="inlineStr">
        <is>
          <t>9780080257198</t>
        </is>
      </c>
      <c r="BC721" t="inlineStr">
        <is>
          <t>32285000120047</t>
        </is>
      </c>
      <c r="BD721" t="inlineStr">
        <is>
          <t>893526905</t>
        </is>
      </c>
    </row>
    <row r="722">
      <c r="A722" t="inlineStr">
        <is>
          <t>No</t>
        </is>
      </c>
      <c r="B722" t="inlineStr">
        <is>
          <t>GN455.S9 J4</t>
        </is>
      </c>
      <c r="C722" t="inlineStr">
        <is>
          <t>0                      GN 0455000S  9                  J  4</t>
        </is>
      </c>
      <c r="D722" t="inlineStr">
        <is>
          <t>String figures and how to make them; a study of cat's cradle in many lands. With an ethnological introd. by Alfred C. Haddon.</t>
        </is>
      </c>
      <c r="F722" t="inlineStr">
        <is>
          <t>No</t>
        </is>
      </c>
      <c r="G722" t="inlineStr">
        <is>
          <t>1</t>
        </is>
      </c>
      <c r="H722" t="inlineStr">
        <is>
          <t>No</t>
        </is>
      </c>
      <c r="I722" t="inlineStr">
        <is>
          <t>No</t>
        </is>
      </c>
      <c r="J722" t="inlineStr">
        <is>
          <t>0</t>
        </is>
      </c>
      <c r="K722" t="inlineStr">
        <is>
          <t>Jayne, Caroline Furness, 1873-1909.</t>
        </is>
      </c>
      <c r="L722" t="inlineStr">
        <is>
          <t>New York, Dover Publications [1962]</t>
        </is>
      </c>
      <c r="M722" t="inlineStr">
        <is>
          <t>1962</t>
        </is>
      </c>
      <c r="O722" t="inlineStr">
        <is>
          <t>eng</t>
        </is>
      </c>
      <c r="P722" t="inlineStr">
        <is>
          <t>nyu</t>
        </is>
      </c>
      <c r="R722" t="inlineStr">
        <is>
          <t xml:space="preserve">GN </t>
        </is>
      </c>
      <c r="S722" t="n">
        <v>1</v>
      </c>
      <c r="T722" t="n">
        <v>1</v>
      </c>
      <c r="U722" t="inlineStr">
        <is>
          <t>2003-10-16</t>
        </is>
      </c>
      <c r="V722" t="inlineStr">
        <is>
          <t>2003-10-16</t>
        </is>
      </c>
      <c r="W722" t="inlineStr">
        <is>
          <t>1997-05-28</t>
        </is>
      </c>
      <c r="X722" t="inlineStr">
        <is>
          <t>1997-05-28</t>
        </is>
      </c>
      <c r="Y722" t="n">
        <v>1066</v>
      </c>
      <c r="Z722" t="n">
        <v>996</v>
      </c>
      <c r="AA722" t="n">
        <v>1044</v>
      </c>
      <c r="AB722" t="n">
        <v>7</v>
      </c>
      <c r="AC722" t="n">
        <v>7</v>
      </c>
      <c r="AD722" t="n">
        <v>4</v>
      </c>
      <c r="AE722" t="n">
        <v>6</v>
      </c>
      <c r="AF722" t="n">
        <v>2</v>
      </c>
      <c r="AG722" t="n">
        <v>3</v>
      </c>
      <c r="AH722" t="n">
        <v>0</v>
      </c>
      <c r="AI722" t="n">
        <v>1</v>
      </c>
      <c r="AJ722" t="n">
        <v>1</v>
      </c>
      <c r="AK722" t="n">
        <v>1</v>
      </c>
      <c r="AL722" t="n">
        <v>1</v>
      </c>
      <c r="AM722" t="n">
        <v>1</v>
      </c>
      <c r="AN722" t="n">
        <v>0</v>
      </c>
      <c r="AO722" t="n">
        <v>0</v>
      </c>
      <c r="AP722" t="inlineStr">
        <is>
          <t>Yes</t>
        </is>
      </c>
      <c r="AQ722" t="inlineStr">
        <is>
          <t>No</t>
        </is>
      </c>
      <c r="AR722">
        <f>HYPERLINK("http://catalog.hathitrust.org/Record/003088268","HathiTrust Record")</f>
        <v/>
      </c>
      <c r="AS722">
        <f>HYPERLINK("https://creighton-primo.hosted.exlibrisgroup.com/primo-explore/search?tab=default_tab&amp;search_scope=EVERYTHING&amp;vid=01CRU&amp;lang=en_US&amp;offset=0&amp;query=any,contains,991003581229702656","Catalog Record")</f>
        <v/>
      </c>
      <c r="AT722">
        <f>HYPERLINK("http://www.worldcat.org/oclc/1162284","WorldCat Record")</f>
        <v/>
      </c>
      <c r="AU722" t="inlineStr">
        <is>
          <t>3236763:eng</t>
        </is>
      </c>
      <c r="AV722" t="inlineStr">
        <is>
          <t>1162284</t>
        </is>
      </c>
      <c r="AW722" t="inlineStr">
        <is>
          <t>991003581229702656</t>
        </is>
      </c>
      <c r="AX722" t="inlineStr">
        <is>
          <t>991003581229702656</t>
        </is>
      </c>
      <c r="AY722" t="inlineStr">
        <is>
          <t>2272474970002656</t>
        </is>
      </c>
      <c r="AZ722" t="inlineStr">
        <is>
          <t>BOOK</t>
        </is>
      </c>
      <c r="BC722" t="inlineStr">
        <is>
          <t>32285002695806</t>
        </is>
      </c>
      <c r="BD722" t="inlineStr">
        <is>
          <t>893699156</t>
        </is>
      </c>
    </row>
    <row r="723">
      <c r="A723" t="inlineStr">
        <is>
          <t>No</t>
        </is>
      </c>
      <c r="B723" t="inlineStr">
        <is>
          <t>GN46.M4 S45</t>
        </is>
      </c>
      <c r="C723" t="inlineStr">
        <is>
          <t>0                      GN 0046000M  4                  S  45</t>
        </is>
      </c>
      <c r="D723" t="inlineStr">
        <is>
          <t>El universo de Quetzalcóatl / Laurette Séjourné. Prefacio de Mircea Eliade.</t>
        </is>
      </c>
      <c r="F723" t="inlineStr">
        <is>
          <t>No</t>
        </is>
      </c>
      <c r="G723" t="inlineStr">
        <is>
          <t>1</t>
        </is>
      </c>
      <c r="H723" t="inlineStr">
        <is>
          <t>No</t>
        </is>
      </c>
      <c r="I723" t="inlineStr">
        <is>
          <t>No</t>
        </is>
      </c>
      <c r="J723" t="inlineStr">
        <is>
          <t>0</t>
        </is>
      </c>
      <c r="K723" t="inlineStr">
        <is>
          <t>Séjourné, Laurette.</t>
        </is>
      </c>
      <c r="L723" t="inlineStr">
        <is>
          <t>México : Fondo de Cultura Económica, 1962.</t>
        </is>
      </c>
      <c r="M723" t="inlineStr">
        <is>
          <t>1962</t>
        </is>
      </c>
      <c r="O723" t="inlineStr">
        <is>
          <t>spa</t>
        </is>
      </c>
      <c r="P723" t="inlineStr">
        <is>
          <t>|||</t>
        </is>
      </c>
      <c r="R723" t="inlineStr">
        <is>
          <t xml:space="preserve">GN </t>
        </is>
      </c>
      <c r="S723" t="n">
        <v>1</v>
      </c>
      <c r="T723" t="n">
        <v>1</v>
      </c>
      <c r="U723" t="inlineStr">
        <is>
          <t>1995-08-16</t>
        </is>
      </c>
      <c r="V723" t="inlineStr">
        <is>
          <t>1995-08-16</t>
        </is>
      </c>
      <c r="W723" t="inlineStr">
        <is>
          <t>1990-09-18</t>
        </is>
      </c>
      <c r="X723" t="inlineStr">
        <is>
          <t>1990-09-18</t>
        </is>
      </c>
      <c r="Y723" t="n">
        <v>112</v>
      </c>
      <c r="Z723" t="n">
        <v>83</v>
      </c>
      <c r="AA723" t="n">
        <v>111</v>
      </c>
      <c r="AB723" t="n">
        <v>1</v>
      </c>
      <c r="AC723" t="n">
        <v>1</v>
      </c>
      <c r="AD723" t="n">
        <v>0</v>
      </c>
      <c r="AE723" t="n">
        <v>0</v>
      </c>
      <c r="AF723" t="n">
        <v>0</v>
      </c>
      <c r="AG723" t="n">
        <v>0</v>
      </c>
      <c r="AH723" t="n">
        <v>0</v>
      </c>
      <c r="AI723" t="n">
        <v>0</v>
      </c>
      <c r="AJ723" t="n">
        <v>0</v>
      </c>
      <c r="AK723" t="n">
        <v>0</v>
      </c>
      <c r="AL723" t="n">
        <v>0</v>
      </c>
      <c r="AM723" t="n">
        <v>0</v>
      </c>
      <c r="AN723" t="n">
        <v>0</v>
      </c>
      <c r="AO723" t="n">
        <v>0</v>
      </c>
      <c r="AP723" t="inlineStr">
        <is>
          <t>No</t>
        </is>
      </c>
      <c r="AQ723" t="inlineStr">
        <is>
          <t>Yes</t>
        </is>
      </c>
      <c r="AR723">
        <f>HYPERLINK("http://catalog.hathitrust.org/Record/101374212","HathiTrust Record")</f>
        <v/>
      </c>
      <c r="AS723">
        <f>HYPERLINK("https://creighton-primo.hosted.exlibrisgroup.com/primo-explore/search?tab=default_tab&amp;search_scope=EVERYTHING&amp;vid=01CRU&amp;lang=en_US&amp;offset=0&amp;query=any,contains,991003237809702656","Catalog Record")</f>
        <v/>
      </c>
      <c r="AT723">
        <f>HYPERLINK("http://www.worldcat.org/oclc/761997","WorldCat Record")</f>
        <v/>
      </c>
      <c r="AU723" t="inlineStr">
        <is>
          <t>350466519:spa</t>
        </is>
      </c>
      <c r="AV723" t="inlineStr">
        <is>
          <t>761997</t>
        </is>
      </c>
      <c r="AW723" t="inlineStr">
        <is>
          <t>991003237809702656</t>
        </is>
      </c>
      <c r="AX723" t="inlineStr">
        <is>
          <t>991003237809702656</t>
        </is>
      </c>
      <c r="AY723" t="inlineStr">
        <is>
          <t>2268257320002656</t>
        </is>
      </c>
      <c r="AZ723" t="inlineStr">
        <is>
          <t>BOOK</t>
        </is>
      </c>
      <c r="BC723" t="inlineStr">
        <is>
          <t>32285000289628</t>
        </is>
      </c>
      <c r="BD723" t="inlineStr">
        <is>
          <t>893233950</t>
        </is>
      </c>
    </row>
    <row r="724">
      <c r="A724" t="inlineStr">
        <is>
          <t>No</t>
        </is>
      </c>
      <c r="B724" t="inlineStr">
        <is>
          <t>GN462.5 .F67 1972</t>
        </is>
      </c>
      <c r="C724" t="inlineStr">
        <is>
          <t>0                      GN 0462500F  67          1972</t>
        </is>
      </c>
      <c r="D724" t="inlineStr">
        <is>
          <t>The reversible world : symbolic inversion in art and society : [papers] / edited and with an introd. by Barbara A. Babcock.</t>
        </is>
      </c>
      <c r="F724" t="inlineStr">
        <is>
          <t>No</t>
        </is>
      </c>
      <c r="G724" t="inlineStr">
        <is>
          <t>1</t>
        </is>
      </c>
      <c r="H724" t="inlineStr">
        <is>
          <t>No</t>
        </is>
      </c>
      <c r="I724" t="inlineStr">
        <is>
          <t>No</t>
        </is>
      </c>
      <c r="J724" t="inlineStr">
        <is>
          <t>0</t>
        </is>
      </c>
      <c r="K724" t="inlineStr">
        <is>
          <t>Forms of Symbolic Inversion Symposium (1972 : Toronto, Ont.)</t>
        </is>
      </c>
      <c r="L724" t="inlineStr">
        <is>
          <t>Ithaca : Cornell University Press, 1978.</t>
        </is>
      </c>
      <c r="M724" t="inlineStr">
        <is>
          <t>1978</t>
        </is>
      </c>
      <c r="O724" t="inlineStr">
        <is>
          <t>eng</t>
        </is>
      </c>
      <c r="P724" t="inlineStr">
        <is>
          <t>nyu</t>
        </is>
      </c>
      <c r="Q724" t="inlineStr">
        <is>
          <t>Symbol, myth, and ritual series</t>
        </is>
      </c>
      <c r="R724" t="inlineStr">
        <is>
          <t xml:space="preserve">GN </t>
        </is>
      </c>
      <c r="S724" t="n">
        <v>3</v>
      </c>
      <c r="T724" t="n">
        <v>3</v>
      </c>
      <c r="U724" t="inlineStr">
        <is>
          <t>2004-02-06</t>
        </is>
      </c>
      <c r="V724" t="inlineStr">
        <is>
          <t>2004-02-06</t>
        </is>
      </c>
      <c r="W724" t="inlineStr">
        <is>
          <t>1997-05-28</t>
        </is>
      </c>
      <c r="X724" t="inlineStr">
        <is>
          <t>1997-05-28</t>
        </is>
      </c>
      <c r="Y724" t="n">
        <v>625</v>
      </c>
      <c r="Z724" t="n">
        <v>520</v>
      </c>
      <c r="AA724" t="n">
        <v>530</v>
      </c>
      <c r="AB724" t="n">
        <v>5</v>
      </c>
      <c r="AC724" t="n">
        <v>5</v>
      </c>
      <c r="AD724" t="n">
        <v>22</v>
      </c>
      <c r="AE724" t="n">
        <v>24</v>
      </c>
      <c r="AF724" t="n">
        <v>7</v>
      </c>
      <c r="AG724" t="n">
        <v>8</v>
      </c>
      <c r="AH724" t="n">
        <v>6</v>
      </c>
      <c r="AI724" t="n">
        <v>7</v>
      </c>
      <c r="AJ724" t="n">
        <v>7</v>
      </c>
      <c r="AK724" t="n">
        <v>8</v>
      </c>
      <c r="AL724" t="n">
        <v>4</v>
      </c>
      <c r="AM724" t="n">
        <v>4</v>
      </c>
      <c r="AN724" t="n">
        <v>0</v>
      </c>
      <c r="AO724" t="n">
        <v>0</v>
      </c>
      <c r="AP724" t="inlineStr">
        <is>
          <t>No</t>
        </is>
      </c>
      <c r="AQ724" t="inlineStr">
        <is>
          <t>Yes</t>
        </is>
      </c>
      <c r="AR724">
        <f>HYPERLINK("http://catalog.hathitrust.org/Record/000295037","HathiTrust Record")</f>
        <v/>
      </c>
      <c r="AS724">
        <f>HYPERLINK("https://creighton-primo.hosted.exlibrisgroup.com/primo-explore/search?tab=default_tab&amp;search_scope=EVERYTHING&amp;vid=01CRU&amp;lang=en_US&amp;offset=0&amp;query=any,contains,991005370819702656","Catalog Record")</f>
        <v/>
      </c>
      <c r="AT724">
        <f>HYPERLINK("http://www.worldcat.org/oclc/3205430","WorldCat Record")</f>
        <v/>
      </c>
      <c r="AU724" t="inlineStr">
        <is>
          <t>19859370:eng</t>
        </is>
      </c>
      <c r="AV724" t="inlineStr">
        <is>
          <t>3205430</t>
        </is>
      </c>
      <c r="AW724" t="inlineStr">
        <is>
          <t>991005370819702656</t>
        </is>
      </c>
      <c r="AX724" t="inlineStr">
        <is>
          <t>991005370819702656</t>
        </is>
      </c>
      <c r="AY724" t="inlineStr">
        <is>
          <t>2269245210002656</t>
        </is>
      </c>
      <c r="AZ724" t="inlineStr">
        <is>
          <t>BOOK</t>
        </is>
      </c>
      <c r="BB724" t="inlineStr">
        <is>
          <t>9780801411120</t>
        </is>
      </c>
      <c r="BC724" t="inlineStr">
        <is>
          <t>32285002695822</t>
        </is>
      </c>
      <c r="BD724" t="inlineStr">
        <is>
          <t>893431382</t>
        </is>
      </c>
    </row>
    <row r="725">
      <c r="A725" t="inlineStr">
        <is>
          <t>No</t>
        </is>
      </c>
      <c r="B725" t="inlineStr">
        <is>
          <t>GN468 .L4813</t>
        </is>
      </c>
      <c r="C725" t="inlineStr">
        <is>
          <t>0                      GN 0468000L  4813</t>
        </is>
      </c>
      <c r="D725" t="inlineStr">
        <is>
          <t>The notebooks on primitive mentality / Lucien Lévy-Bruhl ; with a pref. by Maurice Leenhardt ; translated by Peter Rivière.</t>
        </is>
      </c>
      <c r="F725" t="inlineStr">
        <is>
          <t>No</t>
        </is>
      </c>
      <c r="G725" t="inlineStr">
        <is>
          <t>1</t>
        </is>
      </c>
      <c r="H725" t="inlineStr">
        <is>
          <t>No</t>
        </is>
      </c>
      <c r="I725" t="inlineStr">
        <is>
          <t>No</t>
        </is>
      </c>
      <c r="J725" t="inlineStr">
        <is>
          <t>0</t>
        </is>
      </c>
      <c r="K725" t="inlineStr">
        <is>
          <t>Lévy-Bruhl, Lucien, 1857-1939.</t>
        </is>
      </c>
      <c r="L725" t="inlineStr">
        <is>
          <t>New York : Harper &amp; Row, c1975.</t>
        </is>
      </c>
      <c r="M725" t="inlineStr">
        <is>
          <t>1975</t>
        </is>
      </c>
      <c r="O725" t="inlineStr">
        <is>
          <t>eng</t>
        </is>
      </c>
      <c r="P725" t="inlineStr">
        <is>
          <t>nyu</t>
        </is>
      </c>
      <c r="Q725" t="inlineStr">
        <is>
          <t>Explorations in interpretative sociology</t>
        </is>
      </c>
      <c r="R725" t="inlineStr">
        <is>
          <t xml:space="preserve">GN </t>
        </is>
      </c>
      <c r="S725" t="n">
        <v>1</v>
      </c>
      <c r="T725" t="n">
        <v>1</v>
      </c>
      <c r="U725" t="inlineStr">
        <is>
          <t>2002-09-11</t>
        </is>
      </c>
      <c r="V725" t="inlineStr">
        <is>
          <t>2002-09-11</t>
        </is>
      </c>
      <c r="W725" t="inlineStr">
        <is>
          <t>1990-09-26</t>
        </is>
      </c>
      <c r="X725" t="inlineStr">
        <is>
          <t>1990-09-26</t>
        </is>
      </c>
      <c r="Y725" t="n">
        <v>263</v>
      </c>
      <c r="Z725" t="n">
        <v>242</v>
      </c>
      <c r="AA725" t="n">
        <v>291</v>
      </c>
      <c r="AB725" t="n">
        <v>1</v>
      </c>
      <c r="AC725" t="n">
        <v>3</v>
      </c>
      <c r="AD725" t="n">
        <v>11</v>
      </c>
      <c r="AE725" t="n">
        <v>14</v>
      </c>
      <c r="AF725" t="n">
        <v>3</v>
      </c>
      <c r="AG725" t="n">
        <v>3</v>
      </c>
      <c r="AH725" t="n">
        <v>3</v>
      </c>
      <c r="AI725" t="n">
        <v>4</v>
      </c>
      <c r="AJ725" t="n">
        <v>7</v>
      </c>
      <c r="AK725" t="n">
        <v>8</v>
      </c>
      <c r="AL725" t="n">
        <v>0</v>
      </c>
      <c r="AM725" t="n">
        <v>2</v>
      </c>
      <c r="AN725" t="n">
        <v>0</v>
      </c>
      <c r="AO725" t="n">
        <v>0</v>
      </c>
      <c r="AP725" t="inlineStr">
        <is>
          <t>No</t>
        </is>
      </c>
      <c r="AQ725" t="inlineStr">
        <is>
          <t>Yes</t>
        </is>
      </c>
      <c r="AR725">
        <f>HYPERLINK("http://catalog.hathitrust.org/Record/009510651","HathiTrust Record")</f>
        <v/>
      </c>
      <c r="AS725">
        <f>HYPERLINK("https://creighton-primo.hosted.exlibrisgroup.com/primo-explore/search?tab=default_tab&amp;search_scope=EVERYTHING&amp;vid=01CRU&amp;lang=en_US&amp;offset=0&amp;query=any,contains,991004037599702656","Catalog Record")</f>
        <v/>
      </c>
      <c r="AT725">
        <f>HYPERLINK("http://www.worldcat.org/oclc/2177212","WorldCat Record")</f>
        <v/>
      </c>
      <c r="AU725" t="inlineStr">
        <is>
          <t>4183789:eng</t>
        </is>
      </c>
      <c r="AV725" t="inlineStr">
        <is>
          <t>2177212</t>
        </is>
      </c>
      <c r="AW725" t="inlineStr">
        <is>
          <t>991004037599702656</t>
        </is>
      </c>
      <c r="AX725" t="inlineStr">
        <is>
          <t>991004037599702656</t>
        </is>
      </c>
      <c r="AY725" t="inlineStr">
        <is>
          <t>2267722250002656</t>
        </is>
      </c>
      <c r="AZ725" t="inlineStr">
        <is>
          <t>BOOK</t>
        </is>
      </c>
      <c r="BB725" t="inlineStr">
        <is>
          <t>9780061361746</t>
        </is>
      </c>
      <c r="BC725" t="inlineStr">
        <is>
          <t>32285000316439</t>
        </is>
      </c>
      <c r="BD725" t="inlineStr">
        <is>
          <t>893624269</t>
        </is>
      </c>
    </row>
    <row r="726">
      <c r="A726" t="inlineStr">
        <is>
          <t>No</t>
        </is>
      </c>
      <c r="B726" t="inlineStr">
        <is>
          <t>GN470 .C32</t>
        </is>
      </c>
      <c r="C726" t="inlineStr">
        <is>
          <t>0                      GN 0470000C  32</t>
        </is>
      </c>
      <c r="D726" t="inlineStr">
        <is>
          <t>The masks of God.</t>
        </is>
      </c>
      <c r="E726" t="inlineStr">
        <is>
          <t>V.4</t>
        </is>
      </c>
      <c r="F726" t="inlineStr">
        <is>
          <t>Yes</t>
        </is>
      </c>
      <c r="G726" t="inlineStr">
        <is>
          <t>1</t>
        </is>
      </c>
      <c r="H726" t="inlineStr">
        <is>
          <t>No</t>
        </is>
      </c>
      <c r="I726" t="inlineStr">
        <is>
          <t>No</t>
        </is>
      </c>
      <c r="J726" t="inlineStr">
        <is>
          <t>0</t>
        </is>
      </c>
      <c r="K726" t="inlineStr">
        <is>
          <t>Campbell, Joseph, 1904-1987.</t>
        </is>
      </c>
      <c r="L726" t="inlineStr">
        <is>
          <t>New York : Viking Press, 1959-[68]</t>
        </is>
      </c>
      <c r="M726" t="inlineStr">
        <is>
          <t>1959</t>
        </is>
      </c>
      <c r="O726" t="inlineStr">
        <is>
          <t>eng</t>
        </is>
      </c>
      <c r="P726" t="inlineStr">
        <is>
          <t>nyu</t>
        </is>
      </c>
      <c r="R726" t="inlineStr">
        <is>
          <t xml:space="preserve">GN </t>
        </is>
      </c>
      <c r="S726" t="n">
        <v>5</v>
      </c>
      <c r="T726" t="n">
        <v>9</v>
      </c>
      <c r="U726" t="inlineStr">
        <is>
          <t>2003-09-05</t>
        </is>
      </c>
      <c r="V726" t="inlineStr">
        <is>
          <t>2007-09-04</t>
        </is>
      </c>
      <c r="W726" t="inlineStr">
        <is>
          <t>1992-04-07</t>
        </is>
      </c>
      <c r="X726" t="inlineStr">
        <is>
          <t>1995-08-01</t>
        </is>
      </c>
      <c r="Y726" t="n">
        <v>1493</v>
      </c>
      <c r="Z726" t="n">
        <v>1407</v>
      </c>
      <c r="AA726" t="n">
        <v>2093</v>
      </c>
      <c r="AB726" t="n">
        <v>9</v>
      </c>
      <c r="AC726" t="n">
        <v>13</v>
      </c>
      <c r="AD726" t="n">
        <v>42</v>
      </c>
      <c r="AE726" t="n">
        <v>54</v>
      </c>
      <c r="AF726" t="n">
        <v>19</v>
      </c>
      <c r="AG726" t="n">
        <v>22</v>
      </c>
      <c r="AH726" t="n">
        <v>7</v>
      </c>
      <c r="AI726" t="n">
        <v>11</v>
      </c>
      <c r="AJ726" t="n">
        <v>19</v>
      </c>
      <c r="AK726" t="n">
        <v>24</v>
      </c>
      <c r="AL726" t="n">
        <v>8</v>
      </c>
      <c r="AM726" t="n">
        <v>11</v>
      </c>
      <c r="AN726" t="n">
        <v>0</v>
      </c>
      <c r="AO726" t="n">
        <v>0</v>
      </c>
      <c r="AP726" t="inlineStr">
        <is>
          <t>No</t>
        </is>
      </c>
      <c r="AQ726" t="inlineStr">
        <is>
          <t>Yes</t>
        </is>
      </c>
      <c r="AR726">
        <f>HYPERLINK("http://catalog.hathitrust.org/Record/001274772","HathiTrust Record")</f>
        <v/>
      </c>
      <c r="AS726">
        <f>HYPERLINK("https://creighton-primo.hosted.exlibrisgroup.com/primo-explore/search?tab=default_tab&amp;search_scope=EVERYTHING&amp;vid=01CRU&amp;lang=en_US&amp;offset=0&amp;query=any,contains,991003562349702656","Catalog Record")</f>
        <v/>
      </c>
      <c r="AT726">
        <f>HYPERLINK("http://www.worldcat.org/oclc/1133693","WorldCat Record")</f>
        <v/>
      </c>
      <c r="AU726" t="inlineStr">
        <is>
          <t>5163685123:eng</t>
        </is>
      </c>
      <c r="AV726" t="inlineStr">
        <is>
          <t>1133693</t>
        </is>
      </c>
      <c r="AW726" t="inlineStr">
        <is>
          <t>991003562349702656</t>
        </is>
      </c>
      <c r="AX726" t="inlineStr">
        <is>
          <t>991003562349702656</t>
        </is>
      </c>
      <c r="AY726" t="inlineStr">
        <is>
          <t>2268022890002656</t>
        </is>
      </c>
      <c r="AZ726" t="inlineStr">
        <is>
          <t>BOOK</t>
        </is>
      </c>
      <c r="BC726" t="inlineStr">
        <is>
          <t>32285001051647</t>
        </is>
      </c>
      <c r="BD726" t="inlineStr">
        <is>
          <t>893336623</t>
        </is>
      </c>
    </row>
    <row r="727">
      <c r="A727" t="inlineStr">
        <is>
          <t>No</t>
        </is>
      </c>
      <c r="B727" t="inlineStr">
        <is>
          <t>GN470 .C32</t>
        </is>
      </c>
      <c r="C727" t="inlineStr">
        <is>
          <t>0                      GN 0470000C  32</t>
        </is>
      </c>
      <c r="D727" t="inlineStr">
        <is>
          <t>The masks of God.</t>
        </is>
      </c>
      <c r="E727" t="inlineStr">
        <is>
          <t>V.1</t>
        </is>
      </c>
      <c r="F727" t="inlineStr">
        <is>
          <t>Yes</t>
        </is>
      </c>
      <c r="G727" t="inlineStr">
        <is>
          <t>1</t>
        </is>
      </c>
      <c r="H727" t="inlineStr">
        <is>
          <t>No</t>
        </is>
      </c>
      <c r="I727" t="inlineStr">
        <is>
          <t>No</t>
        </is>
      </c>
      <c r="J727" t="inlineStr">
        <is>
          <t>0</t>
        </is>
      </c>
      <c r="K727" t="inlineStr">
        <is>
          <t>Campbell, Joseph, 1904-1987.</t>
        </is>
      </c>
      <c r="L727" t="inlineStr">
        <is>
          <t>New York : Viking Press, 1959-[68]</t>
        </is>
      </c>
      <c r="M727" t="inlineStr">
        <is>
          <t>1959</t>
        </is>
      </c>
      <c r="O727" t="inlineStr">
        <is>
          <t>eng</t>
        </is>
      </c>
      <c r="P727" t="inlineStr">
        <is>
          <t>nyu</t>
        </is>
      </c>
      <c r="R727" t="inlineStr">
        <is>
          <t xml:space="preserve">GN </t>
        </is>
      </c>
      <c r="S727" t="n">
        <v>2</v>
      </c>
      <c r="T727" t="n">
        <v>9</v>
      </c>
      <c r="U727" t="inlineStr">
        <is>
          <t>2007-09-04</t>
        </is>
      </c>
      <c r="V727" t="inlineStr">
        <is>
          <t>2007-09-04</t>
        </is>
      </c>
      <c r="W727" t="inlineStr">
        <is>
          <t>1995-08-01</t>
        </is>
      </c>
      <c r="X727" t="inlineStr">
        <is>
          <t>1995-08-01</t>
        </is>
      </c>
      <c r="Y727" t="n">
        <v>1493</v>
      </c>
      <c r="Z727" t="n">
        <v>1407</v>
      </c>
      <c r="AA727" t="n">
        <v>2093</v>
      </c>
      <c r="AB727" t="n">
        <v>9</v>
      </c>
      <c r="AC727" t="n">
        <v>13</v>
      </c>
      <c r="AD727" t="n">
        <v>42</v>
      </c>
      <c r="AE727" t="n">
        <v>54</v>
      </c>
      <c r="AF727" t="n">
        <v>19</v>
      </c>
      <c r="AG727" t="n">
        <v>22</v>
      </c>
      <c r="AH727" t="n">
        <v>7</v>
      </c>
      <c r="AI727" t="n">
        <v>11</v>
      </c>
      <c r="AJ727" t="n">
        <v>19</v>
      </c>
      <c r="AK727" t="n">
        <v>24</v>
      </c>
      <c r="AL727" t="n">
        <v>8</v>
      </c>
      <c r="AM727" t="n">
        <v>11</v>
      </c>
      <c r="AN727" t="n">
        <v>0</v>
      </c>
      <c r="AO727" t="n">
        <v>0</v>
      </c>
      <c r="AP727" t="inlineStr">
        <is>
          <t>No</t>
        </is>
      </c>
      <c r="AQ727" t="inlineStr">
        <is>
          <t>Yes</t>
        </is>
      </c>
      <c r="AR727">
        <f>HYPERLINK("http://catalog.hathitrust.org/Record/001274772","HathiTrust Record")</f>
        <v/>
      </c>
      <c r="AS727">
        <f>HYPERLINK("https://creighton-primo.hosted.exlibrisgroup.com/primo-explore/search?tab=default_tab&amp;search_scope=EVERYTHING&amp;vid=01CRU&amp;lang=en_US&amp;offset=0&amp;query=any,contains,991003562349702656","Catalog Record")</f>
        <v/>
      </c>
      <c r="AT727">
        <f>HYPERLINK("http://www.worldcat.org/oclc/1133693","WorldCat Record")</f>
        <v/>
      </c>
      <c r="AU727" t="inlineStr">
        <is>
          <t>5163685123:eng</t>
        </is>
      </c>
      <c r="AV727" t="inlineStr">
        <is>
          <t>1133693</t>
        </is>
      </c>
      <c r="AW727" t="inlineStr">
        <is>
          <t>991003562349702656</t>
        </is>
      </c>
      <c r="AX727" t="inlineStr">
        <is>
          <t>991003562349702656</t>
        </is>
      </c>
      <c r="AY727" t="inlineStr">
        <is>
          <t>2268022890002656</t>
        </is>
      </c>
      <c r="AZ727" t="inlineStr">
        <is>
          <t>BOOK</t>
        </is>
      </c>
      <c r="BC727" t="inlineStr">
        <is>
          <t>32285000619758</t>
        </is>
      </c>
      <c r="BD727" t="inlineStr">
        <is>
          <t>893342695</t>
        </is>
      </c>
    </row>
    <row r="728">
      <c r="A728" t="inlineStr">
        <is>
          <t>No</t>
        </is>
      </c>
      <c r="B728" t="inlineStr">
        <is>
          <t>GN470 .C32</t>
        </is>
      </c>
      <c r="C728" t="inlineStr">
        <is>
          <t>0                      GN 0470000C  32</t>
        </is>
      </c>
      <c r="D728" t="inlineStr">
        <is>
          <t>The masks of God.</t>
        </is>
      </c>
      <c r="E728" t="inlineStr">
        <is>
          <t>V.2</t>
        </is>
      </c>
      <c r="F728" t="inlineStr">
        <is>
          <t>Yes</t>
        </is>
      </c>
      <c r="G728" t="inlineStr">
        <is>
          <t>1</t>
        </is>
      </c>
      <c r="H728" t="inlineStr">
        <is>
          <t>No</t>
        </is>
      </c>
      <c r="I728" t="inlineStr">
        <is>
          <t>No</t>
        </is>
      </c>
      <c r="J728" t="inlineStr">
        <is>
          <t>0</t>
        </is>
      </c>
      <c r="K728" t="inlineStr">
        <is>
          <t>Campbell, Joseph, 1904-1987.</t>
        </is>
      </c>
      <c r="L728" t="inlineStr">
        <is>
          <t>New York : Viking Press, 1959-[68]</t>
        </is>
      </c>
      <c r="M728" t="inlineStr">
        <is>
          <t>1959</t>
        </is>
      </c>
      <c r="O728" t="inlineStr">
        <is>
          <t>eng</t>
        </is>
      </c>
      <c r="P728" t="inlineStr">
        <is>
          <t>nyu</t>
        </is>
      </c>
      <c r="R728" t="inlineStr">
        <is>
          <t xml:space="preserve">GN </t>
        </is>
      </c>
      <c r="S728" t="n">
        <v>2</v>
      </c>
      <c r="T728" t="n">
        <v>9</v>
      </c>
      <c r="U728" t="inlineStr">
        <is>
          <t>2003-09-05</t>
        </is>
      </c>
      <c r="V728" t="inlineStr">
        <is>
          <t>2007-09-04</t>
        </is>
      </c>
      <c r="W728" t="inlineStr">
        <is>
          <t>1992-04-09</t>
        </is>
      </c>
      <c r="X728" t="inlineStr">
        <is>
          <t>1995-08-01</t>
        </is>
      </c>
      <c r="Y728" t="n">
        <v>1493</v>
      </c>
      <c r="Z728" t="n">
        <v>1407</v>
      </c>
      <c r="AA728" t="n">
        <v>2093</v>
      </c>
      <c r="AB728" t="n">
        <v>9</v>
      </c>
      <c r="AC728" t="n">
        <v>13</v>
      </c>
      <c r="AD728" t="n">
        <v>42</v>
      </c>
      <c r="AE728" t="n">
        <v>54</v>
      </c>
      <c r="AF728" t="n">
        <v>19</v>
      </c>
      <c r="AG728" t="n">
        <v>22</v>
      </c>
      <c r="AH728" t="n">
        <v>7</v>
      </c>
      <c r="AI728" t="n">
        <v>11</v>
      </c>
      <c r="AJ728" t="n">
        <v>19</v>
      </c>
      <c r="AK728" t="n">
        <v>24</v>
      </c>
      <c r="AL728" t="n">
        <v>8</v>
      </c>
      <c r="AM728" t="n">
        <v>11</v>
      </c>
      <c r="AN728" t="n">
        <v>0</v>
      </c>
      <c r="AO728" t="n">
        <v>0</v>
      </c>
      <c r="AP728" t="inlineStr">
        <is>
          <t>No</t>
        </is>
      </c>
      <c r="AQ728" t="inlineStr">
        <is>
          <t>Yes</t>
        </is>
      </c>
      <c r="AR728">
        <f>HYPERLINK("http://catalog.hathitrust.org/Record/001274772","HathiTrust Record")</f>
        <v/>
      </c>
      <c r="AS728">
        <f>HYPERLINK("https://creighton-primo.hosted.exlibrisgroup.com/primo-explore/search?tab=default_tab&amp;search_scope=EVERYTHING&amp;vid=01CRU&amp;lang=en_US&amp;offset=0&amp;query=any,contains,991003562349702656","Catalog Record")</f>
        <v/>
      </c>
      <c r="AT728">
        <f>HYPERLINK("http://www.worldcat.org/oclc/1133693","WorldCat Record")</f>
        <v/>
      </c>
      <c r="AU728" t="inlineStr">
        <is>
          <t>5163685123:eng</t>
        </is>
      </c>
      <c r="AV728" t="inlineStr">
        <is>
          <t>1133693</t>
        </is>
      </c>
      <c r="AW728" t="inlineStr">
        <is>
          <t>991003562349702656</t>
        </is>
      </c>
      <c r="AX728" t="inlineStr">
        <is>
          <t>991003562349702656</t>
        </is>
      </c>
      <c r="AY728" t="inlineStr">
        <is>
          <t>2268022890002656</t>
        </is>
      </c>
      <c r="AZ728" t="inlineStr">
        <is>
          <t>BOOK</t>
        </is>
      </c>
      <c r="BC728" t="inlineStr">
        <is>
          <t>32285001056943</t>
        </is>
      </c>
      <c r="BD728" t="inlineStr">
        <is>
          <t>893330435</t>
        </is>
      </c>
    </row>
    <row r="729">
      <c r="A729" t="inlineStr">
        <is>
          <t>No</t>
        </is>
      </c>
      <c r="B729" t="inlineStr">
        <is>
          <t>GN470 .C32</t>
        </is>
      </c>
      <c r="C729" t="inlineStr">
        <is>
          <t>0                      GN 0470000C  32</t>
        </is>
      </c>
      <c r="D729" t="inlineStr">
        <is>
          <t>The masks of God.</t>
        </is>
      </c>
      <c r="E729" t="inlineStr">
        <is>
          <t>V.3</t>
        </is>
      </c>
      <c r="F729" t="inlineStr">
        <is>
          <t>Yes</t>
        </is>
      </c>
      <c r="G729" t="inlineStr">
        <is>
          <t>1</t>
        </is>
      </c>
      <c r="H729" t="inlineStr">
        <is>
          <t>No</t>
        </is>
      </c>
      <c r="I729" t="inlineStr">
        <is>
          <t>No</t>
        </is>
      </c>
      <c r="J729" t="inlineStr">
        <is>
          <t>0</t>
        </is>
      </c>
      <c r="K729" t="inlineStr">
        <is>
          <t>Campbell, Joseph, 1904-1987.</t>
        </is>
      </c>
      <c r="L729" t="inlineStr">
        <is>
          <t>New York : Viking Press, 1959-[68]</t>
        </is>
      </c>
      <c r="M729" t="inlineStr">
        <is>
          <t>1959</t>
        </is>
      </c>
      <c r="O729" t="inlineStr">
        <is>
          <t>eng</t>
        </is>
      </c>
      <c r="P729" t="inlineStr">
        <is>
          <t>nyu</t>
        </is>
      </c>
      <c r="R729" t="inlineStr">
        <is>
          <t xml:space="preserve">GN </t>
        </is>
      </c>
      <c r="S729" t="n">
        <v>0</v>
      </c>
      <c r="T729" t="n">
        <v>9</v>
      </c>
      <c r="U729" t="inlineStr">
        <is>
          <t>2003-09-05</t>
        </is>
      </c>
      <c r="V729" t="inlineStr">
        <is>
          <t>2007-09-04</t>
        </is>
      </c>
      <c r="W729" t="inlineStr">
        <is>
          <t>1995-08-01</t>
        </is>
      </c>
      <c r="X729" t="inlineStr">
        <is>
          <t>1995-08-01</t>
        </is>
      </c>
      <c r="Y729" t="n">
        <v>1493</v>
      </c>
      <c r="Z729" t="n">
        <v>1407</v>
      </c>
      <c r="AA729" t="n">
        <v>2093</v>
      </c>
      <c r="AB729" t="n">
        <v>9</v>
      </c>
      <c r="AC729" t="n">
        <v>13</v>
      </c>
      <c r="AD729" t="n">
        <v>42</v>
      </c>
      <c r="AE729" t="n">
        <v>54</v>
      </c>
      <c r="AF729" t="n">
        <v>19</v>
      </c>
      <c r="AG729" t="n">
        <v>22</v>
      </c>
      <c r="AH729" t="n">
        <v>7</v>
      </c>
      <c r="AI729" t="n">
        <v>11</v>
      </c>
      <c r="AJ729" t="n">
        <v>19</v>
      </c>
      <c r="AK729" t="n">
        <v>24</v>
      </c>
      <c r="AL729" t="n">
        <v>8</v>
      </c>
      <c r="AM729" t="n">
        <v>11</v>
      </c>
      <c r="AN729" t="n">
        <v>0</v>
      </c>
      <c r="AO729" t="n">
        <v>0</v>
      </c>
      <c r="AP729" t="inlineStr">
        <is>
          <t>No</t>
        </is>
      </c>
      <c r="AQ729" t="inlineStr">
        <is>
          <t>Yes</t>
        </is>
      </c>
      <c r="AR729">
        <f>HYPERLINK("http://catalog.hathitrust.org/Record/001274772","HathiTrust Record")</f>
        <v/>
      </c>
      <c r="AS729">
        <f>HYPERLINK("https://creighton-primo.hosted.exlibrisgroup.com/primo-explore/search?tab=default_tab&amp;search_scope=EVERYTHING&amp;vid=01CRU&amp;lang=en_US&amp;offset=0&amp;query=any,contains,991003562349702656","Catalog Record")</f>
        <v/>
      </c>
      <c r="AT729">
        <f>HYPERLINK("http://www.worldcat.org/oclc/1133693","WorldCat Record")</f>
        <v/>
      </c>
      <c r="AU729" t="inlineStr">
        <is>
          <t>5163685123:eng</t>
        </is>
      </c>
      <c r="AV729" t="inlineStr">
        <is>
          <t>1133693</t>
        </is>
      </c>
      <c r="AW729" t="inlineStr">
        <is>
          <t>991003562349702656</t>
        </is>
      </c>
      <c r="AX729" t="inlineStr">
        <is>
          <t>991003562349702656</t>
        </is>
      </c>
      <c r="AY729" t="inlineStr">
        <is>
          <t>2268022890002656</t>
        </is>
      </c>
      <c r="AZ729" t="inlineStr">
        <is>
          <t>BOOK</t>
        </is>
      </c>
      <c r="BC729" t="inlineStr">
        <is>
          <t>32285000619766</t>
        </is>
      </c>
      <c r="BD729" t="inlineStr">
        <is>
          <t>893336624</t>
        </is>
      </c>
    </row>
    <row r="730">
      <c r="A730" t="inlineStr">
        <is>
          <t>No</t>
        </is>
      </c>
      <c r="B730" t="inlineStr">
        <is>
          <t>GN470 .C32 1976, v.1</t>
        </is>
      </c>
      <c r="C730" t="inlineStr">
        <is>
          <t>0                      GN 0470000C  32          1976                                        v.1</t>
        </is>
      </c>
      <c r="D730" t="inlineStr">
        <is>
          <t>Primitive mythology / Joseph Campbell.</t>
        </is>
      </c>
      <c r="E730" t="inlineStr">
        <is>
          <t>V.1</t>
        </is>
      </c>
      <c r="F730" t="inlineStr">
        <is>
          <t>No</t>
        </is>
      </c>
      <c r="G730" t="inlineStr">
        <is>
          <t>1</t>
        </is>
      </c>
      <c r="H730" t="inlineStr">
        <is>
          <t>No</t>
        </is>
      </c>
      <c r="I730" t="inlineStr">
        <is>
          <t>No</t>
        </is>
      </c>
      <c r="J730" t="inlineStr">
        <is>
          <t>0</t>
        </is>
      </c>
      <c r="K730" t="inlineStr">
        <is>
          <t>Campbell, Joseph, 1904-1987.</t>
        </is>
      </c>
      <c r="L730" t="inlineStr">
        <is>
          <t>Harmondsworth, Eng. ; New York : Penguin Books, 1976, c1969, 1984 printing.</t>
        </is>
      </c>
      <c r="M730" t="inlineStr">
        <is>
          <t>1976</t>
        </is>
      </c>
      <c r="O730" t="inlineStr">
        <is>
          <t>eng</t>
        </is>
      </c>
      <c r="P730" t="inlineStr">
        <is>
          <t>enk</t>
        </is>
      </c>
      <c r="Q730" t="inlineStr">
        <is>
          <t>His The masks of God ; v. 1</t>
        </is>
      </c>
      <c r="R730" t="inlineStr">
        <is>
          <t xml:space="preserve">GN </t>
        </is>
      </c>
      <c r="S730" t="n">
        <v>8</v>
      </c>
      <c r="T730" t="n">
        <v>8</v>
      </c>
      <c r="U730" t="inlineStr">
        <is>
          <t>2003-03-27</t>
        </is>
      </c>
      <c r="V730" t="inlineStr">
        <is>
          <t>2003-03-27</t>
        </is>
      </c>
      <c r="W730" t="inlineStr">
        <is>
          <t>1994-06-02</t>
        </is>
      </c>
      <c r="X730" t="inlineStr">
        <is>
          <t>1994-06-02</t>
        </is>
      </c>
      <c r="Y730" t="n">
        <v>445</v>
      </c>
      <c r="Z730" t="n">
        <v>407</v>
      </c>
      <c r="AA730" t="n">
        <v>508</v>
      </c>
      <c r="AB730" t="n">
        <v>2</v>
      </c>
      <c r="AC730" t="n">
        <v>4</v>
      </c>
      <c r="AD730" t="n">
        <v>2</v>
      </c>
      <c r="AE730" t="n">
        <v>3</v>
      </c>
      <c r="AF730" t="n">
        <v>0</v>
      </c>
      <c r="AG730" t="n">
        <v>0</v>
      </c>
      <c r="AH730" t="n">
        <v>1</v>
      </c>
      <c r="AI730" t="n">
        <v>1</v>
      </c>
      <c r="AJ730" t="n">
        <v>1</v>
      </c>
      <c r="AK730" t="n">
        <v>1</v>
      </c>
      <c r="AL730" t="n">
        <v>0</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HYPERLINK("https://creighton-primo.hosted.exlibrisgroup.com/primo-explore/search?tab=default_tab&amp;search_scope=EVERYTHING&amp;vid=01CRU&amp;lang=en_US&amp;offset=0&amp;query=any,contains,991004092339702656","Catalog Record")</f>
        <v/>
      </c>
      <c r="AT730">
        <f>HYPERLINK("http://www.worldcat.org/oclc/2346210","WorldCat Record")</f>
        <v/>
      </c>
      <c r="AU730" t="inlineStr">
        <is>
          <t>3855428061:eng</t>
        </is>
      </c>
      <c r="AV730" t="inlineStr">
        <is>
          <t>2346210</t>
        </is>
      </c>
      <c r="AW730" t="inlineStr">
        <is>
          <t>991004092339702656</t>
        </is>
      </c>
      <c r="AX730" t="inlineStr">
        <is>
          <t>991004092339702656</t>
        </is>
      </c>
      <c r="AY730" t="inlineStr">
        <is>
          <t>2262981680002656</t>
        </is>
      </c>
      <c r="AZ730" t="inlineStr">
        <is>
          <t>BOOK</t>
        </is>
      </c>
      <c r="BB730" t="inlineStr">
        <is>
          <t>9780140043044</t>
        </is>
      </c>
      <c r="BC730" t="inlineStr">
        <is>
          <t>32285001925808</t>
        </is>
      </c>
      <c r="BD730" t="inlineStr">
        <is>
          <t>893693504</t>
        </is>
      </c>
    </row>
    <row r="731">
      <c r="A731" t="inlineStr">
        <is>
          <t>No</t>
        </is>
      </c>
      <c r="B731" t="inlineStr">
        <is>
          <t>GN470 .C32 1976, v.2</t>
        </is>
      </c>
      <c r="C731" t="inlineStr">
        <is>
          <t>0                      GN 0470000C  32          1976                                        v.2</t>
        </is>
      </c>
      <c r="D731" t="inlineStr">
        <is>
          <t>Oriental mythology / Joseph Campbell.</t>
        </is>
      </c>
      <c r="E731" t="inlineStr">
        <is>
          <t>V.2</t>
        </is>
      </c>
      <c r="F731" t="inlineStr">
        <is>
          <t>No</t>
        </is>
      </c>
      <c r="G731" t="inlineStr">
        <is>
          <t>1</t>
        </is>
      </c>
      <c r="H731" t="inlineStr">
        <is>
          <t>No</t>
        </is>
      </c>
      <c r="I731" t="inlineStr">
        <is>
          <t>No</t>
        </is>
      </c>
      <c r="J731" t="inlineStr">
        <is>
          <t>0</t>
        </is>
      </c>
      <c r="K731" t="inlineStr">
        <is>
          <t>Campbell, Joseph, 1904-1987.</t>
        </is>
      </c>
      <c r="L731" t="inlineStr">
        <is>
          <t>New York : Penguin Books, c1976,1985 printing.</t>
        </is>
      </c>
      <c r="M731" t="inlineStr">
        <is>
          <t>1976</t>
        </is>
      </c>
      <c r="O731" t="inlineStr">
        <is>
          <t>eng</t>
        </is>
      </c>
      <c r="P731" t="inlineStr">
        <is>
          <t xml:space="preserve">xx </t>
        </is>
      </c>
      <c r="Q731" t="inlineStr">
        <is>
          <t>His The masks of God ; v. 2</t>
        </is>
      </c>
      <c r="R731" t="inlineStr">
        <is>
          <t xml:space="preserve">GN </t>
        </is>
      </c>
      <c r="S731" t="n">
        <v>5</v>
      </c>
      <c r="T731" t="n">
        <v>5</v>
      </c>
      <c r="U731" t="inlineStr">
        <is>
          <t>2003-03-27</t>
        </is>
      </c>
      <c r="V731" t="inlineStr">
        <is>
          <t>2003-03-27</t>
        </is>
      </c>
      <c r="W731" t="inlineStr">
        <is>
          <t>1992-04-09</t>
        </is>
      </c>
      <c r="X731" t="inlineStr">
        <is>
          <t>1992-04-09</t>
        </is>
      </c>
      <c r="Y731" t="n">
        <v>47</v>
      </c>
      <c r="Z731" t="n">
        <v>44</v>
      </c>
      <c r="AA731" t="n">
        <v>322</v>
      </c>
      <c r="AB731" t="n">
        <v>2</v>
      </c>
      <c r="AC731" t="n">
        <v>3</v>
      </c>
      <c r="AD731" t="n">
        <v>4</v>
      </c>
      <c r="AE731" t="n">
        <v>6</v>
      </c>
      <c r="AF731" t="n">
        <v>2</v>
      </c>
      <c r="AG731" t="n">
        <v>4</v>
      </c>
      <c r="AH731" t="n">
        <v>1</v>
      </c>
      <c r="AI731" t="n">
        <v>1</v>
      </c>
      <c r="AJ731" t="n">
        <v>2</v>
      </c>
      <c r="AK731" t="n">
        <v>2</v>
      </c>
      <c r="AL731" t="n">
        <v>1</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HYPERLINK("https://creighton-primo.hosted.exlibrisgroup.com/primo-explore/search?tab=default_tab&amp;search_scope=EVERYTHING&amp;vid=01CRU&amp;lang=en_US&amp;offset=0&amp;query=any,contains,991004682159702656","Catalog Record")</f>
        <v/>
      </c>
      <c r="AT731">
        <f>HYPERLINK("http://www.worldcat.org/oclc/4572411","WorldCat Record")</f>
        <v/>
      </c>
      <c r="AU731" t="inlineStr">
        <is>
          <t>2529796550:eng</t>
        </is>
      </c>
      <c r="AV731" t="inlineStr">
        <is>
          <t>4572411</t>
        </is>
      </c>
      <c r="AW731" t="inlineStr">
        <is>
          <t>991004682159702656</t>
        </is>
      </c>
      <c r="AX731" t="inlineStr">
        <is>
          <t>991004682159702656</t>
        </is>
      </c>
      <c r="AY731" t="inlineStr">
        <is>
          <t>2265313930002656</t>
        </is>
      </c>
      <c r="AZ731" t="inlineStr">
        <is>
          <t>BOOK</t>
        </is>
      </c>
      <c r="BC731" t="inlineStr">
        <is>
          <t>32285001051449</t>
        </is>
      </c>
      <c r="BD731" t="inlineStr">
        <is>
          <t>893782530</t>
        </is>
      </c>
    </row>
    <row r="732">
      <c r="A732" t="inlineStr">
        <is>
          <t>No</t>
        </is>
      </c>
      <c r="B732" t="inlineStr">
        <is>
          <t>GN470 .C32 1976, v.3</t>
        </is>
      </c>
      <c r="C732" t="inlineStr">
        <is>
          <t>0                      GN 0470000C  32          1976                                        v.3</t>
        </is>
      </c>
      <c r="D732" t="inlineStr">
        <is>
          <t>Occidental mythology / Joseph Campbell.</t>
        </is>
      </c>
      <c r="E732" t="inlineStr">
        <is>
          <t>V.3</t>
        </is>
      </c>
      <c r="F732" t="inlineStr">
        <is>
          <t>No</t>
        </is>
      </c>
      <c r="G732" t="inlineStr">
        <is>
          <t>1</t>
        </is>
      </c>
      <c r="H732" t="inlineStr">
        <is>
          <t>No</t>
        </is>
      </c>
      <c r="I732" t="inlineStr">
        <is>
          <t>No</t>
        </is>
      </c>
      <c r="J732" t="inlineStr">
        <is>
          <t>0</t>
        </is>
      </c>
      <c r="K732" t="inlineStr">
        <is>
          <t>Campbell, Joseph, 1904-1987.</t>
        </is>
      </c>
      <c r="L732" t="inlineStr">
        <is>
          <t>Harmondsworth, Eng. ; New York : Penguin Books, 1976, c1964, 1984 printing.</t>
        </is>
      </c>
      <c r="M732" t="inlineStr">
        <is>
          <t>1976</t>
        </is>
      </c>
      <c r="O732" t="inlineStr">
        <is>
          <t>eng</t>
        </is>
      </c>
      <c r="P732" t="inlineStr">
        <is>
          <t>enk</t>
        </is>
      </c>
      <c r="Q732" t="inlineStr">
        <is>
          <t>His The masks of God ; v. 3</t>
        </is>
      </c>
      <c r="R732" t="inlineStr">
        <is>
          <t xml:space="preserve">GN </t>
        </is>
      </c>
      <c r="S732" t="n">
        <v>1</v>
      </c>
      <c r="T732" t="n">
        <v>1</v>
      </c>
      <c r="U732" t="inlineStr">
        <is>
          <t>1997-01-23</t>
        </is>
      </c>
      <c r="V732" t="inlineStr">
        <is>
          <t>1997-01-23</t>
        </is>
      </c>
      <c r="W732" t="inlineStr">
        <is>
          <t>1994-06-02</t>
        </is>
      </c>
      <c r="X732" t="inlineStr">
        <is>
          <t>1994-06-02</t>
        </is>
      </c>
      <c r="Y732" t="n">
        <v>479</v>
      </c>
      <c r="Z732" t="n">
        <v>437</v>
      </c>
      <c r="AA732" t="n">
        <v>602</v>
      </c>
      <c r="AB732" t="n">
        <v>6</v>
      </c>
      <c r="AC732" t="n">
        <v>7</v>
      </c>
      <c r="AD732" t="n">
        <v>8</v>
      </c>
      <c r="AE732" t="n">
        <v>9</v>
      </c>
      <c r="AF732" t="n">
        <v>2</v>
      </c>
      <c r="AG732" t="n">
        <v>3</v>
      </c>
      <c r="AH732" t="n">
        <v>2</v>
      </c>
      <c r="AI732" t="n">
        <v>2</v>
      </c>
      <c r="AJ732" t="n">
        <v>2</v>
      </c>
      <c r="AK732" t="n">
        <v>3</v>
      </c>
      <c r="AL732" t="n">
        <v>3</v>
      </c>
      <c r="AM732" t="n">
        <v>3</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HYPERLINK("https://creighton-primo.hosted.exlibrisgroup.com/primo-explore/search?tab=default_tab&amp;search_scope=EVERYTHING&amp;vid=01CRU&amp;lang=en_US&amp;offset=0&amp;query=any,contains,991004091109702656","Catalog Record")</f>
        <v/>
      </c>
      <c r="AT732">
        <f>HYPERLINK("http://www.worldcat.org/oclc/2345713","WorldCat Record")</f>
        <v/>
      </c>
      <c r="AU732" t="inlineStr">
        <is>
          <t>3857089028:eng</t>
        </is>
      </c>
      <c r="AV732" t="inlineStr">
        <is>
          <t>2345713</t>
        </is>
      </c>
      <c r="AW732" t="inlineStr">
        <is>
          <t>991004091109702656</t>
        </is>
      </c>
      <c r="AX732" t="inlineStr">
        <is>
          <t>991004091109702656</t>
        </is>
      </c>
      <c r="AY732" t="inlineStr">
        <is>
          <t>2262080050002656</t>
        </is>
      </c>
      <c r="AZ732" t="inlineStr">
        <is>
          <t>BOOK</t>
        </is>
      </c>
      <c r="BB732" t="inlineStr">
        <is>
          <t>9780140043068</t>
        </is>
      </c>
      <c r="BC732" t="inlineStr">
        <is>
          <t>32285001925816</t>
        </is>
      </c>
      <c r="BD732" t="inlineStr">
        <is>
          <t>893519232</t>
        </is>
      </c>
    </row>
    <row r="733">
      <c r="A733" t="inlineStr">
        <is>
          <t>No</t>
        </is>
      </c>
      <c r="B733" t="inlineStr">
        <is>
          <t>GN470 .C32 1976, v.4</t>
        </is>
      </c>
      <c r="C733" t="inlineStr">
        <is>
          <t>0                      GN 0470000C  32          1976                                        v.4</t>
        </is>
      </c>
      <c r="D733" t="inlineStr">
        <is>
          <t>Creative mythology / Joseph Campbell.</t>
        </is>
      </c>
      <c r="E733" t="inlineStr">
        <is>
          <t>V.4</t>
        </is>
      </c>
      <c r="F733" t="inlineStr">
        <is>
          <t>No</t>
        </is>
      </c>
      <c r="G733" t="inlineStr">
        <is>
          <t>1</t>
        </is>
      </c>
      <c r="H733" t="inlineStr">
        <is>
          <t>No</t>
        </is>
      </c>
      <c r="I733" t="inlineStr">
        <is>
          <t>No</t>
        </is>
      </c>
      <c r="J733" t="inlineStr">
        <is>
          <t>0</t>
        </is>
      </c>
      <c r="K733" t="inlineStr">
        <is>
          <t>Campbell, Joseph, 1904-1987.</t>
        </is>
      </c>
      <c r="L733" t="inlineStr">
        <is>
          <t>New York : Penguin Books, c1976, 1983 printing.</t>
        </is>
      </c>
      <c r="M733" t="inlineStr">
        <is>
          <t>1976</t>
        </is>
      </c>
      <c r="O733" t="inlineStr">
        <is>
          <t>eng</t>
        </is>
      </c>
      <c r="P733" t="inlineStr">
        <is>
          <t xml:space="preserve">xx </t>
        </is>
      </c>
      <c r="Q733" t="inlineStr">
        <is>
          <t>His The masks of God ; v. 4</t>
        </is>
      </c>
      <c r="R733" t="inlineStr">
        <is>
          <t xml:space="preserve">GN </t>
        </is>
      </c>
      <c r="S733" t="n">
        <v>5</v>
      </c>
      <c r="T733" t="n">
        <v>5</v>
      </c>
      <c r="U733" t="inlineStr">
        <is>
          <t>1998-09-13</t>
        </is>
      </c>
      <c r="V733" t="inlineStr">
        <is>
          <t>1998-09-13</t>
        </is>
      </c>
      <c r="W733" t="inlineStr">
        <is>
          <t>1992-03-03</t>
        </is>
      </c>
      <c r="X733" t="inlineStr">
        <is>
          <t>1992-03-03</t>
        </is>
      </c>
      <c r="Y733" t="n">
        <v>34</v>
      </c>
      <c r="Z733" t="n">
        <v>32</v>
      </c>
      <c r="AA733" t="n">
        <v>1037</v>
      </c>
      <c r="AB733" t="n">
        <v>3</v>
      </c>
      <c r="AC733" t="n">
        <v>11</v>
      </c>
      <c r="AD733" t="n">
        <v>1</v>
      </c>
      <c r="AE733" t="n">
        <v>22</v>
      </c>
      <c r="AF733" t="n">
        <v>0</v>
      </c>
      <c r="AG733" t="n">
        <v>9</v>
      </c>
      <c r="AH733" t="n">
        <v>0</v>
      </c>
      <c r="AI733" t="n">
        <v>5</v>
      </c>
      <c r="AJ733" t="n">
        <v>0</v>
      </c>
      <c r="AK733" t="n">
        <v>8</v>
      </c>
      <c r="AL733" t="n">
        <v>1</v>
      </c>
      <c r="AM733" t="n">
        <v>4</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HYPERLINK("https://creighton-primo.hosted.exlibrisgroup.com/primo-explore/search?tab=default_tab&amp;search_scope=EVERYTHING&amp;vid=01CRU&amp;lang=en_US&amp;offset=0&amp;query=any,contains,991004675299702656","Catalog Record")</f>
        <v/>
      </c>
      <c r="AT733">
        <f>HYPERLINK("http://www.worldcat.org/oclc/4534691","WorldCat Record")</f>
        <v/>
      </c>
      <c r="AU733" t="inlineStr">
        <is>
          <t>4020151939:eng</t>
        </is>
      </c>
      <c r="AV733" t="inlineStr">
        <is>
          <t>4534691</t>
        </is>
      </c>
      <c r="AW733" t="inlineStr">
        <is>
          <t>991004675299702656</t>
        </is>
      </c>
      <c r="AX733" t="inlineStr">
        <is>
          <t>991004675299702656</t>
        </is>
      </c>
      <c r="AY733" t="inlineStr">
        <is>
          <t>2271744970002656</t>
        </is>
      </c>
      <c r="AZ733" t="inlineStr">
        <is>
          <t>BOOK</t>
        </is>
      </c>
      <c r="BC733" t="inlineStr">
        <is>
          <t>32285000991454</t>
        </is>
      </c>
      <c r="BD733" t="inlineStr">
        <is>
          <t>893700525</t>
        </is>
      </c>
    </row>
    <row r="734">
      <c r="A734" t="inlineStr">
        <is>
          <t>No</t>
        </is>
      </c>
      <c r="B734" t="inlineStr">
        <is>
          <t>GN470 .D4</t>
        </is>
      </c>
      <c r="C734" t="inlineStr">
        <is>
          <t>0                      GN 0470000D  4</t>
        </is>
      </c>
      <c r="D734" t="inlineStr">
        <is>
          <t>Religion and culture : an introduction to anthropology of religion.</t>
        </is>
      </c>
      <c r="F734" t="inlineStr">
        <is>
          <t>No</t>
        </is>
      </c>
      <c r="G734" t="inlineStr">
        <is>
          <t>1</t>
        </is>
      </c>
      <c r="H734" t="inlineStr">
        <is>
          <t>No</t>
        </is>
      </c>
      <c r="I734" t="inlineStr">
        <is>
          <t>No</t>
        </is>
      </c>
      <c r="J734" t="inlineStr">
        <is>
          <t>0</t>
        </is>
      </c>
      <c r="K734" t="inlineStr">
        <is>
          <t>Malefijt, Annemarie de Waal, 1914-</t>
        </is>
      </c>
      <c r="L734" t="inlineStr">
        <is>
          <t>New York : Macmillan, [1968]</t>
        </is>
      </c>
      <c r="M734" t="inlineStr">
        <is>
          <t>1968</t>
        </is>
      </c>
      <c r="O734" t="inlineStr">
        <is>
          <t>eng</t>
        </is>
      </c>
      <c r="P734" t="inlineStr">
        <is>
          <t>nyu</t>
        </is>
      </c>
      <c r="R734" t="inlineStr">
        <is>
          <t xml:space="preserve">GN </t>
        </is>
      </c>
      <c r="S734" t="n">
        <v>4</v>
      </c>
      <c r="T734" t="n">
        <v>4</v>
      </c>
      <c r="U734" t="inlineStr">
        <is>
          <t>2002-09-11</t>
        </is>
      </c>
      <c r="V734" t="inlineStr">
        <is>
          <t>2002-09-11</t>
        </is>
      </c>
      <c r="W734" t="inlineStr">
        <is>
          <t>1992-03-03</t>
        </is>
      </c>
      <c r="X734" t="inlineStr">
        <is>
          <t>1992-03-03</t>
        </is>
      </c>
      <c r="Y734" t="n">
        <v>914</v>
      </c>
      <c r="Z734" t="n">
        <v>765</v>
      </c>
      <c r="AA734" t="n">
        <v>844</v>
      </c>
      <c r="AB734" t="n">
        <v>8</v>
      </c>
      <c r="AC734" t="n">
        <v>8</v>
      </c>
      <c r="AD734" t="n">
        <v>35</v>
      </c>
      <c r="AE734" t="n">
        <v>38</v>
      </c>
      <c r="AF734" t="n">
        <v>13</v>
      </c>
      <c r="AG734" t="n">
        <v>14</v>
      </c>
      <c r="AH734" t="n">
        <v>8</v>
      </c>
      <c r="AI734" t="n">
        <v>8</v>
      </c>
      <c r="AJ734" t="n">
        <v>18</v>
      </c>
      <c r="AK734" t="n">
        <v>20</v>
      </c>
      <c r="AL734" t="n">
        <v>7</v>
      </c>
      <c r="AM734" t="n">
        <v>7</v>
      </c>
      <c r="AN734" t="n">
        <v>0</v>
      </c>
      <c r="AO734" t="n">
        <v>0</v>
      </c>
      <c r="AP734" t="inlineStr">
        <is>
          <t>No</t>
        </is>
      </c>
      <c r="AQ734" t="inlineStr">
        <is>
          <t>Yes</t>
        </is>
      </c>
      <c r="AR734">
        <f>HYPERLINK("http://catalog.hathitrust.org/Record/003302273","HathiTrust Record")</f>
        <v/>
      </c>
      <c r="AS734">
        <f>HYPERLINK("https://creighton-primo.hosted.exlibrisgroup.com/primo-explore/search?tab=default_tab&amp;search_scope=EVERYTHING&amp;vid=01CRU&amp;lang=en_US&amp;offset=0&amp;query=any,contains,991002772059702656","Catalog Record")</f>
        <v/>
      </c>
      <c r="AT734">
        <f>HYPERLINK("http://www.worldcat.org/oclc/437407","WorldCat Record")</f>
        <v/>
      </c>
      <c r="AU734" t="inlineStr">
        <is>
          <t>1558352:eng</t>
        </is>
      </c>
      <c r="AV734" t="inlineStr">
        <is>
          <t>437407</t>
        </is>
      </c>
      <c r="AW734" t="inlineStr">
        <is>
          <t>991002772059702656</t>
        </is>
      </c>
      <c r="AX734" t="inlineStr">
        <is>
          <t>991002772059702656</t>
        </is>
      </c>
      <c r="AY734" t="inlineStr">
        <is>
          <t>2267898460002656</t>
        </is>
      </c>
      <c r="AZ734" t="inlineStr">
        <is>
          <t>BOOK</t>
        </is>
      </c>
      <c r="BC734" t="inlineStr">
        <is>
          <t>32285000991447</t>
        </is>
      </c>
      <c r="BD734" t="inlineStr">
        <is>
          <t>893317239</t>
        </is>
      </c>
    </row>
    <row r="735">
      <c r="A735" t="inlineStr">
        <is>
          <t>No</t>
        </is>
      </c>
      <c r="B735" t="inlineStr">
        <is>
          <t>GN470 .D77</t>
        </is>
      </c>
      <c r="C735" t="inlineStr">
        <is>
          <t>0                      GN 0470000D  77</t>
        </is>
      </c>
      <c r="D735" t="inlineStr">
        <is>
          <t>Religion in primitive cultures : a study in ethnophilosophy / by Wilhelm Dupré.</t>
        </is>
      </c>
      <c r="F735" t="inlineStr">
        <is>
          <t>No</t>
        </is>
      </c>
      <c r="G735" t="inlineStr">
        <is>
          <t>1</t>
        </is>
      </c>
      <c r="H735" t="inlineStr">
        <is>
          <t>No</t>
        </is>
      </c>
      <c r="I735" t="inlineStr">
        <is>
          <t>No</t>
        </is>
      </c>
      <c r="J735" t="inlineStr">
        <is>
          <t>0</t>
        </is>
      </c>
      <c r="K735" t="inlineStr">
        <is>
          <t>Dupré, Wilhelm.</t>
        </is>
      </c>
      <c r="L735" t="inlineStr">
        <is>
          <t>The Hague : Mouton, [1975]</t>
        </is>
      </c>
      <c r="M735" t="inlineStr">
        <is>
          <t>1975</t>
        </is>
      </c>
      <c r="O735" t="inlineStr">
        <is>
          <t>eng</t>
        </is>
      </c>
      <c r="P735" t="inlineStr">
        <is>
          <t xml:space="preserve">ne </t>
        </is>
      </c>
      <c r="Q735" t="inlineStr">
        <is>
          <t>Religion and reason ; 9</t>
        </is>
      </c>
      <c r="R735" t="inlineStr">
        <is>
          <t xml:space="preserve">GN </t>
        </is>
      </c>
      <c r="S735" t="n">
        <v>2</v>
      </c>
      <c r="T735" t="n">
        <v>2</v>
      </c>
      <c r="U735" t="inlineStr">
        <is>
          <t>2007-04-10</t>
        </is>
      </c>
      <c r="V735" t="inlineStr">
        <is>
          <t>2007-04-10</t>
        </is>
      </c>
      <c r="W735" t="inlineStr">
        <is>
          <t>1992-04-22</t>
        </is>
      </c>
      <c r="X735" t="inlineStr">
        <is>
          <t>1992-04-22</t>
        </is>
      </c>
      <c r="Y735" t="n">
        <v>455</v>
      </c>
      <c r="Z735" t="n">
        <v>313</v>
      </c>
      <c r="AA735" t="n">
        <v>807</v>
      </c>
      <c r="AB735" t="n">
        <v>2</v>
      </c>
      <c r="AC735" t="n">
        <v>13</v>
      </c>
      <c r="AD735" t="n">
        <v>19</v>
      </c>
      <c r="AE735" t="n">
        <v>38</v>
      </c>
      <c r="AF735" t="n">
        <v>1</v>
      </c>
      <c r="AG735" t="n">
        <v>7</v>
      </c>
      <c r="AH735" t="n">
        <v>8</v>
      </c>
      <c r="AI735" t="n">
        <v>9</v>
      </c>
      <c r="AJ735" t="n">
        <v>14</v>
      </c>
      <c r="AK735" t="n">
        <v>15</v>
      </c>
      <c r="AL735" t="n">
        <v>1</v>
      </c>
      <c r="AM735" t="n">
        <v>11</v>
      </c>
      <c r="AN735" t="n">
        <v>0</v>
      </c>
      <c r="AO735" t="n">
        <v>1</v>
      </c>
      <c r="AP735" t="inlineStr">
        <is>
          <t>No</t>
        </is>
      </c>
      <c r="AQ735" t="inlineStr">
        <is>
          <t>Yes</t>
        </is>
      </c>
      <c r="AR735">
        <f>HYPERLINK("http://catalog.hathitrust.org/Record/000029789","HathiTrust Record")</f>
        <v/>
      </c>
      <c r="AS735">
        <f>HYPERLINK("https://creighton-primo.hosted.exlibrisgroup.com/primo-explore/search?tab=default_tab&amp;search_scope=EVERYTHING&amp;vid=01CRU&amp;lang=en_US&amp;offset=0&amp;query=any,contains,991003823979702656","Catalog Record")</f>
        <v/>
      </c>
      <c r="AT735">
        <f>HYPERLINK("http://www.worldcat.org/oclc/1570968","WorldCat Record")</f>
        <v/>
      </c>
      <c r="AU735" t="inlineStr">
        <is>
          <t>807934857:eng</t>
        </is>
      </c>
      <c r="AV735" t="inlineStr">
        <is>
          <t>1570968</t>
        </is>
      </c>
      <c r="AW735" t="inlineStr">
        <is>
          <t>991003823979702656</t>
        </is>
      </c>
      <c r="AX735" t="inlineStr">
        <is>
          <t>991003823979702656</t>
        </is>
      </c>
      <c r="AY735" t="inlineStr">
        <is>
          <t>2268759880002656</t>
        </is>
      </c>
      <c r="AZ735" t="inlineStr">
        <is>
          <t>BOOK</t>
        </is>
      </c>
      <c r="BB735" t="inlineStr">
        <is>
          <t>9789027975317</t>
        </is>
      </c>
      <c r="BC735" t="inlineStr">
        <is>
          <t>32285001064780</t>
        </is>
      </c>
      <c r="BD735" t="inlineStr">
        <is>
          <t>893258908</t>
        </is>
      </c>
    </row>
    <row r="736">
      <c r="A736" t="inlineStr">
        <is>
          <t>No</t>
        </is>
      </c>
      <c r="B736" t="inlineStr">
        <is>
          <t>GN470 .G44</t>
        </is>
      </c>
      <c r="C736" t="inlineStr">
        <is>
          <t>0                      GN 0470000G  44</t>
        </is>
      </c>
      <c r="D736" t="inlineStr">
        <is>
          <t>Studies on mythology, edited by Robert A. Georges.</t>
        </is>
      </c>
      <c r="F736" t="inlineStr">
        <is>
          <t>No</t>
        </is>
      </c>
      <c r="G736" t="inlineStr">
        <is>
          <t>1</t>
        </is>
      </c>
      <c r="H736" t="inlineStr">
        <is>
          <t>No</t>
        </is>
      </c>
      <c r="I736" t="inlineStr">
        <is>
          <t>No</t>
        </is>
      </c>
      <c r="J736" t="inlineStr">
        <is>
          <t>0</t>
        </is>
      </c>
      <c r="K736" t="inlineStr">
        <is>
          <t>Georges, Robert A. compiler.</t>
        </is>
      </c>
      <c r="L736" t="inlineStr">
        <is>
          <t>Homewood, Ill., Dorsey Press, 1968.</t>
        </is>
      </c>
      <c r="M736" t="inlineStr">
        <is>
          <t>1968</t>
        </is>
      </c>
      <c r="O736" t="inlineStr">
        <is>
          <t>eng</t>
        </is>
      </c>
      <c r="P736" t="inlineStr">
        <is>
          <t>ilu</t>
        </is>
      </c>
      <c r="Q736" t="inlineStr">
        <is>
          <t>The Dorsey series in anthropology and sociology</t>
        </is>
      </c>
      <c r="R736" t="inlineStr">
        <is>
          <t xml:space="preserve">GN </t>
        </is>
      </c>
      <c r="S736" t="n">
        <v>3</v>
      </c>
      <c r="T736" t="n">
        <v>3</v>
      </c>
      <c r="U736" t="inlineStr">
        <is>
          <t>1998-09-13</t>
        </is>
      </c>
      <c r="V736" t="inlineStr">
        <is>
          <t>1998-09-13</t>
        </is>
      </c>
      <c r="W736" t="inlineStr">
        <is>
          <t>1997-05-28</t>
        </is>
      </c>
      <c r="X736" t="inlineStr">
        <is>
          <t>1997-05-28</t>
        </is>
      </c>
      <c r="Y736" t="n">
        <v>547</v>
      </c>
      <c r="Z736" t="n">
        <v>439</v>
      </c>
      <c r="AA736" t="n">
        <v>456</v>
      </c>
      <c r="AB736" t="n">
        <v>4</v>
      </c>
      <c r="AC736" t="n">
        <v>4</v>
      </c>
      <c r="AD736" t="n">
        <v>21</v>
      </c>
      <c r="AE736" t="n">
        <v>23</v>
      </c>
      <c r="AF736" t="n">
        <v>6</v>
      </c>
      <c r="AG736" t="n">
        <v>7</v>
      </c>
      <c r="AH736" t="n">
        <v>3</v>
      </c>
      <c r="AI736" t="n">
        <v>4</v>
      </c>
      <c r="AJ736" t="n">
        <v>13</v>
      </c>
      <c r="AK736" t="n">
        <v>13</v>
      </c>
      <c r="AL736" t="n">
        <v>3</v>
      </c>
      <c r="AM736" t="n">
        <v>3</v>
      </c>
      <c r="AN736" t="n">
        <v>0</v>
      </c>
      <c r="AO736" t="n">
        <v>0</v>
      </c>
      <c r="AP736" t="inlineStr">
        <is>
          <t>No</t>
        </is>
      </c>
      <c r="AQ736" t="inlineStr">
        <is>
          <t>Yes</t>
        </is>
      </c>
      <c r="AR736">
        <f>HYPERLINK("http://catalog.hathitrust.org/Record/004496999","HathiTrust Record")</f>
        <v/>
      </c>
      <c r="AS736">
        <f>HYPERLINK("https://creighton-primo.hosted.exlibrisgroup.com/primo-explore/search?tab=default_tab&amp;search_scope=EVERYTHING&amp;vid=01CRU&amp;lang=en_US&amp;offset=0&amp;query=any,contains,991002741279702656","Catalog Record")</f>
        <v/>
      </c>
      <c r="AT736">
        <f>HYPERLINK("http://www.worldcat.org/oclc/421251","WorldCat Record")</f>
        <v/>
      </c>
      <c r="AU736" t="inlineStr">
        <is>
          <t>1503779:eng</t>
        </is>
      </c>
      <c r="AV736" t="inlineStr">
        <is>
          <t>421251</t>
        </is>
      </c>
      <c r="AW736" t="inlineStr">
        <is>
          <t>991002741279702656</t>
        </is>
      </c>
      <c r="AX736" t="inlineStr">
        <is>
          <t>991002741279702656</t>
        </is>
      </c>
      <c r="AY736" t="inlineStr">
        <is>
          <t>2270110640002656</t>
        </is>
      </c>
      <c r="AZ736" t="inlineStr">
        <is>
          <t>BOOK</t>
        </is>
      </c>
      <c r="BC736" t="inlineStr">
        <is>
          <t>32285002695889</t>
        </is>
      </c>
      <c r="BD736" t="inlineStr">
        <is>
          <t>893498489</t>
        </is>
      </c>
    </row>
    <row r="737">
      <c r="A737" t="inlineStr">
        <is>
          <t>No</t>
        </is>
      </c>
      <c r="B737" t="inlineStr">
        <is>
          <t>GN470 .G5</t>
        </is>
      </c>
      <c r="C737" t="inlineStr">
        <is>
          <t>0                      GN 0470000G  5</t>
        </is>
      </c>
      <c r="D737" t="inlineStr">
        <is>
          <t>Beyond the primitive : the religions of nonliterate peoples / Sam D. Gill.</t>
        </is>
      </c>
      <c r="F737" t="inlineStr">
        <is>
          <t>No</t>
        </is>
      </c>
      <c r="G737" t="inlineStr">
        <is>
          <t>1</t>
        </is>
      </c>
      <c r="H737" t="inlineStr">
        <is>
          <t>No</t>
        </is>
      </c>
      <c r="I737" t="inlineStr">
        <is>
          <t>No</t>
        </is>
      </c>
      <c r="J737" t="inlineStr">
        <is>
          <t>0</t>
        </is>
      </c>
      <c r="K737" t="inlineStr">
        <is>
          <t>Gill, Sam D., 1943-</t>
        </is>
      </c>
      <c r="L737" t="inlineStr">
        <is>
          <t>Englewood Cliffs, N.J. : Prentice-Hall, c1982.</t>
        </is>
      </c>
      <c r="M737" t="inlineStr">
        <is>
          <t>1982</t>
        </is>
      </c>
      <c r="O737" t="inlineStr">
        <is>
          <t>eng</t>
        </is>
      </c>
      <c r="P737" t="inlineStr">
        <is>
          <t>nju</t>
        </is>
      </c>
      <c r="Q737" t="inlineStr">
        <is>
          <t>The Prentice-Hall series in world religions</t>
        </is>
      </c>
      <c r="R737" t="inlineStr">
        <is>
          <t xml:space="preserve">GN </t>
        </is>
      </c>
      <c r="S737" t="n">
        <v>2</v>
      </c>
      <c r="T737" t="n">
        <v>2</v>
      </c>
      <c r="U737" t="inlineStr">
        <is>
          <t>1992-01-16</t>
        </is>
      </c>
      <c r="V737" t="inlineStr">
        <is>
          <t>1992-01-16</t>
        </is>
      </c>
      <c r="W737" t="inlineStr">
        <is>
          <t>1990-09-26</t>
        </is>
      </c>
      <c r="X737" t="inlineStr">
        <is>
          <t>1990-09-26</t>
        </is>
      </c>
      <c r="Y737" t="n">
        <v>684</v>
      </c>
      <c r="Z737" t="n">
        <v>569</v>
      </c>
      <c r="AA737" t="n">
        <v>573</v>
      </c>
      <c r="AB737" t="n">
        <v>4</v>
      </c>
      <c r="AC737" t="n">
        <v>4</v>
      </c>
      <c r="AD737" t="n">
        <v>28</v>
      </c>
      <c r="AE737" t="n">
        <v>28</v>
      </c>
      <c r="AF737" t="n">
        <v>12</v>
      </c>
      <c r="AG737" t="n">
        <v>12</v>
      </c>
      <c r="AH737" t="n">
        <v>6</v>
      </c>
      <c r="AI737" t="n">
        <v>6</v>
      </c>
      <c r="AJ737" t="n">
        <v>16</v>
      </c>
      <c r="AK737" t="n">
        <v>16</v>
      </c>
      <c r="AL737" t="n">
        <v>3</v>
      </c>
      <c r="AM737" t="n">
        <v>3</v>
      </c>
      <c r="AN737" t="n">
        <v>0</v>
      </c>
      <c r="AO737" t="n">
        <v>0</v>
      </c>
      <c r="AP737" t="inlineStr">
        <is>
          <t>No</t>
        </is>
      </c>
      <c r="AQ737" t="inlineStr">
        <is>
          <t>Yes</t>
        </is>
      </c>
      <c r="AR737">
        <f>HYPERLINK("http://catalog.hathitrust.org/Record/007117074","HathiTrust Record")</f>
        <v/>
      </c>
      <c r="AS737">
        <f>HYPERLINK("https://creighton-primo.hosted.exlibrisgroup.com/primo-explore/search?tab=default_tab&amp;search_scope=EVERYTHING&amp;vid=01CRU&amp;lang=en_US&amp;offset=0&amp;query=any,contains,991005123909702656","Catalog Record")</f>
        <v/>
      </c>
      <c r="AT737">
        <f>HYPERLINK("http://www.worldcat.org/oclc/7551455","WorldCat Record")</f>
        <v/>
      </c>
      <c r="AU737" t="inlineStr">
        <is>
          <t>472820347:eng</t>
        </is>
      </c>
      <c r="AV737" t="inlineStr">
        <is>
          <t>7551455</t>
        </is>
      </c>
      <c r="AW737" t="inlineStr">
        <is>
          <t>991005123909702656</t>
        </is>
      </c>
      <c r="AX737" t="inlineStr">
        <is>
          <t>991005123909702656</t>
        </is>
      </c>
      <c r="AY737" t="inlineStr">
        <is>
          <t>2266088250002656</t>
        </is>
      </c>
      <c r="AZ737" t="inlineStr">
        <is>
          <t>BOOK</t>
        </is>
      </c>
      <c r="BB737" t="inlineStr">
        <is>
          <t>9780130760340</t>
        </is>
      </c>
      <c r="BC737" t="inlineStr">
        <is>
          <t>32285000316447</t>
        </is>
      </c>
      <c r="BD737" t="inlineStr">
        <is>
          <t>893412353</t>
        </is>
      </c>
    </row>
    <row r="738">
      <c r="A738" t="inlineStr">
        <is>
          <t>No</t>
        </is>
      </c>
      <c r="B738" t="inlineStr">
        <is>
          <t>GN470 .L6 1952a</t>
        </is>
      </c>
      <c r="C738" t="inlineStr">
        <is>
          <t>0                      GN 0470000L  6           1952a</t>
        </is>
      </c>
      <c r="D738" t="inlineStr">
        <is>
          <t>Primitive religion.</t>
        </is>
      </c>
      <c r="F738" t="inlineStr">
        <is>
          <t>No</t>
        </is>
      </c>
      <c r="G738" t="inlineStr">
        <is>
          <t>1</t>
        </is>
      </c>
      <c r="H738" t="inlineStr">
        <is>
          <t>No</t>
        </is>
      </c>
      <c r="I738" t="inlineStr">
        <is>
          <t>No</t>
        </is>
      </c>
      <c r="J738" t="inlineStr">
        <is>
          <t>0</t>
        </is>
      </c>
      <c r="K738" t="inlineStr">
        <is>
          <t>Lowie, Robert Harry, 1883-1957.</t>
        </is>
      </c>
      <c r="L738" t="inlineStr">
        <is>
          <t>New York, Liveright Pub. Corp. [c1952]</t>
        </is>
      </c>
      <c r="M738" t="inlineStr">
        <is>
          <t>1952</t>
        </is>
      </c>
      <c r="O738" t="inlineStr">
        <is>
          <t>eng</t>
        </is>
      </c>
      <c r="P738" t="inlineStr">
        <is>
          <t>nyu</t>
        </is>
      </c>
      <c r="Q738" t="inlineStr">
        <is>
          <t>Black and gold library</t>
        </is>
      </c>
      <c r="R738" t="inlineStr">
        <is>
          <t xml:space="preserve">GN </t>
        </is>
      </c>
      <c r="S738" t="n">
        <v>2</v>
      </c>
      <c r="T738" t="n">
        <v>2</v>
      </c>
      <c r="U738" t="inlineStr">
        <is>
          <t>2004-04-15</t>
        </is>
      </c>
      <c r="V738" t="inlineStr">
        <is>
          <t>2004-04-15</t>
        </is>
      </c>
      <c r="W738" t="inlineStr">
        <is>
          <t>1997-05-28</t>
        </is>
      </c>
      <c r="X738" t="inlineStr">
        <is>
          <t>1997-05-28</t>
        </is>
      </c>
      <c r="Y738" t="n">
        <v>236</v>
      </c>
      <c r="Z738" t="n">
        <v>196</v>
      </c>
      <c r="AA738" t="n">
        <v>1155</v>
      </c>
      <c r="AB738" t="n">
        <v>1</v>
      </c>
      <c r="AC738" t="n">
        <v>7</v>
      </c>
      <c r="AD738" t="n">
        <v>9</v>
      </c>
      <c r="AE738" t="n">
        <v>46</v>
      </c>
      <c r="AF738" t="n">
        <v>2</v>
      </c>
      <c r="AG738" t="n">
        <v>18</v>
      </c>
      <c r="AH738" t="n">
        <v>1</v>
      </c>
      <c r="AI738" t="n">
        <v>11</v>
      </c>
      <c r="AJ738" t="n">
        <v>6</v>
      </c>
      <c r="AK738" t="n">
        <v>23</v>
      </c>
      <c r="AL738" t="n">
        <v>0</v>
      </c>
      <c r="AM738" t="n">
        <v>6</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HYPERLINK("https://creighton-primo.hosted.exlibrisgroup.com/primo-explore/search?tab=default_tab&amp;search_scope=EVERYTHING&amp;vid=01CRU&amp;lang=en_US&amp;offset=0&amp;query=any,contains,991002860089702656","Catalog Record")</f>
        <v/>
      </c>
      <c r="AT738">
        <f>HYPERLINK("http://www.worldcat.org/oclc/492344","WorldCat Record")</f>
        <v/>
      </c>
      <c r="AU738" t="inlineStr">
        <is>
          <t>517545:eng</t>
        </is>
      </c>
      <c r="AV738" t="inlineStr">
        <is>
          <t>492344</t>
        </is>
      </c>
      <c r="AW738" t="inlineStr">
        <is>
          <t>991002860089702656</t>
        </is>
      </c>
      <c r="AX738" t="inlineStr">
        <is>
          <t>991002860089702656</t>
        </is>
      </c>
      <c r="AY738" t="inlineStr">
        <is>
          <t>2255339200002656</t>
        </is>
      </c>
      <c r="AZ738" t="inlineStr">
        <is>
          <t>BOOK</t>
        </is>
      </c>
      <c r="BC738" t="inlineStr">
        <is>
          <t>32285002695939</t>
        </is>
      </c>
      <c r="BD738" t="inlineStr">
        <is>
          <t>893704608</t>
        </is>
      </c>
    </row>
    <row r="739">
      <c r="A739" t="inlineStr">
        <is>
          <t>No</t>
        </is>
      </c>
      <c r="B739" t="inlineStr">
        <is>
          <t>GN470 .M48</t>
        </is>
      </c>
      <c r="C739" t="inlineStr">
        <is>
          <t>0                      GN 0470000M  48</t>
        </is>
      </c>
      <c r="D739" t="inlineStr">
        <is>
          <t>Gods and rituals; readings in religious beliefs and practices.</t>
        </is>
      </c>
      <c r="F739" t="inlineStr">
        <is>
          <t>No</t>
        </is>
      </c>
      <c r="G739" t="inlineStr">
        <is>
          <t>1</t>
        </is>
      </c>
      <c r="H739" t="inlineStr">
        <is>
          <t>No</t>
        </is>
      </c>
      <c r="I739" t="inlineStr">
        <is>
          <t>No</t>
        </is>
      </c>
      <c r="J739" t="inlineStr">
        <is>
          <t>0</t>
        </is>
      </c>
      <c r="K739" t="inlineStr">
        <is>
          <t>Middleton, John, 1921-2009, compiler.</t>
        </is>
      </c>
      <c r="L739" t="inlineStr">
        <is>
          <t>Garden City, N.Y., Published for the American Museum of Natural History [New York, by] the Natural History Press, 1967.</t>
        </is>
      </c>
      <c r="M739" t="inlineStr">
        <is>
          <t>1967</t>
        </is>
      </c>
      <c r="N739" t="inlineStr">
        <is>
          <t>[1st ed.]</t>
        </is>
      </c>
      <c r="O739" t="inlineStr">
        <is>
          <t>eng</t>
        </is>
      </c>
      <c r="P739" t="inlineStr">
        <is>
          <t>nyu</t>
        </is>
      </c>
      <c r="Q739" t="inlineStr">
        <is>
          <t>American Museum sourcebooks in anthropology</t>
        </is>
      </c>
      <c r="R739" t="inlineStr">
        <is>
          <t xml:space="preserve">GN </t>
        </is>
      </c>
      <c r="S739" t="n">
        <v>7</v>
      </c>
      <c r="T739" t="n">
        <v>7</v>
      </c>
      <c r="U739" t="inlineStr">
        <is>
          <t>1998-11-09</t>
        </is>
      </c>
      <c r="V739" t="inlineStr">
        <is>
          <t>1998-11-09</t>
        </is>
      </c>
      <c r="W739" t="inlineStr">
        <is>
          <t>1997-05-28</t>
        </is>
      </c>
      <c r="X739" t="inlineStr">
        <is>
          <t>1997-05-28</t>
        </is>
      </c>
      <c r="Y739" t="n">
        <v>1234</v>
      </c>
      <c r="Z739" t="n">
        <v>1080</v>
      </c>
      <c r="AA739" t="n">
        <v>1214</v>
      </c>
      <c r="AB739" t="n">
        <v>11</v>
      </c>
      <c r="AC739" t="n">
        <v>11</v>
      </c>
      <c r="AD739" t="n">
        <v>44</v>
      </c>
      <c r="AE739" t="n">
        <v>48</v>
      </c>
      <c r="AF739" t="n">
        <v>18</v>
      </c>
      <c r="AG739" t="n">
        <v>21</v>
      </c>
      <c r="AH739" t="n">
        <v>8</v>
      </c>
      <c r="AI739" t="n">
        <v>8</v>
      </c>
      <c r="AJ739" t="n">
        <v>21</v>
      </c>
      <c r="AK739" t="n">
        <v>22</v>
      </c>
      <c r="AL739" t="n">
        <v>9</v>
      </c>
      <c r="AM739" t="n">
        <v>9</v>
      </c>
      <c r="AN739" t="n">
        <v>0</v>
      </c>
      <c r="AO739" t="n">
        <v>0</v>
      </c>
      <c r="AP739" t="inlineStr">
        <is>
          <t>No</t>
        </is>
      </c>
      <c r="AQ739" t="inlineStr">
        <is>
          <t>Yes</t>
        </is>
      </c>
      <c r="AR739">
        <f>HYPERLINK("http://catalog.hathitrust.org/Record/001274794","HathiTrust Record")</f>
        <v/>
      </c>
      <c r="AS739">
        <f>HYPERLINK("https://creighton-primo.hosted.exlibrisgroup.com/primo-explore/search?tab=default_tab&amp;search_scope=EVERYTHING&amp;vid=01CRU&amp;lang=en_US&amp;offset=0&amp;query=any,contains,991002859579702656","Catalog Record")</f>
        <v/>
      </c>
      <c r="AT739">
        <f>HYPERLINK("http://www.worldcat.org/oclc/492110","WorldCat Record")</f>
        <v/>
      </c>
      <c r="AU739" t="inlineStr">
        <is>
          <t>287915866:eng</t>
        </is>
      </c>
      <c r="AV739" t="inlineStr">
        <is>
          <t>492110</t>
        </is>
      </c>
      <c r="AW739" t="inlineStr">
        <is>
          <t>991002859579702656</t>
        </is>
      </c>
      <c r="AX739" t="inlineStr">
        <is>
          <t>991002859579702656</t>
        </is>
      </c>
      <c r="AY739" t="inlineStr">
        <is>
          <t>2255253100002656</t>
        </is>
      </c>
      <c r="AZ739" t="inlineStr">
        <is>
          <t>BOOK</t>
        </is>
      </c>
      <c r="BC739" t="inlineStr">
        <is>
          <t>32285002695947</t>
        </is>
      </c>
      <c r="BD739" t="inlineStr">
        <is>
          <t>893445418</t>
        </is>
      </c>
    </row>
    <row r="740">
      <c r="A740" t="inlineStr">
        <is>
          <t>No</t>
        </is>
      </c>
      <c r="B740" t="inlineStr">
        <is>
          <t>GN471.4 .S622 1999</t>
        </is>
      </c>
      <c r="C740" t="inlineStr">
        <is>
          <t>0                      GN 0471400S  622         1999</t>
        </is>
      </c>
      <c r="D740" t="inlineStr">
        <is>
          <t>Selected writings / Franz Baermann Steiner ; edited and with an introduction by Jeremy Adler and Richard Fardon.</t>
        </is>
      </c>
      <c r="E740" t="inlineStr">
        <is>
          <t>V. 1</t>
        </is>
      </c>
      <c r="F740" t="inlineStr">
        <is>
          <t>Yes</t>
        </is>
      </c>
      <c r="G740" t="inlineStr">
        <is>
          <t>1</t>
        </is>
      </c>
      <c r="H740" t="inlineStr">
        <is>
          <t>No</t>
        </is>
      </c>
      <c r="I740" t="inlineStr">
        <is>
          <t>No</t>
        </is>
      </c>
      <c r="J740" t="inlineStr">
        <is>
          <t>0</t>
        </is>
      </c>
      <c r="K740" t="inlineStr">
        <is>
          <t>Steiner, Franz Baermann, 1909-1952.</t>
        </is>
      </c>
      <c r="L740" t="inlineStr">
        <is>
          <t>New York : Berghahn Books, 1999.</t>
        </is>
      </c>
      <c r="M740" t="inlineStr">
        <is>
          <t>1999</t>
        </is>
      </c>
      <c r="O740" t="inlineStr">
        <is>
          <t>eng</t>
        </is>
      </c>
      <c r="P740" t="inlineStr">
        <is>
          <t>nyu</t>
        </is>
      </c>
      <c r="Q740" t="inlineStr">
        <is>
          <t>Methodology and history in anthropology ; v. 2-3</t>
        </is>
      </c>
      <c r="R740" t="inlineStr">
        <is>
          <t xml:space="preserve">GN </t>
        </is>
      </c>
      <c r="S740" t="n">
        <v>5</v>
      </c>
      <c r="T740" t="n">
        <v>5</v>
      </c>
      <c r="U740" t="inlineStr">
        <is>
          <t>2006-09-28</t>
        </is>
      </c>
      <c r="V740" t="inlineStr">
        <is>
          <t>2006-09-28</t>
        </is>
      </c>
      <c r="W740" t="inlineStr">
        <is>
          <t>2006-02-06</t>
        </is>
      </c>
      <c r="X740" t="inlineStr">
        <is>
          <t>2006-02-06</t>
        </is>
      </c>
      <c r="Y740" t="n">
        <v>240</v>
      </c>
      <c r="Z740" t="n">
        <v>170</v>
      </c>
      <c r="AA740" t="n">
        <v>171</v>
      </c>
      <c r="AB740" t="n">
        <v>2</v>
      </c>
      <c r="AC740" t="n">
        <v>2</v>
      </c>
      <c r="AD740" t="n">
        <v>9</v>
      </c>
      <c r="AE740" t="n">
        <v>9</v>
      </c>
      <c r="AF740" t="n">
        <v>1</v>
      </c>
      <c r="AG740" t="n">
        <v>1</v>
      </c>
      <c r="AH740" t="n">
        <v>5</v>
      </c>
      <c r="AI740" t="n">
        <v>5</v>
      </c>
      <c r="AJ740" t="n">
        <v>5</v>
      </c>
      <c r="AK740" t="n">
        <v>5</v>
      </c>
      <c r="AL740" t="n">
        <v>1</v>
      </c>
      <c r="AM740" t="n">
        <v>1</v>
      </c>
      <c r="AN740" t="n">
        <v>0</v>
      </c>
      <c r="AO740" t="n">
        <v>0</v>
      </c>
      <c r="AP740" t="inlineStr">
        <is>
          <t>No</t>
        </is>
      </c>
      <c r="AQ740" t="inlineStr">
        <is>
          <t>Yes</t>
        </is>
      </c>
      <c r="AR740">
        <f>HYPERLINK("http://catalog.hathitrust.org/Record/004066989","HathiTrust Record")</f>
        <v/>
      </c>
      <c r="AS740">
        <f>HYPERLINK("https://creighton-primo.hosted.exlibrisgroup.com/primo-explore/search?tab=default_tab&amp;search_scope=EVERYTHING&amp;vid=01CRU&amp;lang=en_US&amp;offset=0&amp;query=any,contains,991004716809702656","Catalog Record")</f>
        <v/>
      </c>
      <c r="AT740">
        <f>HYPERLINK("http://www.worldcat.org/oclc/41310207","WorldCat Record")</f>
        <v/>
      </c>
      <c r="AU740" t="inlineStr">
        <is>
          <t>255568846:eng</t>
        </is>
      </c>
      <c r="AV740" t="inlineStr">
        <is>
          <t>41310207</t>
        </is>
      </c>
      <c r="AW740" t="inlineStr">
        <is>
          <t>991004716809702656</t>
        </is>
      </c>
      <c r="AX740" t="inlineStr">
        <is>
          <t>991004716809702656</t>
        </is>
      </c>
      <c r="AY740" t="inlineStr">
        <is>
          <t>2265139730002656</t>
        </is>
      </c>
      <c r="AZ740" t="inlineStr">
        <is>
          <t>BOOK</t>
        </is>
      </c>
      <c r="BB740" t="inlineStr">
        <is>
          <t>9781571817112</t>
        </is>
      </c>
      <c r="BC740" t="inlineStr">
        <is>
          <t>32285005157150</t>
        </is>
      </c>
      <c r="BD740" t="inlineStr">
        <is>
          <t>893901673</t>
        </is>
      </c>
    </row>
    <row r="741">
      <c r="A741" t="inlineStr">
        <is>
          <t>No</t>
        </is>
      </c>
      <c r="B741" t="inlineStr">
        <is>
          <t>GN472 .B65 1998</t>
        </is>
      </c>
      <c r="C741" t="inlineStr">
        <is>
          <t>0                      GN 0472000B  65          1998</t>
        </is>
      </c>
      <c r="D741" t="inlineStr">
        <is>
          <t>Border fetishisms : material objects in unstable spaces / edited by Patricia Spyer.</t>
        </is>
      </c>
      <c r="F741" t="inlineStr">
        <is>
          <t>No</t>
        </is>
      </c>
      <c r="G741" t="inlineStr">
        <is>
          <t>1</t>
        </is>
      </c>
      <c r="H741" t="inlineStr">
        <is>
          <t>No</t>
        </is>
      </c>
      <c r="I741" t="inlineStr">
        <is>
          <t>No</t>
        </is>
      </c>
      <c r="J741" t="inlineStr">
        <is>
          <t>0</t>
        </is>
      </c>
      <c r="L741" t="inlineStr">
        <is>
          <t>New York : Routledge, 1998.</t>
        </is>
      </c>
      <c r="M741" t="inlineStr">
        <is>
          <t>1998</t>
        </is>
      </c>
      <c r="O741" t="inlineStr">
        <is>
          <t>eng</t>
        </is>
      </c>
      <c r="P741" t="inlineStr">
        <is>
          <t>nyu</t>
        </is>
      </c>
      <c r="Q741" t="inlineStr">
        <is>
          <t>Zones of religion</t>
        </is>
      </c>
      <c r="R741" t="inlineStr">
        <is>
          <t xml:space="preserve">GN </t>
        </is>
      </c>
      <c r="S741" t="n">
        <v>1</v>
      </c>
      <c r="T741" t="n">
        <v>1</v>
      </c>
      <c r="U741" t="inlineStr">
        <is>
          <t>2004-07-19</t>
        </is>
      </c>
      <c r="V741" t="inlineStr">
        <is>
          <t>2004-07-19</t>
        </is>
      </c>
      <c r="W741" t="inlineStr">
        <is>
          <t>1999-08-31</t>
        </is>
      </c>
      <c r="X741" t="inlineStr">
        <is>
          <t>1999-08-31</t>
        </is>
      </c>
      <c r="Y741" t="n">
        <v>249</v>
      </c>
      <c r="Z741" t="n">
        <v>146</v>
      </c>
      <c r="AA741" t="n">
        <v>172</v>
      </c>
      <c r="AB741" t="n">
        <v>2</v>
      </c>
      <c r="AC741" t="n">
        <v>2</v>
      </c>
      <c r="AD741" t="n">
        <v>4</v>
      </c>
      <c r="AE741" t="n">
        <v>4</v>
      </c>
      <c r="AF741" t="n">
        <v>2</v>
      </c>
      <c r="AG741" t="n">
        <v>2</v>
      </c>
      <c r="AH741" t="n">
        <v>0</v>
      </c>
      <c r="AI741" t="n">
        <v>0</v>
      </c>
      <c r="AJ741" t="n">
        <v>2</v>
      </c>
      <c r="AK741" t="n">
        <v>2</v>
      </c>
      <c r="AL741" t="n">
        <v>1</v>
      </c>
      <c r="AM741" t="n">
        <v>1</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HYPERLINK("https://creighton-primo.hosted.exlibrisgroup.com/primo-explore/search?tab=default_tab&amp;search_scope=EVERYTHING&amp;vid=01CRU&amp;lang=en_US&amp;offset=0&amp;query=any,contains,991002818589702656","Catalog Record")</f>
        <v/>
      </c>
      <c r="AT741">
        <f>HYPERLINK("http://www.worldcat.org/oclc/37024820","WorldCat Record")</f>
        <v/>
      </c>
      <c r="AU741" t="inlineStr">
        <is>
          <t>836966280:eng</t>
        </is>
      </c>
      <c r="AV741" t="inlineStr">
        <is>
          <t>37024820</t>
        </is>
      </c>
      <c r="AW741" t="inlineStr">
        <is>
          <t>991002818589702656</t>
        </is>
      </c>
      <c r="AX741" t="inlineStr">
        <is>
          <t>991002818589702656</t>
        </is>
      </c>
      <c r="AY741" t="inlineStr">
        <is>
          <t>2269105950002656</t>
        </is>
      </c>
      <c r="AZ741" t="inlineStr">
        <is>
          <t>BOOK</t>
        </is>
      </c>
      <c r="BB741" t="inlineStr">
        <is>
          <t>9780415918565</t>
        </is>
      </c>
      <c r="BC741" t="inlineStr">
        <is>
          <t>32285003585311</t>
        </is>
      </c>
      <c r="BD741" t="inlineStr">
        <is>
          <t>893792957</t>
        </is>
      </c>
    </row>
    <row r="742">
      <c r="A742" t="inlineStr">
        <is>
          <t>No</t>
        </is>
      </c>
      <c r="B742" t="inlineStr">
        <is>
          <t>GN473 .G75 1985</t>
        </is>
      </c>
      <c r="C742" t="inlineStr">
        <is>
          <t>0                      GN 0473000G  75          1985</t>
        </is>
      </c>
      <c r="D742" t="inlineStr">
        <is>
          <t>Research in ritual studies : a programmatic essay and bibliography / by Ronald L. Grimes.</t>
        </is>
      </c>
      <c r="F742" t="inlineStr">
        <is>
          <t>No</t>
        </is>
      </c>
      <c r="G742" t="inlineStr">
        <is>
          <t>1</t>
        </is>
      </c>
      <c r="H742" t="inlineStr">
        <is>
          <t>No</t>
        </is>
      </c>
      <c r="I742" t="inlineStr">
        <is>
          <t>No</t>
        </is>
      </c>
      <c r="J742" t="inlineStr">
        <is>
          <t>0</t>
        </is>
      </c>
      <c r="K742" t="inlineStr">
        <is>
          <t>Grimes, Ronald L., 1943-</t>
        </is>
      </c>
      <c r="L742" t="inlineStr">
        <is>
          <t>[Chicago] : American Theological Library Association ; Metuchen, N.J. : Scarecrow Press, 1985.</t>
        </is>
      </c>
      <c r="M742" t="inlineStr">
        <is>
          <t>1985</t>
        </is>
      </c>
      <c r="O742" t="inlineStr">
        <is>
          <t>eng</t>
        </is>
      </c>
      <c r="P742" t="inlineStr">
        <is>
          <t>ilu</t>
        </is>
      </c>
      <c r="Q742" t="inlineStr">
        <is>
          <t>ATLA bibliography series ; no. 14</t>
        </is>
      </c>
      <c r="R742" t="inlineStr">
        <is>
          <t xml:space="preserve">GN </t>
        </is>
      </c>
      <c r="S742" t="n">
        <v>7</v>
      </c>
      <c r="T742" t="n">
        <v>7</v>
      </c>
      <c r="U742" t="inlineStr">
        <is>
          <t>2006-07-15</t>
        </is>
      </c>
      <c r="V742" t="inlineStr">
        <is>
          <t>2006-07-15</t>
        </is>
      </c>
      <c r="W742" t="inlineStr">
        <is>
          <t>1990-09-26</t>
        </is>
      </c>
      <c r="X742" t="inlineStr">
        <is>
          <t>1990-09-26</t>
        </is>
      </c>
      <c r="Y742" t="n">
        <v>416</v>
      </c>
      <c r="Z742" t="n">
        <v>349</v>
      </c>
      <c r="AA742" t="n">
        <v>350</v>
      </c>
      <c r="AB742" t="n">
        <v>2</v>
      </c>
      <c r="AC742" t="n">
        <v>2</v>
      </c>
      <c r="AD742" t="n">
        <v>17</v>
      </c>
      <c r="AE742" t="n">
        <v>17</v>
      </c>
      <c r="AF742" t="n">
        <v>5</v>
      </c>
      <c r="AG742" t="n">
        <v>5</v>
      </c>
      <c r="AH742" t="n">
        <v>5</v>
      </c>
      <c r="AI742" t="n">
        <v>5</v>
      </c>
      <c r="AJ742" t="n">
        <v>10</v>
      </c>
      <c r="AK742" t="n">
        <v>10</v>
      </c>
      <c r="AL742" t="n">
        <v>1</v>
      </c>
      <c r="AM742" t="n">
        <v>1</v>
      </c>
      <c r="AN742" t="n">
        <v>0</v>
      </c>
      <c r="AO742" t="n">
        <v>0</v>
      </c>
      <c r="AP742" t="inlineStr">
        <is>
          <t>No</t>
        </is>
      </c>
      <c r="AQ742" t="inlineStr">
        <is>
          <t>Yes</t>
        </is>
      </c>
      <c r="AR742">
        <f>HYPERLINK("http://catalog.hathitrust.org/Record/000569902","HathiTrust Record")</f>
        <v/>
      </c>
      <c r="AS742">
        <f>HYPERLINK("https://creighton-primo.hosted.exlibrisgroup.com/primo-explore/search?tab=default_tab&amp;search_scope=EVERYTHING&amp;vid=01CRU&amp;lang=en_US&amp;offset=0&amp;query=any,contains,991000518559702656","Catalog Record")</f>
        <v/>
      </c>
      <c r="AT742">
        <f>HYPERLINK("http://www.worldcat.org/oclc/11315665","WorldCat Record")</f>
        <v/>
      </c>
      <c r="AU742" t="inlineStr">
        <is>
          <t>836682592:eng</t>
        </is>
      </c>
      <c r="AV742" t="inlineStr">
        <is>
          <t>11315665</t>
        </is>
      </c>
      <c r="AW742" t="inlineStr">
        <is>
          <t>991000518559702656</t>
        </is>
      </c>
      <c r="AX742" t="inlineStr">
        <is>
          <t>991000518559702656</t>
        </is>
      </c>
      <c r="AY742" t="inlineStr">
        <is>
          <t>2258850690002656</t>
        </is>
      </c>
      <c r="AZ742" t="inlineStr">
        <is>
          <t>BOOK</t>
        </is>
      </c>
      <c r="BB742" t="inlineStr">
        <is>
          <t>9780810817623</t>
        </is>
      </c>
      <c r="BC742" t="inlineStr">
        <is>
          <t>32285000316470</t>
        </is>
      </c>
      <c r="BD742" t="inlineStr">
        <is>
          <t>893345737</t>
        </is>
      </c>
    </row>
    <row r="743">
      <c r="A743" t="inlineStr">
        <is>
          <t>No</t>
        </is>
      </c>
      <c r="B743" t="inlineStr">
        <is>
          <t>GN473 .G75 2006</t>
        </is>
      </c>
      <c r="C743" t="inlineStr">
        <is>
          <t>0                      GN 0473000G  75          2006</t>
        </is>
      </c>
      <c r="D743" t="inlineStr">
        <is>
          <t>Rite out of place : ritual, media, and the arts / Ronald L. Grimes.</t>
        </is>
      </c>
      <c r="F743" t="inlineStr">
        <is>
          <t>No</t>
        </is>
      </c>
      <c r="G743" t="inlineStr">
        <is>
          <t>1</t>
        </is>
      </c>
      <c r="H743" t="inlineStr">
        <is>
          <t>No</t>
        </is>
      </c>
      <c r="I743" t="inlineStr">
        <is>
          <t>No</t>
        </is>
      </c>
      <c r="J743" t="inlineStr">
        <is>
          <t>0</t>
        </is>
      </c>
      <c r="K743" t="inlineStr">
        <is>
          <t>Grimes, Ronald L., 1943-</t>
        </is>
      </c>
      <c r="L743" t="inlineStr">
        <is>
          <t>Oxford ; New York : Oxford University Press, 2006.</t>
        </is>
      </c>
      <c r="M743" t="inlineStr">
        <is>
          <t>2006</t>
        </is>
      </c>
      <c r="O743" t="inlineStr">
        <is>
          <t>eng</t>
        </is>
      </c>
      <c r="P743" t="inlineStr">
        <is>
          <t>enk</t>
        </is>
      </c>
      <c r="R743" t="inlineStr">
        <is>
          <t xml:space="preserve">GN </t>
        </is>
      </c>
      <c r="S743" t="n">
        <v>1</v>
      </c>
      <c r="T743" t="n">
        <v>1</v>
      </c>
      <c r="U743" t="inlineStr">
        <is>
          <t>2008-10-30</t>
        </is>
      </c>
      <c r="V743" t="inlineStr">
        <is>
          <t>2008-10-30</t>
        </is>
      </c>
      <c r="W743" t="inlineStr">
        <is>
          <t>2008-10-30</t>
        </is>
      </c>
      <c r="X743" t="inlineStr">
        <is>
          <t>2008-10-30</t>
        </is>
      </c>
      <c r="Y743" t="n">
        <v>320</v>
      </c>
      <c r="Z743" t="n">
        <v>239</v>
      </c>
      <c r="AA743" t="n">
        <v>817</v>
      </c>
      <c r="AB743" t="n">
        <v>2</v>
      </c>
      <c r="AC743" t="n">
        <v>13</v>
      </c>
      <c r="AD743" t="n">
        <v>12</v>
      </c>
      <c r="AE743" t="n">
        <v>36</v>
      </c>
      <c r="AF743" t="n">
        <v>5</v>
      </c>
      <c r="AG743" t="n">
        <v>11</v>
      </c>
      <c r="AH743" t="n">
        <v>4</v>
      </c>
      <c r="AI743" t="n">
        <v>9</v>
      </c>
      <c r="AJ743" t="n">
        <v>7</v>
      </c>
      <c r="AK743" t="n">
        <v>12</v>
      </c>
      <c r="AL743" t="n">
        <v>1</v>
      </c>
      <c r="AM743" t="n">
        <v>10</v>
      </c>
      <c r="AN743" t="n">
        <v>0</v>
      </c>
      <c r="AO743" t="n">
        <v>1</v>
      </c>
      <c r="AP743" t="inlineStr">
        <is>
          <t>No</t>
        </is>
      </c>
      <c r="AQ743" t="inlineStr">
        <is>
          <t>Yes</t>
        </is>
      </c>
      <c r="AR743">
        <f>HYPERLINK("http://catalog.hathitrust.org/Record/005262650","HathiTrust Record")</f>
        <v/>
      </c>
      <c r="AS743">
        <f>HYPERLINK("https://creighton-primo.hosted.exlibrisgroup.com/primo-explore/search?tab=default_tab&amp;search_scope=EVERYTHING&amp;vid=01CRU&amp;lang=en_US&amp;offset=0&amp;query=any,contains,991005272389702656","Catalog Record")</f>
        <v/>
      </c>
      <c r="AT743">
        <f>HYPERLINK("http://www.worldcat.org/oclc/61703842","WorldCat Record")</f>
        <v/>
      </c>
      <c r="AU743" t="inlineStr">
        <is>
          <t>794241924:eng</t>
        </is>
      </c>
      <c r="AV743" t="inlineStr">
        <is>
          <t>61703842</t>
        </is>
      </c>
      <c r="AW743" t="inlineStr">
        <is>
          <t>991005272389702656</t>
        </is>
      </c>
      <c r="AX743" t="inlineStr">
        <is>
          <t>991005272389702656</t>
        </is>
      </c>
      <c r="AY743" t="inlineStr">
        <is>
          <t>2259292450002656</t>
        </is>
      </c>
      <c r="AZ743" t="inlineStr">
        <is>
          <t>BOOK</t>
        </is>
      </c>
      <c r="BB743" t="inlineStr">
        <is>
          <t>9780195301441</t>
        </is>
      </c>
      <c r="BC743" t="inlineStr">
        <is>
          <t>32285005465587</t>
        </is>
      </c>
      <c r="BD743" t="inlineStr">
        <is>
          <t>893902403</t>
        </is>
      </c>
    </row>
    <row r="744">
      <c r="A744" t="inlineStr">
        <is>
          <t>No</t>
        </is>
      </c>
      <c r="B744" t="inlineStr">
        <is>
          <t>GN473 .R4 1975</t>
        </is>
      </c>
      <c r="C744" t="inlineStr">
        <is>
          <t>0                      GN 0473000R  4           1975</t>
        </is>
      </c>
      <c r="D744" t="inlineStr">
        <is>
          <t>Ritual : psycho-analytic studies / by Theodor Reik ; with a preface by Sigm. Freud ; translated from the 2d German ed. by Douglas Bryan.</t>
        </is>
      </c>
      <c r="F744" t="inlineStr">
        <is>
          <t>No</t>
        </is>
      </c>
      <c r="G744" t="inlineStr">
        <is>
          <t>1</t>
        </is>
      </c>
      <c r="H744" t="inlineStr">
        <is>
          <t>No</t>
        </is>
      </c>
      <c r="I744" t="inlineStr">
        <is>
          <t>No</t>
        </is>
      </c>
      <c r="J744" t="inlineStr">
        <is>
          <t>0</t>
        </is>
      </c>
      <c r="K744" t="inlineStr">
        <is>
          <t>Reik, Theodor, 1888-1969.</t>
        </is>
      </c>
      <c r="L744" t="inlineStr">
        <is>
          <t>Westport, Conn. : Greenwood Press, 1975, c1946.</t>
        </is>
      </c>
      <c r="M744" t="inlineStr">
        <is>
          <t>1975</t>
        </is>
      </c>
      <c r="O744" t="inlineStr">
        <is>
          <t>eng</t>
        </is>
      </c>
      <c r="P744" t="inlineStr">
        <is>
          <t>ctu</t>
        </is>
      </c>
      <c r="R744" t="inlineStr">
        <is>
          <t xml:space="preserve">GN </t>
        </is>
      </c>
      <c r="S744" t="n">
        <v>3</v>
      </c>
      <c r="T744" t="n">
        <v>3</v>
      </c>
      <c r="U744" t="inlineStr">
        <is>
          <t>2001-11-10</t>
        </is>
      </c>
      <c r="V744" t="inlineStr">
        <is>
          <t>2001-11-10</t>
        </is>
      </c>
      <c r="W744" t="inlineStr">
        <is>
          <t>1997-05-28</t>
        </is>
      </c>
      <c r="X744" t="inlineStr">
        <is>
          <t>1997-05-28</t>
        </is>
      </c>
      <c r="Y744" t="n">
        <v>119</v>
      </c>
      <c r="Z744" t="n">
        <v>99</v>
      </c>
      <c r="AA744" t="n">
        <v>439</v>
      </c>
      <c r="AB744" t="n">
        <v>1</v>
      </c>
      <c r="AC744" t="n">
        <v>3</v>
      </c>
      <c r="AD744" t="n">
        <v>4</v>
      </c>
      <c r="AE744" t="n">
        <v>16</v>
      </c>
      <c r="AF744" t="n">
        <v>1</v>
      </c>
      <c r="AG744" t="n">
        <v>4</v>
      </c>
      <c r="AH744" t="n">
        <v>1</v>
      </c>
      <c r="AI744" t="n">
        <v>5</v>
      </c>
      <c r="AJ744" t="n">
        <v>4</v>
      </c>
      <c r="AK744" t="n">
        <v>10</v>
      </c>
      <c r="AL744" t="n">
        <v>0</v>
      </c>
      <c r="AM744" t="n">
        <v>2</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HYPERLINK("https://creighton-primo.hosted.exlibrisgroup.com/primo-explore/search?tab=default_tab&amp;search_scope=EVERYTHING&amp;vid=01CRU&amp;lang=en_US&amp;offset=0&amp;query=any,contains,991003876759702656","Catalog Record")</f>
        <v/>
      </c>
      <c r="AT744">
        <f>HYPERLINK("http://www.worldcat.org/oclc/1708376","WorldCat Record")</f>
        <v/>
      </c>
      <c r="AU744" t="inlineStr">
        <is>
          <t>1588720:eng</t>
        </is>
      </c>
      <c r="AV744" t="inlineStr">
        <is>
          <t>1708376</t>
        </is>
      </c>
      <c r="AW744" t="inlineStr">
        <is>
          <t>991003876759702656</t>
        </is>
      </c>
      <c r="AX744" t="inlineStr">
        <is>
          <t>991003876759702656</t>
        </is>
      </c>
      <c r="AY744" t="inlineStr">
        <is>
          <t>2268228670002656</t>
        </is>
      </c>
      <c r="AZ744" t="inlineStr">
        <is>
          <t>BOOK</t>
        </is>
      </c>
      <c r="BB744" t="inlineStr">
        <is>
          <t>9780837168142</t>
        </is>
      </c>
      <c r="BC744" t="inlineStr">
        <is>
          <t>32285002695970</t>
        </is>
      </c>
      <c r="BD744" t="inlineStr">
        <is>
          <t>893800276</t>
        </is>
      </c>
    </row>
    <row r="745">
      <c r="A745" t="inlineStr">
        <is>
          <t>No</t>
        </is>
      </c>
      <c r="B745" t="inlineStr">
        <is>
          <t>GN473.5 .J38 1992</t>
        </is>
      </c>
      <c r="C745" t="inlineStr">
        <is>
          <t>0                      GN 0473500J  38          1992</t>
        </is>
      </c>
      <c r="D745" t="inlineStr">
        <is>
          <t>Throughout your generations forever : sacrifice, religion, and paternity / Nancy Jay ; foreword by Karen E. Fields.</t>
        </is>
      </c>
      <c r="F745" t="inlineStr">
        <is>
          <t>No</t>
        </is>
      </c>
      <c r="G745" t="inlineStr">
        <is>
          <t>1</t>
        </is>
      </c>
      <c r="H745" t="inlineStr">
        <is>
          <t>No</t>
        </is>
      </c>
      <c r="I745" t="inlineStr">
        <is>
          <t>No</t>
        </is>
      </c>
      <c r="J745" t="inlineStr">
        <is>
          <t>0</t>
        </is>
      </c>
      <c r="K745" t="inlineStr">
        <is>
          <t>Jay, Nancy B.</t>
        </is>
      </c>
      <c r="L745" t="inlineStr">
        <is>
          <t>Chicago : University of Chicago Press, 1992.</t>
        </is>
      </c>
      <c r="M745" t="inlineStr">
        <is>
          <t>1992</t>
        </is>
      </c>
      <c r="O745" t="inlineStr">
        <is>
          <t>eng</t>
        </is>
      </c>
      <c r="P745" t="inlineStr">
        <is>
          <t>ilu</t>
        </is>
      </c>
      <c r="R745" t="inlineStr">
        <is>
          <t xml:space="preserve">GN </t>
        </is>
      </c>
      <c r="S745" t="n">
        <v>6</v>
      </c>
      <c r="T745" t="n">
        <v>6</v>
      </c>
      <c r="U745" t="inlineStr">
        <is>
          <t>2001-11-10</t>
        </is>
      </c>
      <c r="V745" t="inlineStr">
        <is>
          <t>2001-11-10</t>
        </is>
      </c>
      <c r="W745" t="inlineStr">
        <is>
          <t>1994-10-21</t>
        </is>
      </c>
      <c r="X745" t="inlineStr">
        <is>
          <t>1994-10-21</t>
        </is>
      </c>
      <c r="Y745" t="n">
        <v>482</v>
      </c>
      <c r="Z745" t="n">
        <v>390</v>
      </c>
      <c r="AA745" t="n">
        <v>399</v>
      </c>
      <c r="AB745" t="n">
        <v>5</v>
      </c>
      <c r="AC745" t="n">
        <v>5</v>
      </c>
      <c r="AD745" t="n">
        <v>26</v>
      </c>
      <c r="AE745" t="n">
        <v>27</v>
      </c>
      <c r="AF745" t="n">
        <v>8</v>
      </c>
      <c r="AG745" t="n">
        <v>9</v>
      </c>
      <c r="AH745" t="n">
        <v>7</v>
      </c>
      <c r="AI745" t="n">
        <v>7</v>
      </c>
      <c r="AJ745" t="n">
        <v>12</v>
      </c>
      <c r="AK745" t="n">
        <v>12</v>
      </c>
      <c r="AL745" t="n">
        <v>4</v>
      </c>
      <c r="AM745" t="n">
        <v>4</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HYPERLINK("https://creighton-primo.hosted.exlibrisgroup.com/primo-explore/search?tab=default_tab&amp;search_scope=EVERYTHING&amp;vid=01CRU&amp;lang=en_US&amp;offset=0&amp;query=any,contains,991001946159702656","Catalog Record")</f>
        <v/>
      </c>
      <c r="AT745">
        <f>HYPERLINK("http://www.worldcat.org/oclc/24590354","WorldCat Record")</f>
        <v/>
      </c>
      <c r="AU745" t="inlineStr">
        <is>
          <t>496815694:eng</t>
        </is>
      </c>
      <c r="AV745" t="inlineStr">
        <is>
          <t>24590354</t>
        </is>
      </c>
      <c r="AW745" t="inlineStr">
        <is>
          <t>991001946159702656</t>
        </is>
      </c>
      <c r="AX745" t="inlineStr">
        <is>
          <t>991001946159702656</t>
        </is>
      </c>
      <c r="AY745" t="inlineStr">
        <is>
          <t>2272770070002656</t>
        </is>
      </c>
      <c r="AZ745" t="inlineStr">
        <is>
          <t>BOOK</t>
        </is>
      </c>
      <c r="BB745" t="inlineStr">
        <is>
          <t>9780226395722</t>
        </is>
      </c>
      <c r="BC745" t="inlineStr">
        <is>
          <t>32285001955227</t>
        </is>
      </c>
      <c r="BD745" t="inlineStr">
        <is>
          <t>893250641</t>
        </is>
      </c>
    </row>
    <row r="746">
      <c r="A746" t="inlineStr">
        <is>
          <t>No</t>
        </is>
      </c>
      <c r="B746" t="inlineStr">
        <is>
          <t>GN475.9 .L5</t>
        </is>
      </c>
      <c r="C746" t="inlineStr">
        <is>
          <t>0                      GN 0475900L  5</t>
        </is>
      </c>
      <c r="D746" t="inlineStr">
        <is>
          <t>Cebuano sorcery; malign magic in the Philippines [by] Richard W. Lieban.</t>
        </is>
      </c>
      <c r="F746" t="inlineStr">
        <is>
          <t>No</t>
        </is>
      </c>
      <c r="G746" t="inlineStr">
        <is>
          <t>1</t>
        </is>
      </c>
      <c r="H746" t="inlineStr">
        <is>
          <t>No</t>
        </is>
      </c>
      <c r="I746" t="inlineStr">
        <is>
          <t>No</t>
        </is>
      </c>
      <c r="J746" t="inlineStr">
        <is>
          <t>0</t>
        </is>
      </c>
      <c r="K746" t="inlineStr">
        <is>
          <t>Lieban, Richard Warren.</t>
        </is>
      </c>
      <c r="L746" t="inlineStr">
        <is>
          <t>Berkeley, University of California Press, 1967.</t>
        </is>
      </c>
      <c r="M746" t="inlineStr">
        <is>
          <t>1967</t>
        </is>
      </c>
      <c r="O746" t="inlineStr">
        <is>
          <t>eng</t>
        </is>
      </c>
      <c r="P746" t="inlineStr">
        <is>
          <t>cau</t>
        </is>
      </c>
      <c r="R746" t="inlineStr">
        <is>
          <t xml:space="preserve">GN </t>
        </is>
      </c>
      <c r="S746" t="n">
        <v>2</v>
      </c>
      <c r="T746" t="n">
        <v>2</v>
      </c>
      <c r="U746" t="inlineStr">
        <is>
          <t>1998-03-30</t>
        </is>
      </c>
      <c r="V746" t="inlineStr">
        <is>
          <t>1998-03-30</t>
        </is>
      </c>
      <c r="W746" t="inlineStr">
        <is>
          <t>1997-05-28</t>
        </is>
      </c>
      <c r="X746" t="inlineStr">
        <is>
          <t>1997-05-28</t>
        </is>
      </c>
      <c r="Y746" t="n">
        <v>529</v>
      </c>
      <c r="Z746" t="n">
        <v>422</v>
      </c>
      <c r="AA746" t="n">
        <v>443</v>
      </c>
      <c r="AB746" t="n">
        <v>6</v>
      </c>
      <c r="AC746" t="n">
        <v>6</v>
      </c>
      <c r="AD746" t="n">
        <v>15</v>
      </c>
      <c r="AE746" t="n">
        <v>16</v>
      </c>
      <c r="AF746" t="n">
        <v>1</v>
      </c>
      <c r="AG746" t="n">
        <v>1</v>
      </c>
      <c r="AH746" t="n">
        <v>2</v>
      </c>
      <c r="AI746" t="n">
        <v>3</v>
      </c>
      <c r="AJ746" t="n">
        <v>8</v>
      </c>
      <c r="AK746" t="n">
        <v>9</v>
      </c>
      <c r="AL746" t="n">
        <v>5</v>
      </c>
      <c r="AM746" t="n">
        <v>5</v>
      </c>
      <c r="AN746" t="n">
        <v>0</v>
      </c>
      <c r="AO746" t="n">
        <v>0</v>
      </c>
      <c r="AP746" t="inlineStr">
        <is>
          <t>No</t>
        </is>
      </c>
      <c r="AQ746" t="inlineStr">
        <is>
          <t>Yes</t>
        </is>
      </c>
      <c r="AR746">
        <f>HYPERLINK("http://catalog.hathitrust.org/Record/000716640","HathiTrust Record")</f>
        <v/>
      </c>
      <c r="AS746">
        <f>HYPERLINK("https://creighton-primo.hosted.exlibrisgroup.com/primo-explore/search?tab=default_tab&amp;search_scope=EVERYTHING&amp;vid=01CRU&amp;lang=en_US&amp;offset=0&amp;query=any,contains,991003960099702656","Catalog Record")</f>
        <v/>
      </c>
      <c r="AT746">
        <f>HYPERLINK("http://www.worldcat.org/oclc/1974848","WorldCat Record")</f>
        <v/>
      </c>
      <c r="AU746" t="inlineStr">
        <is>
          <t>2730999:eng</t>
        </is>
      </c>
      <c r="AV746" t="inlineStr">
        <is>
          <t>1974848</t>
        </is>
      </c>
      <c r="AW746" t="inlineStr">
        <is>
          <t>991003960099702656</t>
        </is>
      </c>
      <c r="AX746" t="inlineStr">
        <is>
          <t>991003960099702656</t>
        </is>
      </c>
      <c r="AY746" t="inlineStr">
        <is>
          <t>2262912720002656</t>
        </is>
      </c>
      <c r="AZ746" t="inlineStr">
        <is>
          <t>BOOK</t>
        </is>
      </c>
      <c r="BC746" t="inlineStr">
        <is>
          <t>32285002695988</t>
        </is>
      </c>
      <c r="BD746" t="inlineStr">
        <is>
          <t>893781691</t>
        </is>
      </c>
    </row>
    <row r="747">
      <c r="A747" t="inlineStr">
        <is>
          <t>No</t>
        </is>
      </c>
      <c r="B747" t="inlineStr">
        <is>
          <t>GN476 .O5 2001</t>
        </is>
      </c>
      <c r="C747" t="inlineStr">
        <is>
          <t>0                      GN 0476000O  5           2001</t>
        </is>
      </c>
      <c r="D747" t="inlineStr">
        <is>
          <t>On biocultural diversity : linking language, knowledge, and the environment / edited by Luisa Maffi.</t>
        </is>
      </c>
      <c r="F747" t="inlineStr">
        <is>
          <t>No</t>
        </is>
      </c>
      <c r="G747" t="inlineStr">
        <is>
          <t>1</t>
        </is>
      </c>
      <c r="H747" t="inlineStr">
        <is>
          <t>No</t>
        </is>
      </c>
      <c r="I747" t="inlineStr">
        <is>
          <t>No</t>
        </is>
      </c>
      <c r="J747" t="inlineStr">
        <is>
          <t>0</t>
        </is>
      </c>
      <c r="L747" t="inlineStr">
        <is>
          <t>Washington, [D.C.] : Smithsonian Institution Press, c2001.</t>
        </is>
      </c>
      <c r="M747" t="inlineStr">
        <is>
          <t>2001</t>
        </is>
      </c>
      <c r="O747" t="inlineStr">
        <is>
          <t>eng</t>
        </is>
      </c>
      <c r="P747" t="inlineStr">
        <is>
          <t>dcu</t>
        </is>
      </c>
      <c r="R747" t="inlineStr">
        <is>
          <t xml:space="preserve">GN </t>
        </is>
      </c>
      <c r="S747" t="n">
        <v>1</v>
      </c>
      <c r="T747" t="n">
        <v>1</v>
      </c>
      <c r="U747" t="inlineStr">
        <is>
          <t>2001-09-27</t>
        </is>
      </c>
      <c r="V747" t="inlineStr">
        <is>
          <t>2001-09-27</t>
        </is>
      </c>
      <c r="W747" t="inlineStr">
        <is>
          <t>2001-09-26</t>
        </is>
      </c>
      <c r="X747" t="inlineStr">
        <is>
          <t>2001-09-26</t>
        </is>
      </c>
      <c r="Y747" t="n">
        <v>427</v>
      </c>
      <c r="Z747" t="n">
        <v>333</v>
      </c>
      <c r="AA747" t="n">
        <v>334</v>
      </c>
      <c r="AB747" t="n">
        <v>3</v>
      </c>
      <c r="AC747" t="n">
        <v>3</v>
      </c>
      <c r="AD747" t="n">
        <v>13</v>
      </c>
      <c r="AE747" t="n">
        <v>13</v>
      </c>
      <c r="AF747" t="n">
        <v>4</v>
      </c>
      <c r="AG747" t="n">
        <v>4</v>
      </c>
      <c r="AH747" t="n">
        <v>2</v>
      </c>
      <c r="AI747" t="n">
        <v>2</v>
      </c>
      <c r="AJ747" t="n">
        <v>7</v>
      </c>
      <c r="AK747" t="n">
        <v>7</v>
      </c>
      <c r="AL747" t="n">
        <v>2</v>
      </c>
      <c r="AM747" t="n">
        <v>2</v>
      </c>
      <c r="AN747" t="n">
        <v>1</v>
      </c>
      <c r="AO747" t="n">
        <v>1</v>
      </c>
      <c r="AP747" t="inlineStr">
        <is>
          <t>No</t>
        </is>
      </c>
      <c r="AQ747" t="inlineStr">
        <is>
          <t>Yes</t>
        </is>
      </c>
      <c r="AR747">
        <f>HYPERLINK("http://catalog.hathitrust.org/Record/004174844","HathiTrust Record")</f>
        <v/>
      </c>
      <c r="AS747">
        <f>HYPERLINK("https://creighton-primo.hosted.exlibrisgroup.com/primo-explore/search?tab=default_tab&amp;search_scope=EVERYTHING&amp;vid=01CRU&amp;lang=en_US&amp;offset=0&amp;query=any,contains,991003609599702656","Catalog Record")</f>
        <v/>
      </c>
      <c r="AT747">
        <f>HYPERLINK("http://www.worldcat.org/oclc/44713256","WorldCat Record")</f>
        <v/>
      </c>
      <c r="AU747" t="inlineStr">
        <is>
          <t>837057995:eng</t>
        </is>
      </c>
      <c r="AV747" t="inlineStr">
        <is>
          <t>44713256</t>
        </is>
      </c>
      <c r="AW747" t="inlineStr">
        <is>
          <t>991003609599702656</t>
        </is>
      </c>
      <c r="AX747" t="inlineStr">
        <is>
          <t>991003609599702656</t>
        </is>
      </c>
      <c r="AY747" t="inlineStr">
        <is>
          <t>2258717300002656</t>
        </is>
      </c>
      <c r="AZ747" t="inlineStr">
        <is>
          <t>BOOK</t>
        </is>
      </c>
      <c r="BB747" t="inlineStr">
        <is>
          <t>9781560989059</t>
        </is>
      </c>
      <c r="BC747" t="inlineStr">
        <is>
          <t>32285004393467</t>
        </is>
      </c>
      <c r="BD747" t="inlineStr">
        <is>
          <t>893258624</t>
        </is>
      </c>
    </row>
    <row r="748">
      <c r="A748" t="inlineStr">
        <is>
          <t>No</t>
        </is>
      </c>
      <c r="B748" t="inlineStr">
        <is>
          <t>GN476.73 .G66 1993</t>
        </is>
      </c>
      <c r="C748" t="inlineStr">
        <is>
          <t>0                      GN 0476730G  66          1993</t>
        </is>
      </c>
      <c r="D748" t="inlineStr">
        <is>
          <t>The culture of flowers / Jack Goody.</t>
        </is>
      </c>
      <c r="F748" t="inlineStr">
        <is>
          <t>No</t>
        </is>
      </c>
      <c r="G748" t="inlineStr">
        <is>
          <t>1</t>
        </is>
      </c>
      <c r="H748" t="inlineStr">
        <is>
          <t>No</t>
        </is>
      </c>
      <c r="I748" t="inlineStr">
        <is>
          <t>No</t>
        </is>
      </c>
      <c r="J748" t="inlineStr">
        <is>
          <t>0</t>
        </is>
      </c>
      <c r="K748" t="inlineStr">
        <is>
          <t>Goody, Jack.</t>
        </is>
      </c>
      <c r="L748" t="inlineStr">
        <is>
          <t>Cambridge ; New York : Cambridge University Press, 1993.</t>
        </is>
      </c>
      <c r="M748" t="inlineStr">
        <is>
          <t>1993</t>
        </is>
      </c>
      <c r="O748" t="inlineStr">
        <is>
          <t>eng</t>
        </is>
      </c>
      <c r="P748" t="inlineStr">
        <is>
          <t>enk</t>
        </is>
      </c>
      <c r="R748" t="inlineStr">
        <is>
          <t xml:space="preserve">GN </t>
        </is>
      </c>
      <c r="S748" t="n">
        <v>1</v>
      </c>
      <c r="T748" t="n">
        <v>1</v>
      </c>
      <c r="U748" t="inlineStr">
        <is>
          <t>2010-01-26</t>
        </is>
      </c>
      <c r="V748" t="inlineStr">
        <is>
          <t>2010-01-26</t>
        </is>
      </c>
      <c r="W748" t="inlineStr">
        <is>
          <t>2010-01-26</t>
        </is>
      </c>
      <c r="X748" t="inlineStr">
        <is>
          <t>2010-01-26</t>
        </is>
      </c>
      <c r="Y748" t="n">
        <v>731</v>
      </c>
      <c r="Z748" t="n">
        <v>537</v>
      </c>
      <c r="AA748" t="n">
        <v>544</v>
      </c>
      <c r="AB748" t="n">
        <v>5</v>
      </c>
      <c r="AC748" t="n">
        <v>5</v>
      </c>
      <c r="AD748" t="n">
        <v>22</v>
      </c>
      <c r="AE748" t="n">
        <v>22</v>
      </c>
      <c r="AF748" t="n">
        <v>4</v>
      </c>
      <c r="AG748" t="n">
        <v>4</v>
      </c>
      <c r="AH748" t="n">
        <v>6</v>
      </c>
      <c r="AI748" t="n">
        <v>6</v>
      </c>
      <c r="AJ748" t="n">
        <v>11</v>
      </c>
      <c r="AK748" t="n">
        <v>11</v>
      </c>
      <c r="AL748" t="n">
        <v>4</v>
      </c>
      <c r="AM748" t="n">
        <v>4</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HYPERLINK("https://creighton-primo.hosted.exlibrisgroup.com/primo-explore/search?tab=default_tab&amp;search_scope=EVERYTHING&amp;vid=01CRU&amp;lang=en_US&amp;offset=0&amp;query=any,contains,991005359909702656","Catalog Record")</f>
        <v/>
      </c>
      <c r="AT748">
        <f>HYPERLINK("http://www.worldcat.org/oclc/25282058","WorldCat Record")</f>
        <v/>
      </c>
      <c r="AU748" t="inlineStr">
        <is>
          <t>342951:eng</t>
        </is>
      </c>
      <c r="AV748" t="inlineStr">
        <is>
          <t>25282058</t>
        </is>
      </c>
      <c r="AW748" t="inlineStr">
        <is>
          <t>991005359909702656</t>
        </is>
      </c>
      <c r="AX748" t="inlineStr">
        <is>
          <t>991005359909702656</t>
        </is>
      </c>
      <c r="AY748" t="inlineStr">
        <is>
          <t>2271123060002656</t>
        </is>
      </c>
      <c r="AZ748" t="inlineStr">
        <is>
          <t>BOOK</t>
        </is>
      </c>
      <c r="BB748" t="inlineStr">
        <is>
          <t>9780521414418</t>
        </is>
      </c>
      <c r="BC748" t="inlineStr">
        <is>
          <t>32285005559207</t>
        </is>
      </c>
      <c r="BD748" t="inlineStr">
        <is>
          <t>893236716</t>
        </is>
      </c>
    </row>
    <row r="749">
      <c r="A749" t="inlineStr">
        <is>
          <t>No</t>
        </is>
      </c>
      <c r="B749" t="inlineStr">
        <is>
          <t>GN477.1 .K5 1968</t>
        </is>
      </c>
      <c r="C749" t="inlineStr">
        <is>
          <t>0                      GN 0477100K  5           1968</t>
        </is>
      </c>
      <c r="D749" t="inlineStr">
        <is>
          <t>Curanderismo; Mexican-American folk psychiatry.</t>
        </is>
      </c>
      <c r="F749" t="inlineStr">
        <is>
          <t>No</t>
        </is>
      </c>
      <c r="G749" t="inlineStr">
        <is>
          <t>1</t>
        </is>
      </c>
      <c r="H749" t="inlineStr">
        <is>
          <t>No</t>
        </is>
      </c>
      <c r="I749" t="inlineStr">
        <is>
          <t>No</t>
        </is>
      </c>
      <c r="J749" t="inlineStr">
        <is>
          <t>0</t>
        </is>
      </c>
      <c r="K749" t="inlineStr">
        <is>
          <t>Kiev, Ari.</t>
        </is>
      </c>
      <c r="L749" t="inlineStr">
        <is>
          <t>New York, Free Press [1968]</t>
        </is>
      </c>
      <c r="M749" t="inlineStr">
        <is>
          <t>1968</t>
        </is>
      </c>
      <c r="O749" t="inlineStr">
        <is>
          <t>eng</t>
        </is>
      </c>
      <c r="P749" t="inlineStr">
        <is>
          <t>nyu</t>
        </is>
      </c>
      <c r="R749" t="inlineStr">
        <is>
          <t xml:space="preserve">GN </t>
        </is>
      </c>
      <c r="S749" t="n">
        <v>1</v>
      </c>
      <c r="T749" t="n">
        <v>1</v>
      </c>
      <c r="U749" t="inlineStr">
        <is>
          <t>2006-02-16</t>
        </is>
      </c>
      <c r="V749" t="inlineStr">
        <is>
          <t>2006-02-16</t>
        </is>
      </c>
      <c r="W749" t="inlineStr">
        <is>
          <t>1997-05-28</t>
        </is>
      </c>
      <c r="X749" t="inlineStr">
        <is>
          <t>1997-05-28</t>
        </is>
      </c>
      <c r="Y749" t="n">
        <v>734</v>
      </c>
      <c r="Z749" t="n">
        <v>665</v>
      </c>
      <c r="AA749" t="n">
        <v>706</v>
      </c>
      <c r="AB749" t="n">
        <v>9</v>
      </c>
      <c r="AC749" t="n">
        <v>9</v>
      </c>
      <c r="AD749" t="n">
        <v>35</v>
      </c>
      <c r="AE749" t="n">
        <v>35</v>
      </c>
      <c r="AF749" t="n">
        <v>15</v>
      </c>
      <c r="AG749" t="n">
        <v>15</v>
      </c>
      <c r="AH749" t="n">
        <v>8</v>
      </c>
      <c r="AI749" t="n">
        <v>8</v>
      </c>
      <c r="AJ749" t="n">
        <v>14</v>
      </c>
      <c r="AK749" t="n">
        <v>14</v>
      </c>
      <c r="AL749" t="n">
        <v>7</v>
      </c>
      <c r="AM749" t="n">
        <v>7</v>
      </c>
      <c r="AN749" t="n">
        <v>0</v>
      </c>
      <c r="AO749" t="n">
        <v>0</v>
      </c>
      <c r="AP749" t="inlineStr">
        <is>
          <t>No</t>
        </is>
      </c>
      <c r="AQ749" t="inlineStr">
        <is>
          <t>Yes</t>
        </is>
      </c>
      <c r="AR749">
        <f>HYPERLINK("http://catalog.hathitrust.org/Record/001274862","HathiTrust Record")</f>
        <v/>
      </c>
      <c r="AS749">
        <f>HYPERLINK("https://creighton-primo.hosted.exlibrisgroup.com/primo-explore/search?tab=default_tab&amp;search_scope=EVERYTHING&amp;vid=01CRU&amp;lang=en_US&amp;offset=0&amp;query=any,contains,991004018069702656","Catalog Record")</f>
        <v/>
      </c>
      <c r="AT749">
        <f>HYPERLINK("http://www.worldcat.org/oclc/2118438","WorldCat Record")</f>
        <v/>
      </c>
      <c r="AU749" t="inlineStr">
        <is>
          <t>400603:eng</t>
        </is>
      </c>
      <c r="AV749" t="inlineStr">
        <is>
          <t>2118438</t>
        </is>
      </c>
      <c r="AW749" t="inlineStr">
        <is>
          <t>991004018069702656</t>
        </is>
      </c>
      <c r="AX749" t="inlineStr">
        <is>
          <t>991004018069702656</t>
        </is>
      </c>
      <c r="AY749" t="inlineStr">
        <is>
          <t>2265310750002656</t>
        </is>
      </c>
      <c r="AZ749" t="inlineStr">
        <is>
          <t>BOOK</t>
        </is>
      </c>
      <c r="BC749" t="inlineStr">
        <is>
          <t>32285002695996</t>
        </is>
      </c>
      <c r="BD749" t="inlineStr">
        <is>
          <t>893525523</t>
        </is>
      </c>
    </row>
    <row r="750">
      <c r="A750" t="inlineStr">
        <is>
          <t>No</t>
        </is>
      </c>
      <c r="B750" t="inlineStr">
        <is>
          <t>GN478 .S7</t>
        </is>
      </c>
      <c r="C750" t="inlineStr">
        <is>
          <t>0                      GN 0478000S  7</t>
        </is>
      </c>
      <c r="D750" t="inlineStr">
        <is>
          <t>The family in cross-cultural perspective.</t>
        </is>
      </c>
      <c r="F750" t="inlineStr">
        <is>
          <t>No</t>
        </is>
      </c>
      <c r="G750" t="inlineStr">
        <is>
          <t>1</t>
        </is>
      </c>
      <c r="H750" t="inlineStr">
        <is>
          <t>No</t>
        </is>
      </c>
      <c r="I750" t="inlineStr">
        <is>
          <t>No</t>
        </is>
      </c>
      <c r="J750" t="inlineStr">
        <is>
          <t>0</t>
        </is>
      </c>
      <c r="K750" t="inlineStr">
        <is>
          <t>Stephens, William N.</t>
        </is>
      </c>
      <c r="L750" t="inlineStr">
        <is>
          <t>New York, Holt, Rinehart and Winston [1963]</t>
        </is>
      </c>
      <c r="M750" t="inlineStr">
        <is>
          <t>1963</t>
        </is>
      </c>
      <c r="O750" t="inlineStr">
        <is>
          <t>eng</t>
        </is>
      </c>
      <c r="P750" t="inlineStr">
        <is>
          <t>nyu</t>
        </is>
      </c>
      <c r="R750" t="inlineStr">
        <is>
          <t xml:space="preserve">GN </t>
        </is>
      </c>
      <c r="S750" t="n">
        <v>6</v>
      </c>
      <c r="T750" t="n">
        <v>6</v>
      </c>
      <c r="U750" t="inlineStr">
        <is>
          <t>1997-11-14</t>
        </is>
      </c>
      <c r="V750" t="inlineStr">
        <is>
          <t>1997-11-14</t>
        </is>
      </c>
      <c r="W750" t="inlineStr">
        <is>
          <t>1997-05-28</t>
        </is>
      </c>
      <c r="X750" t="inlineStr">
        <is>
          <t>1997-05-28</t>
        </is>
      </c>
      <c r="Y750" t="n">
        <v>840</v>
      </c>
      <c r="Z750" t="n">
        <v>676</v>
      </c>
      <c r="AA750" t="n">
        <v>851</v>
      </c>
      <c r="AB750" t="n">
        <v>5</v>
      </c>
      <c r="AC750" t="n">
        <v>5</v>
      </c>
      <c r="AD750" t="n">
        <v>27</v>
      </c>
      <c r="AE750" t="n">
        <v>35</v>
      </c>
      <c r="AF750" t="n">
        <v>10</v>
      </c>
      <c r="AG750" t="n">
        <v>17</v>
      </c>
      <c r="AH750" t="n">
        <v>3</v>
      </c>
      <c r="AI750" t="n">
        <v>6</v>
      </c>
      <c r="AJ750" t="n">
        <v>15</v>
      </c>
      <c r="AK750" t="n">
        <v>15</v>
      </c>
      <c r="AL750" t="n">
        <v>4</v>
      </c>
      <c r="AM750" t="n">
        <v>4</v>
      </c>
      <c r="AN750" t="n">
        <v>0</v>
      </c>
      <c r="AO750" t="n">
        <v>0</v>
      </c>
      <c r="AP750" t="inlineStr">
        <is>
          <t>No</t>
        </is>
      </c>
      <c r="AQ750" t="inlineStr">
        <is>
          <t>Yes</t>
        </is>
      </c>
      <c r="AR750">
        <f>HYPERLINK("http://catalog.hathitrust.org/Record/001274872","HathiTrust Record")</f>
        <v/>
      </c>
      <c r="AS750">
        <f>HYPERLINK("https://creighton-primo.hosted.exlibrisgroup.com/primo-explore/search?tab=default_tab&amp;search_scope=EVERYTHING&amp;vid=01CRU&amp;lang=en_US&amp;offset=0&amp;query=any,contains,991003176339702656","Catalog Record")</f>
        <v/>
      </c>
      <c r="AT750">
        <f>HYPERLINK("http://www.worldcat.org/oclc/710879","WorldCat Record")</f>
        <v/>
      </c>
      <c r="AU750" t="inlineStr">
        <is>
          <t>296456:eng</t>
        </is>
      </c>
      <c r="AV750" t="inlineStr">
        <is>
          <t>710879</t>
        </is>
      </c>
      <c r="AW750" t="inlineStr">
        <is>
          <t>991003176339702656</t>
        </is>
      </c>
      <c r="AX750" t="inlineStr">
        <is>
          <t>991003176339702656</t>
        </is>
      </c>
      <c r="AY750" t="inlineStr">
        <is>
          <t>2262477130002656</t>
        </is>
      </c>
      <c r="AZ750" t="inlineStr">
        <is>
          <t>BOOK</t>
        </is>
      </c>
      <c r="BB750" t="inlineStr">
        <is>
          <t>9780030122057</t>
        </is>
      </c>
      <c r="BC750" t="inlineStr">
        <is>
          <t>32285002696002</t>
        </is>
      </c>
      <c r="BD750" t="inlineStr">
        <is>
          <t>893227764</t>
        </is>
      </c>
    </row>
    <row r="751">
      <c r="A751" t="inlineStr">
        <is>
          <t>No</t>
        </is>
      </c>
      <c r="B751" t="inlineStr">
        <is>
          <t>GN479 .M3</t>
        </is>
      </c>
      <c r="C751" t="inlineStr">
        <is>
          <t>0                      GN 0479000M  3</t>
        </is>
      </c>
      <c r="D751" t="inlineStr">
        <is>
          <t>The father in primitive psychology, by Bronislaw Malinowski ...</t>
        </is>
      </c>
      <c r="F751" t="inlineStr">
        <is>
          <t>No</t>
        </is>
      </c>
      <c r="G751" t="inlineStr">
        <is>
          <t>1</t>
        </is>
      </c>
      <c r="H751" t="inlineStr">
        <is>
          <t>No</t>
        </is>
      </c>
      <c r="I751" t="inlineStr">
        <is>
          <t>No</t>
        </is>
      </c>
      <c r="J751" t="inlineStr">
        <is>
          <t>0</t>
        </is>
      </c>
      <c r="K751" t="inlineStr">
        <is>
          <t>Malinowski, Bronislaw, 1884-1942.</t>
        </is>
      </c>
      <c r="L751" t="inlineStr">
        <is>
          <t>New York, W.W. Norton &amp; Company, Inc. [c1927]</t>
        </is>
      </c>
      <c r="M751" t="inlineStr">
        <is>
          <t>1927</t>
        </is>
      </c>
      <c r="O751" t="inlineStr">
        <is>
          <t>eng</t>
        </is>
      </c>
      <c r="P751" t="inlineStr">
        <is>
          <t>nyu</t>
        </is>
      </c>
      <c r="Q751" t="inlineStr">
        <is>
          <t>[The new science series]</t>
        </is>
      </c>
      <c r="R751" t="inlineStr">
        <is>
          <t xml:space="preserve">GN </t>
        </is>
      </c>
      <c r="S751" t="n">
        <v>5</v>
      </c>
      <c r="T751" t="n">
        <v>5</v>
      </c>
      <c r="U751" t="inlineStr">
        <is>
          <t>2004-04-20</t>
        </is>
      </c>
      <c r="V751" t="inlineStr">
        <is>
          <t>2004-04-20</t>
        </is>
      </c>
      <c r="W751" t="inlineStr">
        <is>
          <t>1997-05-28</t>
        </is>
      </c>
      <c r="X751" t="inlineStr">
        <is>
          <t>1997-05-28</t>
        </is>
      </c>
      <c r="Y751" t="n">
        <v>244</v>
      </c>
      <c r="Z751" t="n">
        <v>219</v>
      </c>
      <c r="AA751" t="n">
        <v>575</v>
      </c>
      <c r="AB751" t="n">
        <v>2</v>
      </c>
      <c r="AC751" t="n">
        <v>3</v>
      </c>
      <c r="AD751" t="n">
        <v>8</v>
      </c>
      <c r="AE751" t="n">
        <v>20</v>
      </c>
      <c r="AF751" t="n">
        <v>3</v>
      </c>
      <c r="AG751" t="n">
        <v>8</v>
      </c>
      <c r="AH751" t="n">
        <v>3</v>
      </c>
      <c r="AI751" t="n">
        <v>4</v>
      </c>
      <c r="AJ751" t="n">
        <v>3</v>
      </c>
      <c r="AK751" t="n">
        <v>10</v>
      </c>
      <c r="AL751" t="n">
        <v>1</v>
      </c>
      <c r="AM751" t="n">
        <v>2</v>
      </c>
      <c r="AN751" t="n">
        <v>0</v>
      </c>
      <c r="AO751" t="n">
        <v>0</v>
      </c>
      <c r="AP751" t="inlineStr">
        <is>
          <t>No</t>
        </is>
      </c>
      <c r="AQ751" t="inlineStr">
        <is>
          <t>No</t>
        </is>
      </c>
      <c r="AR751">
        <f>HYPERLINK("http://catalog.hathitrust.org/Record/001274877","HathiTrust Record")</f>
        <v/>
      </c>
      <c r="AS751">
        <f>HYPERLINK("https://creighton-primo.hosted.exlibrisgroup.com/primo-explore/search?tab=default_tab&amp;search_scope=EVERYTHING&amp;vid=01CRU&amp;lang=en_US&amp;offset=0&amp;query=any,contains,991003360389702656","Catalog Record")</f>
        <v/>
      </c>
      <c r="AT751">
        <f>HYPERLINK("http://www.worldcat.org/oclc/896735","WorldCat Record")</f>
        <v/>
      </c>
      <c r="AU751" t="inlineStr">
        <is>
          <t>3695593418:eng</t>
        </is>
      </c>
      <c r="AV751" t="inlineStr">
        <is>
          <t>896735</t>
        </is>
      </c>
      <c r="AW751" t="inlineStr">
        <is>
          <t>991003360389702656</t>
        </is>
      </c>
      <c r="AX751" t="inlineStr">
        <is>
          <t>991003360389702656</t>
        </is>
      </c>
      <c r="AY751" t="inlineStr">
        <is>
          <t>2261430590002656</t>
        </is>
      </c>
      <c r="AZ751" t="inlineStr">
        <is>
          <t>BOOK</t>
        </is>
      </c>
      <c r="BC751" t="inlineStr">
        <is>
          <t>32285002696010</t>
        </is>
      </c>
      <c r="BD751" t="inlineStr">
        <is>
          <t>893505505</t>
        </is>
      </c>
    </row>
    <row r="752">
      <c r="A752" t="inlineStr">
        <is>
          <t>No</t>
        </is>
      </c>
      <c r="B752" t="inlineStr">
        <is>
          <t>GN479.6 .R85 2005</t>
        </is>
      </c>
      <c r="C752" t="inlineStr">
        <is>
          <t>0                      GN 0479600R  85          2005</t>
        </is>
      </c>
      <c r="D752" t="inlineStr">
        <is>
          <t>The rule of Mars : readings on the origins, history and impact of patriarchy / edited by Cristina Biaggi.</t>
        </is>
      </c>
      <c r="F752" t="inlineStr">
        <is>
          <t>No</t>
        </is>
      </c>
      <c r="G752" t="inlineStr">
        <is>
          <t>1</t>
        </is>
      </c>
      <c r="H752" t="inlineStr">
        <is>
          <t>No</t>
        </is>
      </c>
      <c r="I752" t="inlineStr">
        <is>
          <t>No</t>
        </is>
      </c>
      <c r="J752" t="inlineStr">
        <is>
          <t>0</t>
        </is>
      </c>
      <c r="L752" t="inlineStr">
        <is>
          <t>Manchester, CT : Knowledge, Ideas &amp; Trends, c2005.</t>
        </is>
      </c>
      <c r="M752" t="inlineStr">
        <is>
          <t>2005</t>
        </is>
      </c>
      <c r="O752" t="inlineStr">
        <is>
          <t>eng</t>
        </is>
      </c>
      <c r="P752" t="inlineStr">
        <is>
          <t>ctu</t>
        </is>
      </c>
      <c r="R752" t="inlineStr">
        <is>
          <t xml:space="preserve">GN </t>
        </is>
      </c>
      <c r="S752" t="n">
        <v>1</v>
      </c>
      <c r="T752" t="n">
        <v>1</v>
      </c>
      <c r="U752" t="inlineStr">
        <is>
          <t>2008-01-15</t>
        </is>
      </c>
      <c r="V752" t="inlineStr">
        <is>
          <t>2008-01-15</t>
        </is>
      </c>
      <c r="W752" t="inlineStr">
        <is>
          <t>2008-01-15</t>
        </is>
      </c>
      <c r="X752" t="inlineStr">
        <is>
          <t>2008-01-15</t>
        </is>
      </c>
      <c r="Y752" t="n">
        <v>220</v>
      </c>
      <c r="Z752" t="n">
        <v>200</v>
      </c>
      <c r="AA752" t="n">
        <v>201</v>
      </c>
      <c r="AB752" t="n">
        <v>2</v>
      </c>
      <c r="AC752" t="n">
        <v>2</v>
      </c>
      <c r="AD752" t="n">
        <v>7</v>
      </c>
      <c r="AE752" t="n">
        <v>7</v>
      </c>
      <c r="AF752" t="n">
        <v>4</v>
      </c>
      <c r="AG752" t="n">
        <v>4</v>
      </c>
      <c r="AH752" t="n">
        <v>1</v>
      </c>
      <c r="AI752" t="n">
        <v>1</v>
      </c>
      <c r="AJ752" t="n">
        <v>3</v>
      </c>
      <c r="AK752" t="n">
        <v>3</v>
      </c>
      <c r="AL752" t="n">
        <v>1</v>
      </c>
      <c r="AM752" t="n">
        <v>1</v>
      </c>
      <c r="AN752" t="n">
        <v>0</v>
      </c>
      <c r="AO752" t="n">
        <v>0</v>
      </c>
      <c r="AP752" t="inlineStr">
        <is>
          <t>No</t>
        </is>
      </c>
      <c r="AQ752" t="inlineStr">
        <is>
          <t>Yes</t>
        </is>
      </c>
      <c r="AR752">
        <f>HYPERLINK("http://catalog.hathitrust.org/Record/005545154","HathiTrust Record")</f>
        <v/>
      </c>
      <c r="AS752">
        <f>HYPERLINK("https://creighton-primo.hosted.exlibrisgroup.com/primo-explore/search?tab=default_tab&amp;search_scope=EVERYTHING&amp;vid=01CRU&amp;lang=en_US&amp;offset=0&amp;query=any,contains,991005171529702656","Catalog Record")</f>
        <v/>
      </c>
      <c r="AT752">
        <f>HYPERLINK("http://www.worldcat.org/oclc/71227939","WorldCat Record")</f>
        <v/>
      </c>
      <c r="AU752" t="inlineStr">
        <is>
          <t>58188270:eng</t>
        </is>
      </c>
      <c r="AV752" t="inlineStr">
        <is>
          <t>71227939</t>
        </is>
      </c>
      <c r="AW752" t="inlineStr">
        <is>
          <t>991005171529702656</t>
        </is>
      </c>
      <c r="AX752" t="inlineStr">
        <is>
          <t>991005171529702656</t>
        </is>
      </c>
      <c r="AY752" t="inlineStr">
        <is>
          <t>2264907810002656</t>
        </is>
      </c>
      <c r="AZ752" t="inlineStr">
        <is>
          <t>BOOK</t>
        </is>
      </c>
      <c r="BB752" t="inlineStr">
        <is>
          <t>9781879198319</t>
        </is>
      </c>
      <c r="BC752" t="inlineStr">
        <is>
          <t>32285005377253</t>
        </is>
      </c>
      <c r="BD752" t="inlineStr">
        <is>
          <t>893254581</t>
        </is>
      </c>
    </row>
    <row r="753">
      <c r="A753" t="inlineStr">
        <is>
          <t>No</t>
        </is>
      </c>
      <c r="B753" t="inlineStr">
        <is>
          <t>GN479.65 .F57</t>
        </is>
      </c>
      <c r="C753" t="inlineStr">
        <is>
          <t>0                      GN 0479650F  57</t>
        </is>
      </c>
      <c r="D753" t="inlineStr">
        <is>
          <t>Woman's creation : sexual evolution and the shaping of society / Elizabeth Fisher.</t>
        </is>
      </c>
      <c r="F753" t="inlineStr">
        <is>
          <t>No</t>
        </is>
      </c>
      <c r="G753" t="inlineStr">
        <is>
          <t>1</t>
        </is>
      </c>
      <c r="H753" t="inlineStr">
        <is>
          <t>No</t>
        </is>
      </c>
      <c r="I753" t="inlineStr">
        <is>
          <t>No</t>
        </is>
      </c>
      <c r="J753" t="inlineStr">
        <is>
          <t>0</t>
        </is>
      </c>
      <c r="K753" t="inlineStr">
        <is>
          <t>Fisher, Elizabeth.</t>
        </is>
      </c>
      <c r="L753" t="inlineStr">
        <is>
          <t>Garden City, N.Y. : Anchor Press, 1979.</t>
        </is>
      </c>
      <c r="M753" t="inlineStr">
        <is>
          <t>1979</t>
        </is>
      </c>
      <c r="N753" t="inlineStr">
        <is>
          <t>1st ed.</t>
        </is>
      </c>
      <c r="O753" t="inlineStr">
        <is>
          <t>eng</t>
        </is>
      </c>
      <c r="P753" t="inlineStr">
        <is>
          <t>nyu</t>
        </is>
      </c>
      <c r="R753" t="inlineStr">
        <is>
          <t xml:space="preserve">GN </t>
        </is>
      </c>
      <c r="S753" t="n">
        <v>1</v>
      </c>
      <c r="T753" t="n">
        <v>1</v>
      </c>
      <c r="U753" t="inlineStr">
        <is>
          <t>1997-02-25</t>
        </is>
      </c>
      <c r="V753" t="inlineStr">
        <is>
          <t>1997-02-25</t>
        </is>
      </c>
      <c r="W753" t="inlineStr">
        <is>
          <t>1990-09-26</t>
        </is>
      </c>
      <c r="X753" t="inlineStr">
        <is>
          <t>1990-09-26</t>
        </is>
      </c>
      <c r="Y753" t="n">
        <v>732</v>
      </c>
      <c r="Z753" t="n">
        <v>658</v>
      </c>
      <c r="AA753" t="n">
        <v>805</v>
      </c>
      <c r="AB753" t="n">
        <v>5</v>
      </c>
      <c r="AC753" t="n">
        <v>5</v>
      </c>
      <c r="AD753" t="n">
        <v>25</v>
      </c>
      <c r="AE753" t="n">
        <v>28</v>
      </c>
      <c r="AF753" t="n">
        <v>8</v>
      </c>
      <c r="AG753" t="n">
        <v>9</v>
      </c>
      <c r="AH753" t="n">
        <v>4</v>
      </c>
      <c r="AI753" t="n">
        <v>7</v>
      </c>
      <c r="AJ753" t="n">
        <v>15</v>
      </c>
      <c r="AK753" t="n">
        <v>15</v>
      </c>
      <c r="AL753" t="n">
        <v>3</v>
      </c>
      <c r="AM753" t="n">
        <v>3</v>
      </c>
      <c r="AN753" t="n">
        <v>0</v>
      </c>
      <c r="AO753" t="n">
        <v>0</v>
      </c>
      <c r="AP753" t="inlineStr">
        <is>
          <t>No</t>
        </is>
      </c>
      <c r="AQ753" t="inlineStr">
        <is>
          <t>Yes</t>
        </is>
      </c>
      <c r="AR753">
        <f>HYPERLINK("http://catalog.hathitrust.org/Record/000260211","HathiTrust Record")</f>
        <v/>
      </c>
      <c r="AS753">
        <f>HYPERLINK("https://creighton-primo.hosted.exlibrisgroup.com/primo-explore/search?tab=default_tab&amp;search_scope=EVERYTHING&amp;vid=01CRU&amp;lang=en_US&amp;offset=0&amp;query=any,contains,991004697099702656","Catalog Record")</f>
        <v/>
      </c>
      <c r="AT753">
        <f>HYPERLINK("http://www.worldcat.org/oclc/4642384","WorldCat Record")</f>
        <v/>
      </c>
      <c r="AU753" t="inlineStr">
        <is>
          <t>198655915:eng</t>
        </is>
      </c>
      <c r="AV753" t="inlineStr">
        <is>
          <t>4642384</t>
        </is>
      </c>
      <c r="AW753" t="inlineStr">
        <is>
          <t>991004697099702656</t>
        </is>
      </c>
      <c r="AX753" t="inlineStr">
        <is>
          <t>991004697099702656</t>
        </is>
      </c>
      <c r="AY753" t="inlineStr">
        <is>
          <t>2258051350002656</t>
        </is>
      </c>
      <c r="AZ753" t="inlineStr">
        <is>
          <t>BOOK</t>
        </is>
      </c>
      <c r="BB753" t="inlineStr">
        <is>
          <t>9780385005517</t>
        </is>
      </c>
      <c r="BC753" t="inlineStr">
        <is>
          <t>32285000316496</t>
        </is>
      </c>
      <c r="BD753" t="inlineStr">
        <is>
          <t>893901642</t>
        </is>
      </c>
    </row>
    <row r="754">
      <c r="A754" t="inlineStr">
        <is>
          <t>No</t>
        </is>
      </c>
      <c r="B754" t="inlineStr">
        <is>
          <t>GN479.65 .G46 1987</t>
        </is>
      </c>
      <c r="C754" t="inlineStr">
        <is>
          <t>0                      GN 0479650G  46          1987</t>
        </is>
      </c>
      <c r="D754" t="inlineStr">
        <is>
          <t>Gender and kinship : essays toward a unified analysis / edited by Jane Fishburne Collier and Sylvia Junko Yanagisako ; [contributors, Maurice Bloch ... et al.].</t>
        </is>
      </c>
      <c r="F754" t="inlineStr">
        <is>
          <t>No</t>
        </is>
      </c>
      <c r="G754" t="inlineStr">
        <is>
          <t>1</t>
        </is>
      </c>
      <c r="H754" t="inlineStr">
        <is>
          <t>No</t>
        </is>
      </c>
      <c r="I754" t="inlineStr">
        <is>
          <t>No</t>
        </is>
      </c>
      <c r="J754" t="inlineStr">
        <is>
          <t>0</t>
        </is>
      </c>
      <c r="L754" t="inlineStr">
        <is>
          <t>Stanford, Calif. : Stanford University Press, 1987.</t>
        </is>
      </c>
      <c r="M754" t="inlineStr">
        <is>
          <t>1987</t>
        </is>
      </c>
      <c r="O754" t="inlineStr">
        <is>
          <t>eng</t>
        </is>
      </c>
      <c r="P754" t="inlineStr">
        <is>
          <t>cau</t>
        </is>
      </c>
      <c r="R754" t="inlineStr">
        <is>
          <t xml:space="preserve">GN </t>
        </is>
      </c>
      <c r="S754" t="n">
        <v>10</v>
      </c>
      <c r="T754" t="n">
        <v>10</v>
      </c>
      <c r="U754" t="inlineStr">
        <is>
          <t>2000-04-17</t>
        </is>
      </c>
      <c r="V754" t="inlineStr">
        <is>
          <t>2000-04-17</t>
        </is>
      </c>
      <c r="W754" t="inlineStr">
        <is>
          <t>1990-09-26</t>
        </is>
      </c>
      <c r="X754" t="inlineStr">
        <is>
          <t>1990-09-26</t>
        </is>
      </c>
      <c r="Y754" t="n">
        <v>485</v>
      </c>
      <c r="Z754" t="n">
        <v>353</v>
      </c>
      <c r="AA754" t="n">
        <v>353</v>
      </c>
      <c r="AB754" t="n">
        <v>3</v>
      </c>
      <c r="AC754" t="n">
        <v>3</v>
      </c>
      <c r="AD754" t="n">
        <v>16</v>
      </c>
      <c r="AE754" t="n">
        <v>16</v>
      </c>
      <c r="AF754" t="n">
        <v>2</v>
      </c>
      <c r="AG754" t="n">
        <v>2</v>
      </c>
      <c r="AH754" t="n">
        <v>7</v>
      </c>
      <c r="AI754" t="n">
        <v>7</v>
      </c>
      <c r="AJ754" t="n">
        <v>9</v>
      </c>
      <c r="AK754" t="n">
        <v>9</v>
      </c>
      <c r="AL754" t="n">
        <v>2</v>
      </c>
      <c r="AM754" t="n">
        <v>2</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HYPERLINK("https://creighton-primo.hosted.exlibrisgroup.com/primo-explore/search?tab=default_tab&amp;search_scope=EVERYTHING&amp;vid=01CRU&amp;lang=en_US&amp;offset=0&amp;query=any,contains,991001035709702656","Catalog Record")</f>
        <v/>
      </c>
      <c r="AT754">
        <f>HYPERLINK("http://www.worldcat.org/oclc/15548951","WorldCat Record")</f>
        <v/>
      </c>
      <c r="AU754" t="inlineStr">
        <is>
          <t>889434642:eng</t>
        </is>
      </c>
      <c r="AV754" t="inlineStr">
        <is>
          <t>15548951</t>
        </is>
      </c>
      <c r="AW754" t="inlineStr">
        <is>
          <t>991001035709702656</t>
        </is>
      </c>
      <c r="AX754" t="inlineStr">
        <is>
          <t>991001035709702656</t>
        </is>
      </c>
      <c r="AY754" t="inlineStr">
        <is>
          <t>2261288790002656</t>
        </is>
      </c>
      <c r="AZ754" t="inlineStr">
        <is>
          <t>BOOK</t>
        </is>
      </c>
      <c r="BB754" t="inlineStr">
        <is>
          <t>9780804713665</t>
        </is>
      </c>
      <c r="BC754" t="inlineStr">
        <is>
          <t>32285000316504</t>
        </is>
      </c>
      <c r="BD754" t="inlineStr">
        <is>
          <t>893438821</t>
        </is>
      </c>
    </row>
    <row r="755">
      <c r="A755" t="inlineStr">
        <is>
          <t>No</t>
        </is>
      </c>
      <c r="B755" t="inlineStr">
        <is>
          <t>GN479.65 .S57 1997</t>
        </is>
      </c>
      <c r="C755" t="inlineStr">
        <is>
          <t>0                      GN 0479650S  57          1997</t>
        </is>
      </c>
      <c r="D755" t="inlineStr">
        <is>
          <t>Situated lives : gender and culture in everyday life / edited by Louise Lamphere, Helena Ragoné, and Patricia Zavella.</t>
        </is>
      </c>
      <c r="F755" t="inlineStr">
        <is>
          <t>No</t>
        </is>
      </c>
      <c r="G755" t="inlineStr">
        <is>
          <t>1</t>
        </is>
      </c>
      <c r="H755" t="inlineStr">
        <is>
          <t>No</t>
        </is>
      </c>
      <c r="I755" t="inlineStr">
        <is>
          <t>No</t>
        </is>
      </c>
      <c r="J755" t="inlineStr">
        <is>
          <t>0</t>
        </is>
      </c>
      <c r="L755" t="inlineStr">
        <is>
          <t>New York : Routledge, 1997.</t>
        </is>
      </c>
      <c r="M755" t="inlineStr">
        <is>
          <t>1997</t>
        </is>
      </c>
      <c r="O755" t="inlineStr">
        <is>
          <t>eng</t>
        </is>
      </c>
      <c r="P755" t="inlineStr">
        <is>
          <t>nyu</t>
        </is>
      </c>
      <c r="R755" t="inlineStr">
        <is>
          <t xml:space="preserve">GN </t>
        </is>
      </c>
      <c r="S755" t="n">
        <v>5</v>
      </c>
      <c r="T755" t="n">
        <v>5</v>
      </c>
      <c r="U755" t="inlineStr">
        <is>
          <t>2000-11-27</t>
        </is>
      </c>
      <c r="V755" t="inlineStr">
        <is>
          <t>2000-11-27</t>
        </is>
      </c>
      <c r="W755" t="inlineStr">
        <is>
          <t>1997-11-03</t>
        </is>
      </c>
      <c r="X755" t="inlineStr">
        <is>
          <t>1997-11-03</t>
        </is>
      </c>
      <c r="Y755" t="n">
        <v>555</v>
      </c>
      <c r="Z755" t="n">
        <v>402</v>
      </c>
      <c r="AA755" t="n">
        <v>424</v>
      </c>
      <c r="AB755" t="n">
        <v>3</v>
      </c>
      <c r="AC755" t="n">
        <v>3</v>
      </c>
      <c r="AD755" t="n">
        <v>23</v>
      </c>
      <c r="AE755" t="n">
        <v>23</v>
      </c>
      <c r="AF755" t="n">
        <v>6</v>
      </c>
      <c r="AG755" t="n">
        <v>6</v>
      </c>
      <c r="AH755" t="n">
        <v>6</v>
      </c>
      <c r="AI755" t="n">
        <v>6</v>
      </c>
      <c r="AJ755" t="n">
        <v>13</v>
      </c>
      <c r="AK755" t="n">
        <v>13</v>
      </c>
      <c r="AL755" t="n">
        <v>2</v>
      </c>
      <c r="AM755" t="n">
        <v>2</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HYPERLINK("https://creighton-primo.hosted.exlibrisgroup.com/primo-explore/search?tab=default_tab&amp;search_scope=EVERYTHING&amp;vid=01CRU&amp;lang=en_US&amp;offset=0&amp;query=any,contains,991002747519702656","Catalog Record")</f>
        <v/>
      </c>
      <c r="AT755">
        <f>HYPERLINK("http://www.worldcat.org/oclc/36051306","WorldCat Record")</f>
        <v/>
      </c>
      <c r="AU755" t="inlineStr">
        <is>
          <t>837043185:eng</t>
        </is>
      </c>
      <c r="AV755" t="inlineStr">
        <is>
          <t>36051306</t>
        </is>
      </c>
      <c r="AW755" t="inlineStr">
        <is>
          <t>991002747519702656</t>
        </is>
      </c>
      <c r="AX755" t="inlineStr">
        <is>
          <t>991002747519702656</t>
        </is>
      </c>
      <c r="AY755" t="inlineStr">
        <is>
          <t>2263693430002656</t>
        </is>
      </c>
      <c r="AZ755" t="inlineStr">
        <is>
          <t>BOOK</t>
        </is>
      </c>
      <c r="BB755" t="inlineStr">
        <is>
          <t>9780415918060</t>
        </is>
      </c>
      <c r="BC755" t="inlineStr">
        <is>
          <t>32285003259255</t>
        </is>
      </c>
      <c r="BD755" t="inlineStr">
        <is>
          <t>893517689</t>
        </is>
      </c>
    </row>
    <row r="756">
      <c r="A756" t="inlineStr">
        <is>
          <t>No</t>
        </is>
      </c>
      <c r="B756" t="inlineStr">
        <is>
          <t>GN479.65 .W65 1986</t>
        </is>
      </c>
      <c r="C756" t="inlineStr">
        <is>
          <t>0                      GN 0479650W  65          1986</t>
        </is>
      </c>
      <c r="D756" t="inlineStr">
        <is>
          <t>Women's work, men's property : the origins of gender and class / edited by Stephanie Coontz and Peta Henderson.</t>
        </is>
      </c>
      <c r="F756" t="inlineStr">
        <is>
          <t>No</t>
        </is>
      </c>
      <c r="G756" t="inlineStr">
        <is>
          <t>1</t>
        </is>
      </c>
      <c r="H756" t="inlineStr">
        <is>
          <t>No</t>
        </is>
      </c>
      <c r="I756" t="inlineStr">
        <is>
          <t>No</t>
        </is>
      </c>
      <c r="J756" t="inlineStr">
        <is>
          <t>0</t>
        </is>
      </c>
      <c r="L756" t="inlineStr">
        <is>
          <t>London : Verso, 1986.</t>
        </is>
      </c>
      <c r="M756" t="inlineStr">
        <is>
          <t>1986</t>
        </is>
      </c>
      <c r="O756" t="inlineStr">
        <is>
          <t>eng</t>
        </is>
      </c>
      <c r="P756" t="inlineStr">
        <is>
          <t>enk</t>
        </is>
      </c>
      <c r="R756" t="inlineStr">
        <is>
          <t xml:space="preserve">GN </t>
        </is>
      </c>
      <c r="S756" t="n">
        <v>7</v>
      </c>
      <c r="T756" t="n">
        <v>7</v>
      </c>
      <c r="U756" t="inlineStr">
        <is>
          <t>1996-10-31</t>
        </is>
      </c>
      <c r="V756" t="inlineStr">
        <is>
          <t>1996-10-31</t>
        </is>
      </c>
      <c r="W756" t="inlineStr">
        <is>
          <t>1990-09-26</t>
        </is>
      </c>
      <c r="X756" t="inlineStr">
        <is>
          <t>1990-09-26</t>
        </is>
      </c>
      <c r="Y756" t="n">
        <v>707</v>
      </c>
      <c r="Z756" t="n">
        <v>568</v>
      </c>
      <c r="AA756" t="n">
        <v>650</v>
      </c>
      <c r="AB756" t="n">
        <v>4</v>
      </c>
      <c r="AC756" t="n">
        <v>5</v>
      </c>
      <c r="AD756" t="n">
        <v>25</v>
      </c>
      <c r="AE756" t="n">
        <v>28</v>
      </c>
      <c r="AF756" t="n">
        <v>8</v>
      </c>
      <c r="AG756" t="n">
        <v>8</v>
      </c>
      <c r="AH756" t="n">
        <v>6</v>
      </c>
      <c r="AI756" t="n">
        <v>8</v>
      </c>
      <c r="AJ756" t="n">
        <v>12</v>
      </c>
      <c r="AK756" t="n">
        <v>13</v>
      </c>
      <c r="AL756" t="n">
        <v>3</v>
      </c>
      <c r="AM756" t="n">
        <v>4</v>
      </c>
      <c r="AN756" t="n">
        <v>1</v>
      </c>
      <c r="AO756" t="n">
        <v>1</v>
      </c>
      <c r="AP756" t="inlineStr">
        <is>
          <t>No</t>
        </is>
      </c>
      <c r="AQ756" t="inlineStr">
        <is>
          <t>Yes</t>
        </is>
      </c>
      <c r="AR756">
        <f>HYPERLINK("http://catalog.hathitrust.org/Record/004399391","HathiTrust Record")</f>
        <v/>
      </c>
      <c r="AS756">
        <f>HYPERLINK("https://creighton-primo.hosted.exlibrisgroup.com/primo-explore/search?tab=default_tab&amp;search_scope=EVERYTHING&amp;vid=01CRU&amp;lang=en_US&amp;offset=0&amp;query=any,contains,991000933879702656","Catalog Record")</f>
        <v/>
      </c>
      <c r="AT756">
        <f>HYPERLINK("http://www.worldcat.org/oclc/14348219","WorldCat Record")</f>
        <v/>
      </c>
      <c r="AU756" t="inlineStr">
        <is>
          <t>349950797:eng</t>
        </is>
      </c>
      <c r="AV756" t="inlineStr">
        <is>
          <t>14348219</t>
        </is>
      </c>
      <c r="AW756" t="inlineStr">
        <is>
          <t>991000933879702656</t>
        </is>
      </c>
      <c r="AX756" t="inlineStr">
        <is>
          <t>991000933879702656</t>
        </is>
      </c>
      <c r="AY756" t="inlineStr">
        <is>
          <t>2258911340002656</t>
        </is>
      </c>
      <c r="AZ756" t="inlineStr">
        <is>
          <t>BOOK</t>
        </is>
      </c>
      <c r="BB756" t="inlineStr">
        <is>
          <t>9780805272543</t>
        </is>
      </c>
      <c r="BC756" t="inlineStr">
        <is>
          <t>32285000316512</t>
        </is>
      </c>
      <c r="BD756" t="inlineStr">
        <is>
          <t>893321498</t>
        </is>
      </c>
    </row>
    <row r="757">
      <c r="A757" t="inlineStr">
        <is>
          <t>No</t>
        </is>
      </c>
      <c r="B757" t="inlineStr">
        <is>
          <t>GN479.7 .F57 1999</t>
        </is>
      </c>
      <c r="C757" t="inlineStr">
        <is>
          <t>0                      GN 0479700F  57          1999</t>
        </is>
      </c>
      <c r="D757" t="inlineStr">
        <is>
          <t>The first sex : the natural talents of women and how they are changing the world / Helen Fisher.</t>
        </is>
      </c>
      <c r="F757" t="inlineStr">
        <is>
          <t>No</t>
        </is>
      </c>
      <c r="G757" t="inlineStr">
        <is>
          <t>1</t>
        </is>
      </c>
      <c r="H757" t="inlineStr">
        <is>
          <t>No</t>
        </is>
      </c>
      <c r="I757" t="inlineStr">
        <is>
          <t>No</t>
        </is>
      </c>
      <c r="J757" t="inlineStr">
        <is>
          <t>0</t>
        </is>
      </c>
      <c r="K757" t="inlineStr">
        <is>
          <t>Fisher, Helen E.</t>
        </is>
      </c>
      <c r="L757" t="inlineStr">
        <is>
          <t>New York : Random House, c1999.</t>
        </is>
      </c>
      <c r="M757" t="inlineStr">
        <is>
          <t>1999</t>
        </is>
      </c>
      <c r="N757" t="inlineStr">
        <is>
          <t>1st ed.</t>
        </is>
      </c>
      <c r="O757" t="inlineStr">
        <is>
          <t>eng</t>
        </is>
      </c>
      <c r="P757" t="inlineStr">
        <is>
          <t>nyu</t>
        </is>
      </c>
      <c r="R757" t="inlineStr">
        <is>
          <t xml:space="preserve">GN </t>
        </is>
      </c>
      <c r="S757" t="n">
        <v>1</v>
      </c>
      <c r="T757" t="n">
        <v>1</v>
      </c>
      <c r="U757" t="inlineStr">
        <is>
          <t>2000-09-28</t>
        </is>
      </c>
      <c r="V757" t="inlineStr">
        <is>
          <t>2000-09-28</t>
        </is>
      </c>
      <c r="W757" t="inlineStr">
        <is>
          <t>2000-09-28</t>
        </is>
      </c>
      <c r="X757" t="inlineStr">
        <is>
          <t>2000-09-28</t>
        </is>
      </c>
      <c r="Y757" t="n">
        <v>872</v>
      </c>
      <c r="Z757" t="n">
        <v>799</v>
      </c>
      <c r="AA757" t="n">
        <v>925</v>
      </c>
      <c r="AB757" t="n">
        <v>8</v>
      </c>
      <c r="AC757" t="n">
        <v>8</v>
      </c>
      <c r="AD757" t="n">
        <v>26</v>
      </c>
      <c r="AE757" t="n">
        <v>30</v>
      </c>
      <c r="AF757" t="n">
        <v>6</v>
      </c>
      <c r="AG757" t="n">
        <v>10</v>
      </c>
      <c r="AH757" t="n">
        <v>7</v>
      </c>
      <c r="AI757" t="n">
        <v>7</v>
      </c>
      <c r="AJ757" t="n">
        <v>10</v>
      </c>
      <c r="AK757" t="n">
        <v>12</v>
      </c>
      <c r="AL757" t="n">
        <v>6</v>
      </c>
      <c r="AM757" t="n">
        <v>6</v>
      </c>
      <c r="AN757" t="n">
        <v>1</v>
      </c>
      <c r="AO757" t="n">
        <v>1</v>
      </c>
      <c r="AP757" t="inlineStr">
        <is>
          <t>No</t>
        </is>
      </c>
      <c r="AQ757" t="inlineStr">
        <is>
          <t>Yes</t>
        </is>
      </c>
      <c r="AR757">
        <f>HYPERLINK("http://catalog.hathitrust.org/Record/004033849","HathiTrust Record")</f>
        <v/>
      </c>
      <c r="AS757">
        <f>HYPERLINK("https://creighton-primo.hosted.exlibrisgroup.com/primo-explore/search?tab=default_tab&amp;search_scope=EVERYTHING&amp;vid=01CRU&amp;lang=en_US&amp;offset=0&amp;query=any,contains,991003261459702656","Catalog Record")</f>
        <v/>
      </c>
      <c r="AT757">
        <f>HYPERLINK("http://www.worldcat.org/oclc/40668245","WorldCat Record")</f>
        <v/>
      </c>
      <c r="AU757" t="inlineStr">
        <is>
          <t>20624185:eng</t>
        </is>
      </c>
      <c r="AV757" t="inlineStr">
        <is>
          <t>40668245</t>
        </is>
      </c>
      <c r="AW757" t="inlineStr">
        <is>
          <t>991003261459702656</t>
        </is>
      </c>
      <c r="AX757" t="inlineStr">
        <is>
          <t>991003261459702656</t>
        </is>
      </c>
      <c r="AY757" t="inlineStr">
        <is>
          <t>2255083990002656</t>
        </is>
      </c>
      <c r="AZ757" t="inlineStr">
        <is>
          <t>BOOK</t>
        </is>
      </c>
      <c r="BB757" t="inlineStr">
        <is>
          <t>9780679449096</t>
        </is>
      </c>
      <c r="BC757" t="inlineStr">
        <is>
          <t>32285003765590</t>
        </is>
      </c>
      <c r="BD757" t="inlineStr">
        <is>
          <t>893880987</t>
        </is>
      </c>
    </row>
    <row r="758">
      <c r="A758" t="inlineStr">
        <is>
          <t>No</t>
        </is>
      </c>
      <c r="B758" t="inlineStr">
        <is>
          <t>GN479.7 .G46 1989</t>
        </is>
      </c>
      <c r="C758" t="inlineStr">
        <is>
          <t>0                      GN 0479700G  46          1989</t>
        </is>
      </c>
      <c r="D758" t="inlineStr">
        <is>
          <t>Gender and anthropology : critical reviews for research and teaching / edited by Sandra Morgen.</t>
        </is>
      </c>
      <c r="F758" t="inlineStr">
        <is>
          <t>No</t>
        </is>
      </c>
      <c r="G758" t="inlineStr">
        <is>
          <t>1</t>
        </is>
      </c>
      <c r="H758" t="inlineStr">
        <is>
          <t>No</t>
        </is>
      </c>
      <c r="I758" t="inlineStr">
        <is>
          <t>No</t>
        </is>
      </c>
      <c r="J758" t="inlineStr">
        <is>
          <t>0</t>
        </is>
      </c>
      <c r="L758" t="inlineStr">
        <is>
          <t>Washington, D.C. : American Anthropological Association, c1989.</t>
        </is>
      </c>
      <c r="M758" t="inlineStr">
        <is>
          <t>1989</t>
        </is>
      </c>
      <c r="O758" t="inlineStr">
        <is>
          <t>eng</t>
        </is>
      </c>
      <c r="P758" t="inlineStr">
        <is>
          <t>dcu</t>
        </is>
      </c>
      <c r="R758" t="inlineStr">
        <is>
          <t xml:space="preserve">GN </t>
        </is>
      </c>
      <c r="S758" t="n">
        <v>0</v>
      </c>
      <c r="T758" t="n">
        <v>0</v>
      </c>
      <c r="U758" t="inlineStr">
        <is>
          <t>2008-11-21</t>
        </is>
      </c>
      <c r="V758" t="inlineStr">
        <is>
          <t>2008-11-21</t>
        </is>
      </c>
      <c r="W758" t="inlineStr">
        <is>
          <t>1990-07-05</t>
        </is>
      </c>
      <c r="X758" t="inlineStr">
        <is>
          <t>1990-07-05</t>
        </is>
      </c>
      <c r="Y758" t="n">
        <v>332</v>
      </c>
      <c r="Z758" t="n">
        <v>260</v>
      </c>
      <c r="AA758" t="n">
        <v>431</v>
      </c>
      <c r="AB758" t="n">
        <v>1</v>
      </c>
      <c r="AC758" t="n">
        <v>3</v>
      </c>
      <c r="AD758" t="n">
        <v>12</v>
      </c>
      <c r="AE758" t="n">
        <v>25</v>
      </c>
      <c r="AF758" t="n">
        <v>5</v>
      </c>
      <c r="AG758" t="n">
        <v>9</v>
      </c>
      <c r="AH758" t="n">
        <v>6</v>
      </c>
      <c r="AI758" t="n">
        <v>9</v>
      </c>
      <c r="AJ758" t="n">
        <v>7</v>
      </c>
      <c r="AK758" t="n">
        <v>13</v>
      </c>
      <c r="AL758" t="n">
        <v>0</v>
      </c>
      <c r="AM758" t="n">
        <v>2</v>
      </c>
      <c r="AN758" t="n">
        <v>0</v>
      </c>
      <c r="AO758" t="n">
        <v>0</v>
      </c>
      <c r="AP758" t="inlineStr">
        <is>
          <t>No</t>
        </is>
      </c>
      <c r="AQ758" t="inlineStr">
        <is>
          <t>Yes</t>
        </is>
      </c>
      <c r="AR758">
        <f>HYPERLINK("http://catalog.hathitrust.org/Record/003889125","HathiTrust Record")</f>
        <v/>
      </c>
      <c r="AS758">
        <f>HYPERLINK("https://creighton-primo.hosted.exlibrisgroup.com/primo-explore/search?tab=default_tab&amp;search_scope=EVERYTHING&amp;vid=01CRU&amp;lang=en_US&amp;offset=0&amp;query=any,contains,991001575299702656","Catalog Record")</f>
        <v/>
      </c>
      <c r="AT758">
        <f>HYPERLINK("http://www.worldcat.org/oclc/20422689","WorldCat Record")</f>
        <v/>
      </c>
      <c r="AU758" t="inlineStr">
        <is>
          <t>1117882835:eng</t>
        </is>
      </c>
      <c r="AV758" t="inlineStr">
        <is>
          <t>20422689</t>
        </is>
      </c>
      <c r="AW758" t="inlineStr">
        <is>
          <t>991001575299702656</t>
        </is>
      </c>
      <c r="AX758" t="inlineStr">
        <is>
          <t>991001575299702656</t>
        </is>
      </c>
      <c r="AY758" t="inlineStr">
        <is>
          <t>2265108450002656</t>
        </is>
      </c>
      <c r="AZ758" t="inlineStr">
        <is>
          <t>BOOK</t>
        </is>
      </c>
      <c r="BB758" t="inlineStr">
        <is>
          <t>9780913167335</t>
        </is>
      </c>
      <c r="BC758" t="inlineStr">
        <is>
          <t>32285000207547</t>
        </is>
      </c>
      <c r="BD758" t="inlineStr">
        <is>
          <t>893516283</t>
        </is>
      </c>
    </row>
    <row r="759">
      <c r="A759" t="inlineStr">
        <is>
          <t>No</t>
        </is>
      </c>
      <c r="B759" t="inlineStr">
        <is>
          <t>GN479.7 .I5 1985</t>
        </is>
      </c>
      <c r="C759" t="inlineStr">
        <is>
          <t>0                      GN 0479700I  5           1985</t>
        </is>
      </c>
      <c r="D759" t="inlineStr">
        <is>
          <t>In her prime : a new view of middle-aged women / Judith K. Brown, Virginia Kerns, and contributors ; foreword by Beatrice Blyth Whiting.</t>
        </is>
      </c>
      <c r="F759" t="inlineStr">
        <is>
          <t>No</t>
        </is>
      </c>
      <c r="G759" t="inlineStr">
        <is>
          <t>1</t>
        </is>
      </c>
      <c r="H759" t="inlineStr">
        <is>
          <t>No</t>
        </is>
      </c>
      <c r="I759" t="inlineStr">
        <is>
          <t>No</t>
        </is>
      </c>
      <c r="J759" t="inlineStr">
        <is>
          <t>0</t>
        </is>
      </c>
      <c r="L759" t="inlineStr">
        <is>
          <t>S. Hadley, Mass. : Bergin &amp; Garvey Publishers, 1985.</t>
        </is>
      </c>
      <c r="M759" t="inlineStr">
        <is>
          <t>1985</t>
        </is>
      </c>
      <c r="O759" t="inlineStr">
        <is>
          <t>eng</t>
        </is>
      </c>
      <c r="P759" t="inlineStr">
        <is>
          <t>mau</t>
        </is>
      </c>
      <c r="R759" t="inlineStr">
        <is>
          <t xml:space="preserve">GN </t>
        </is>
      </c>
      <c r="S759" t="n">
        <v>0</v>
      </c>
      <c r="T759" t="n">
        <v>0</v>
      </c>
      <c r="U759" t="inlineStr">
        <is>
          <t>2000-10-26</t>
        </is>
      </c>
      <c r="V759" t="inlineStr">
        <is>
          <t>2000-10-26</t>
        </is>
      </c>
      <c r="W759" t="inlineStr">
        <is>
          <t>1990-09-26</t>
        </is>
      </c>
      <c r="X759" t="inlineStr">
        <is>
          <t>1990-09-26</t>
        </is>
      </c>
      <c r="Y759" t="n">
        <v>623</v>
      </c>
      <c r="Z759" t="n">
        <v>530</v>
      </c>
      <c r="AA759" t="n">
        <v>537</v>
      </c>
      <c r="AB759" t="n">
        <v>3</v>
      </c>
      <c r="AC759" t="n">
        <v>3</v>
      </c>
      <c r="AD759" t="n">
        <v>22</v>
      </c>
      <c r="AE759" t="n">
        <v>22</v>
      </c>
      <c r="AF759" t="n">
        <v>9</v>
      </c>
      <c r="AG759" t="n">
        <v>9</v>
      </c>
      <c r="AH759" t="n">
        <v>4</v>
      </c>
      <c r="AI759" t="n">
        <v>4</v>
      </c>
      <c r="AJ759" t="n">
        <v>13</v>
      </c>
      <c r="AK759" t="n">
        <v>13</v>
      </c>
      <c r="AL759" t="n">
        <v>2</v>
      </c>
      <c r="AM759" t="n">
        <v>2</v>
      </c>
      <c r="AN759" t="n">
        <v>0</v>
      </c>
      <c r="AO759" t="n">
        <v>0</v>
      </c>
      <c r="AP759" t="inlineStr">
        <is>
          <t>No</t>
        </is>
      </c>
      <c r="AQ759" t="inlineStr">
        <is>
          <t>Yes</t>
        </is>
      </c>
      <c r="AR759">
        <f>HYPERLINK("http://catalog.hathitrust.org/Record/000334924","HathiTrust Record")</f>
        <v/>
      </c>
      <c r="AS759">
        <f>HYPERLINK("https://creighton-primo.hosted.exlibrisgroup.com/primo-explore/search?tab=default_tab&amp;search_scope=EVERYTHING&amp;vid=01CRU&amp;lang=en_US&amp;offset=0&amp;query=any,contains,991000469479702656","Catalog Record")</f>
        <v/>
      </c>
      <c r="AT759">
        <f>HYPERLINK("http://www.worldcat.org/oclc/10996347","WorldCat Record")</f>
        <v/>
      </c>
      <c r="AU759" t="inlineStr">
        <is>
          <t>3863654587:eng</t>
        </is>
      </c>
      <c r="AV759" t="inlineStr">
        <is>
          <t>10996347</t>
        </is>
      </c>
      <c r="AW759" t="inlineStr">
        <is>
          <t>991000469479702656</t>
        </is>
      </c>
      <c r="AX759" t="inlineStr">
        <is>
          <t>991000469479702656</t>
        </is>
      </c>
      <c r="AY759" t="inlineStr">
        <is>
          <t>2262133010002656</t>
        </is>
      </c>
      <c r="AZ759" t="inlineStr">
        <is>
          <t>BOOK</t>
        </is>
      </c>
      <c r="BB759" t="inlineStr">
        <is>
          <t>9780897890595</t>
        </is>
      </c>
      <c r="BC759" t="inlineStr">
        <is>
          <t>32285000316520</t>
        </is>
      </c>
      <c r="BD759" t="inlineStr">
        <is>
          <t>893626317</t>
        </is>
      </c>
    </row>
    <row r="760">
      <c r="A760" t="inlineStr">
        <is>
          <t>No</t>
        </is>
      </c>
      <c r="B760" t="inlineStr">
        <is>
          <t>GN479.7 .K47</t>
        </is>
      </c>
      <c r="C760" t="inlineStr">
        <is>
          <t>0                      GN 0479700K  47</t>
        </is>
      </c>
      <c r="D760" t="inlineStr">
        <is>
          <t>Women, an anthropological view / Evelyn S. Kessler.</t>
        </is>
      </c>
      <c r="F760" t="inlineStr">
        <is>
          <t>No</t>
        </is>
      </c>
      <c r="G760" t="inlineStr">
        <is>
          <t>1</t>
        </is>
      </c>
      <c r="H760" t="inlineStr">
        <is>
          <t>No</t>
        </is>
      </c>
      <c r="I760" t="inlineStr">
        <is>
          <t>No</t>
        </is>
      </c>
      <c r="J760" t="inlineStr">
        <is>
          <t>0</t>
        </is>
      </c>
      <c r="K760" t="inlineStr">
        <is>
          <t>Kessler, Evelyn S. (Evelyn Seinfeld), 1919-</t>
        </is>
      </c>
      <c r="L760" t="inlineStr">
        <is>
          <t>New York : Holt, Rinehart and Winston, c1976.</t>
        </is>
      </c>
      <c r="M760" t="inlineStr">
        <is>
          <t>1976</t>
        </is>
      </c>
      <c r="O760" t="inlineStr">
        <is>
          <t>eng</t>
        </is>
      </c>
      <c r="P760" t="inlineStr">
        <is>
          <t>nyu</t>
        </is>
      </c>
      <c r="R760" t="inlineStr">
        <is>
          <t xml:space="preserve">GN </t>
        </is>
      </c>
      <c r="S760" t="n">
        <v>4</v>
      </c>
      <c r="T760" t="n">
        <v>4</v>
      </c>
      <c r="U760" t="inlineStr">
        <is>
          <t>2002-11-13</t>
        </is>
      </c>
      <c r="V760" t="inlineStr">
        <is>
          <t>2002-11-13</t>
        </is>
      </c>
      <c r="W760" t="inlineStr">
        <is>
          <t>1997-05-28</t>
        </is>
      </c>
      <c r="X760" t="inlineStr">
        <is>
          <t>1997-05-28</t>
        </is>
      </c>
      <c r="Y760" t="n">
        <v>733</v>
      </c>
      <c r="Z760" t="n">
        <v>590</v>
      </c>
      <c r="AA760" t="n">
        <v>596</v>
      </c>
      <c r="AB760" t="n">
        <v>4</v>
      </c>
      <c r="AC760" t="n">
        <v>4</v>
      </c>
      <c r="AD760" t="n">
        <v>16</v>
      </c>
      <c r="AE760" t="n">
        <v>16</v>
      </c>
      <c r="AF760" t="n">
        <v>7</v>
      </c>
      <c r="AG760" t="n">
        <v>7</v>
      </c>
      <c r="AH760" t="n">
        <v>5</v>
      </c>
      <c r="AI760" t="n">
        <v>5</v>
      </c>
      <c r="AJ760" t="n">
        <v>5</v>
      </c>
      <c r="AK760" t="n">
        <v>5</v>
      </c>
      <c r="AL760" t="n">
        <v>3</v>
      </c>
      <c r="AM760" t="n">
        <v>3</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HYPERLINK("https://creighton-primo.hosted.exlibrisgroup.com/primo-explore/search?tab=default_tab&amp;search_scope=EVERYTHING&amp;vid=01CRU&amp;lang=en_US&amp;offset=0&amp;query=any,contains,991003952009702656","Catalog Record")</f>
        <v/>
      </c>
      <c r="AT760">
        <f>HYPERLINK("http://www.worldcat.org/oclc/1958464","WorldCat Record")</f>
        <v/>
      </c>
      <c r="AU760" t="inlineStr">
        <is>
          <t>319246410:eng</t>
        </is>
      </c>
      <c r="AV760" t="inlineStr">
        <is>
          <t>1958464</t>
        </is>
      </c>
      <c r="AW760" t="inlineStr">
        <is>
          <t>991003952009702656</t>
        </is>
      </c>
      <c r="AX760" t="inlineStr">
        <is>
          <t>991003952009702656</t>
        </is>
      </c>
      <c r="AY760" t="inlineStr">
        <is>
          <t>2263054730002656</t>
        </is>
      </c>
      <c r="AZ760" t="inlineStr">
        <is>
          <t>BOOK</t>
        </is>
      </c>
      <c r="BB760" t="inlineStr">
        <is>
          <t>9780030148767</t>
        </is>
      </c>
      <c r="BC760" t="inlineStr">
        <is>
          <t>32285002696036</t>
        </is>
      </c>
      <c r="BD760" t="inlineStr">
        <is>
          <t>893781676</t>
        </is>
      </c>
    </row>
    <row r="761">
      <c r="A761" t="inlineStr">
        <is>
          <t>No</t>
        </is>
      </c>
      <c r="B761" t="inlineStr">
        <is>
          <t>GN479.7 .S48</t>
        </is>
      </c>
      <c r="C761" t="inlineStr">
        <is>
          <t>0                      GN 0479700S  48</t>
        </is>
      </c>
      <c r="D761" t="inlineStr">
        <is>
          <t>Sexual stratification : a cross-cultural view / Alice Schlegel, editor. --</t>
        </is>
      </c>
      <c r="F761" t="inlineStr">
        <is>
          <t>No</t>
        </is>
      </c>
      <c r="G761" t="inlineStr">
        <is>
          <t>1</t>
        </is>
      </c>
      <c r="H761" t="inlineStr">
        <is>
          <t>No</t>
        </is>
      </c>
      <c r="I761" t="inlineStr">
        <is>
          <t>No</t>
        </is>
      </c>
      <c r="J761" t="inlineStr">
        <is>
          <t>0</t>
        </is>
      </c>
      <c r="L761" t="inlineStr">
        <is>
          <t>New York : Columbia University Press, 1977.</t>
        </is>
      </c>
      <c r="M761" t="inlineStr">
        <is>
          <t>1977</t>
        </is>
      </c>
      <c r="O761" t="inlineStr">
        <is>
          <t>eng</t>
        </is>
      </c>
      <c r="P761" t="inlineStr">
        <is>
          <t>nyu</t>
        </is>
      </c>
      <c r="R761" t="inlineStr">
        <is>
          <t xml:space="preserve">GN </t>
        </is>
      </c>
      <c r="S761" t="n">
        <v>3</v>
      </c>
      <c r="T761" t="n">
        <v>3</v>
      </c>
      <c r="U761" t="inlineStr">
        <is>
          <t>1998-06-09</t>
        </is>
      </c>
      <c r="V761" t="inlineStr">
        <is>
          <t>1998-06-09</t>
        </is>
      </c>
      <c r="W761" t="inlineStr">
        <is>
          <t>1990-09-26</t>
        </is>
      </c>
      <c r="X761" t="inlineStr">
        <is>
          <t>1990-09-26</t>
        </is>
      </c>
      <c r="Y761" t="n">
        <v>1003</v>
      </c>
      <c r="Z761" t="n">
        <v>829</v>
      </c>
      <c r="AA761" t="n">
        <v>836</v>
      </c>
      <c r="AB761" t="n">
        <v>5</v>
      </c>
      <c r="AC761" t="n">
        <v>5</v>
      </c>
      <c r="AD761" t="n">
        <v>33</v>
      </c>
      <c r="AE761" t="n">
        <v>33</v>
      </c>
      <c r="AF761" t="n">
        <v>11</v>
      </c>
      <c r="AG761" t="n">
        <v>11</v>
      </c>
      <c r="AH761" t="n">
        <v>10</v>
      </c>
      <c r="AI761" t="n">
        <v>10</v>
      </c>
      <c r="AJ761" t="n">
        <v>16</v>
      </c>
      <c r="AK761" t="n">
        <v>16</v>
      </c>
      <c r="AL761" t="n">
        <v>4</v>
      </c>
      <c r="AM761" t="n">
        <v>4</v>
      </c>
      <c r="AN761" t="n">
        <v>0</v>
      </c>
      <c r="AO761" t="n">
        <v>0</v>
      </c>
      <c r="AP761" t="inlineStr">
        <is>
          <t>No</t>
        </is>
      </c>
      <c r="AQ761" t="inlineStr">
        <is>
          <t>Yes</t>
        </is>
      </c>
      <c r="AR761">
        <f>HYPERLINK("http://catalog.hathitrust.org/Record/000253591","HathiTrust Record")</f>
        <v/>
      </c>
      <c r="AS761">
        <f>HYPERLINK("https://creighton-primo.hosted.exlibrisgroup.com/primo-explore/search?tab=default_tab&amp;search_scope=EVERYTHING&amp;vid=01CRU&amp;lang=en_US&amp;offset=0&amp;query=any,contains,991004335629702656","Catalog Record")</f>
        <v/>
      </c>
      <c r="AT761">
        <f>HYPERLINK("http://www.worldcat.org/oclc/3072668","WorldCat Record")</f>
        <v/>
      </c>
      <c r="AU761" t="inlineStr">
        <is>
          <t>889394797:eng</t>
        </is>
      </c>
      <c r="AV761" t="inlineStr">
        <is>
          <t>3072668</t>
        </is>
      </c>
      <c r="AW761" t="inlineStr">
        <is>
          <t>991004335629702656</t>
        </is>
      </c>
      <c r="AX761" t="inlineStr">
        <is>
          <t>991004335629702656</t>
        </is>
      </c>
      <c r="AY761" t="inlineStr">
        <is>
          <t>2265269470002656</t>
        </is>
      </c>
      <c r="AZ761" t="inlineStr">
        <is>
          <t>BOOK</t>
        </is>
      </c>
      <c r="BB761" t="inlineStr">
        <is>
          <t>9780231042147</t>
        </is>
      </c>
      <c r="BC761" t="inlineStr">
        <is>
          <t>32285000316553</t>
        </is>
      </c>
      <c r="BD761" t="inlineStr">
        <is>
          <t>893241291</t>
        </is>
      </c>
    </row>
    <row r="762">
      <c r="A762" t="inlineStr">
        <is>
          <t>No</t>
        </is>
      </c>
      <c r="B762" t="inlineStr">
        <is>
          <t>GN479.7 .W65 1980</t>
        </is>
      </c>
      <c r="C762" t="inlineStr">
        <is>
          <t>0                      GN 0479700W  65          1980</t>
        </is>
      </c>
      <c r="D762" t="inlineStr">
        <is>
          <t>Women and colonization : anthropological perspectives / Mona Etienne, Eleanor Leacock, editors.</t>
        </is>
      </c>
      <c r="F762" t="inlineStr">
        <is>
          <t>No</t>
        </is>
      </c>
      <c r="G762" t="inlineStr">
        <is>
          <t>1</t>
        </is>
      </c>
      <c r="H762" t="inlineStr">
        <is>
          <t>No</t>
        </is>
      </c>
      <c r="I762" t="inlineStr">
        <is>
          <t>No</t>
        </is>
      </c>
      <c r="J762" t="inlineStr">
        <is>
          <t>0</t>
        </is>
      </c>
      <c r="L762" t="inlineStr">
        <is>
          <t>New York : Praeger, c1980.</t>
        </is>
      </c>
      <c r="M762" t="inlineStr">
        <is>
          <t>1980</t>
        </is>
      </c>
      <c r="O762" t="inlineStr">
        <is>
          <t>eng</t>
        </is>
      </c>
      <c r="P762" t="inlineStr">
        <is>
          <t>nyu</t>
        </is>
      </c>
      <c r="Q762" t="inlineStr">
        <is>
          <t>Praeger special studies. Praeger scientific</t>
        </is>
      </c>
      <c r="R762" t="inlineStr">
        <is>
          <t xml:space="preserve">GN </t>
        </is>
      </c>
      <c r="S762" t="n">
        <v>4</v>
      </c>
      <c r="T762" t="n">
        <v>4</v>
      </c>
      <c r="U762" t="inlineStr">
        <is>
          <t>2000-04-18</t>
        </is>
      </c>
      <c r="V762" t="inlineStr">
        <is>
          <t>2000-04-18</t>
        </is>
      </c>
      <c r="W762" t="inlineStr">
        <is>
          <t>1990-09-26</t>
        </is>
      </c>
      <c r="X762" t="inlineStr">
        <is>
          <t>1990-09-26</t>
        </is>
      </c>
      <c r="Y762" t="n">
        <v>739</v>
      </c>
      <c r="Z762" t="n">
        <v>574</v>
      </c>
      <c r="AA762" t="n">
        <v>589</v>
      </c>
      <c r="AB762" t="n">
        <v>4</v>
      </c>
      <c r="AC762" t="n">
        <v>4</v>
      </c>
      <c r="AD762" t="n">
        <v>20</v>
      </c>
      <c r="AE762" t="n">
        <v>21</v>
      </c>
      <c r="AF762" t="n">
        <v>7</v>
      </c>
      <c r="AG762" t="n">
        <v>7</v>
      </c>
      <c r="AH762" t="n">
        <v>5</v>
      </c>
      <c r="AI762" t="n">
        <v>6</v>
      </c>
      <c r="AJ762" t="n">
        <v>9</v>
      </c>
      <c r="AK762" t="n">
        <v>10</v>
      </c>
      <c r="AL762" t="n">
        <v>3</v>
      </c>
      <c r="AM762" t="n">
        <v>3</v>
      </c>
      <c r="AN762" t="n">
        <v>1</v>
      </c>
      <c r="AO762" t="n">
        <v>1</v>
      </c>
      <c r="AP762" t="inlineStr">
        <is>
          <t>No</t>
        </is>
      </c>
      <c r="AQ762" t="inlineStr">
        <is>
          <t>Yes</t>
        </is>
      </c>
      <c r="AR762">
        <f>HYPERLINK("http://catalog.hathitrust.org/Record/000718959","HathiTrust Record")</f>
        <v/>
      </c>
      <c r="AS762">
        <f>HYPERLINK("https://creighton-primo.hosted.exlibrisgroup.com/primo-explore/search?tab=default_tab&amp;search_scope=EVERYTHING&amp;vid=01CRU&amp;lang=en_US&amp;offset=0&amp;query=any,contains,991005070859702656","Catalog Record")</f>
        <v/>
      </c>
      <c r="AT762">
        <f>HYPERLINK("http://www.worldcat.org/oclc/5101646","WorldCat Record")</f>
        <v/>
      </c>
      <c r="AU762" t="inlineStr">
        <is>
          <t>889940861:eng</t>
        </is>
      </c>
      <c r="AV762" t="inlineStr">
        <is>
          <t>5101646</t>
        </is>
      </c>
      <c r="AW762" t="inlineStr">
        <is>
          <t>991005070859702656</t>
        </is>
      </c>
      <c r="AX762" t="inlineStr">
        <is>
          <t>991005070859702656</t>
        </is>
      </c>
      <c r="AY762" t="inlineStr">
        <is>
          <t>2257004260002656</t>
        </is>
      </c>
      <c r="AZ762" t="inlineStr">
        <is>
          <t>BOOK</t>
        </is>
      </c>
      <c r="BC762" t="inlineStr">
        <is>
          <t>32285000316587</t>
        </is>
      </c>
      <c r="BD762" t="inlineStr">
        <is>
          <t>893619393</t>
        </is>
      </c>
    </row>
    <row r="763">
      <c r="A763" t="inlineStr">
        <is>
          <t>No</t>
        </is>
      </c>
      <c r="B763" t="inlineStr">
        <is>
          <t>GN480 .F68</t>
        </is>
      </c>
      <c r="C763" t="inlineStr">
        <is>
          <t>0                      GN 0480000F  68</t>
        </is>
      </c>
      <c r="D763" t="inlineStr">
        <is>
          <t>Kinship and marriage: an anthropological perspective.</t>
        </is>
      </c>
      <c r="F763" t="inlineStr">
        <is>
          <t>No</t>
        </is>
      </c>
      <c r="G763" t="inlineStr">
        <is>
          <t>1</t>
        </is>
      </c>
      <c r="H763" t="inlineStr">
        <is>
          <t>No</t>
        </is>
      </c>
      <c r="I763" t="inlineStr">
        <is>
          <t>No</t>
        </is>
      </c>
      <c r="J763" t="inlineStr">
        <is>
          <t>0</t>
        </is>
      </c>
      <c r="K763" t="inlineStr">
        <is>
          <t>Fox, Robin, 1934-</t>
        </is>
      </c>
      <c r="L763" t="inlineStr">
        <is>
          <t>Harmondsworth, Penguin, 1967, 1969 printing.</t>
        </is>
      </c>
      <c r="M763" t="inlineStr">
        <is>
          <t>1967</t>
        </is>
      </c>
      <c r="O763" t="inlineStr">
        <is>
          <t>eng</t>
        </is>
      </c>
      <c r="P763" t="inlineStr">
        <is>
          <t>enk</t>
        </is>
      </c>
      <c r="Q763" t="inlineStr">
        <is>
          <t>Pelican anthropology library</t>
        </is>
      </c>
      <c r="R763" t="inlineStr">
        <is>
          <t xml:space="preserve">GN </t>
        </is>
      </c>
      <c r="S763" t="n">
        <v>9</v>
      </c>
      <c r="T763" t="n">
        <v>9</v>
      </c>
      <c r="U763" t="inlineStr">
        <is>
          <t>1997-09-12</t>
        </is>
      </c>
      <c r="V763" t="inlineStr">
        <is>
          <t>1997-09-12</t>
        </is>
      </c>
      <c r="W763" t="inlineStr">
        <is>
          <t>1990-09-26</t>
        </is>
      </c>
      <c r="X763" t="inlineStr">
        <is>
          <t>1990-09-26</t>
        </is>
      </c>
      <c r="Y763" t="n">
        <v>518</v>
      </c>
      <c r="Z763" t="n">
        <v>465</v>
      </c>
      <c r="AA763" t="n">
        <v>831</v>
      </c>
      <c r="AB763" t="n">
        <v>5</v>
      </c>
      <c r="AC763" t="n">
        <v>7</v>
      </c>
      <c r="AD763" t="n">
        <v>20</v>
      </c>
      <c r="AE763" t="n">
        <v>36</v>
      </c>
      <c r="AF763" t="n">
        <v>7</v>
      </c>
      <c r="AG763" t="n">
        <v>15</v>
      </c>
      <c r="AH763" t="n">
        <v>3</v>
      </c>
      <c r="AI763" t="n">
        <v>5</v>
      </c>
      <c r="AJ763" t="n">
        <v>10</v>
      </c>
      <c r="AK763" t="n">
        <v>19</v>
      </c>
      <c r="AL763" t="n">
        <v>4</v>
      </c>
      <c r="AM763" t="n">
        <v>5</v>
      </c>
      <c r="AN763" t="n">
        <v>0</v>
      </c>
      <c r="AO763" t="n">
        <v>0</v>
      </c>
      <c r="AP763" t="inlineStr">
        <is>
          <t>No</t>
        </is>
      </c>
      <c r="AQ763" t="inlineStr">
        <is>
          <t>No</t>
        </is>
      </c>
      <c r="AR763">
        <f>HYPERLINK("http://catalog.hathitrust.org/Record/001274949","HathiTrust Record")</f>
        <v/>
      </c>
      <c r="AS763">
        <f>HYPERLINK("https://creighton-primo.hosted.exlibrisgroup.com/primo-explore/search?tab=default_tab&amp;search_scope=EVERYTHING&amp;vid=01CRU&amp;lang=en_US&amp;offset=0&amp;query=any,contains,991002859509702656","Catalog Record")</f>
        <v/>
      </c>
      <c r="AT763">
        <f>HYPERLINK("http://www.worldcat.org/oclc/492088","WorldCat Record")</f>
        <v/>
      </c>
      <c r="AU763" t="inlineStr">
        <is>
          <t>50997663:eng</t>
        </is>
      </c>
      <c r="AV763" t="inlineStr">
        <is>
          <t>492088</t>
        </is>
      </c>
      <c r="AW763" t="inlineStr">
        <is>
          <t>991002859509702656</t>
        </is>
      </c>
      <c r="AX763" t="inlineStr">
        <is>
          <t>991002859509702656</t>
        </is>
      </c>
      <c r="AY763" t="inlineStr">
        <is>
          <t>2255346830002656</t>
        </is>
      </c>
      <c r="AZ763" t="inlineStr">
        <is>
          <t>BOOK</t>
        </is>
      </c>
      <c r="BC763" t="inlineStr">
        <is>
          <t>32285000316603</t>
        </is>
      </c>
      <c r="BD763" t="inlineStr">
        <is>
          <t>893409641</t>
        </is>
      </c>
    </row>
    <row r="764">
      <c r="A764" t="inlineStr">
        <is>
          <t>No</t>
        </is>
      </c>
      <c r="B764" t="inlineStr">
        <is>
          <t>GN480 .L413 1969b</t>
        </is>
      </c>
      <c r="C764" t="inlineStr">
        <is>
          <t>0                      GN 0480000L  413         1969b</t>
        </is>
      </c>
      <c r="D764" t="inlineStr">
        <is>
          <t>The elementary structures of kinship. Translated from the French by James Harle Bell, John Richard von Sturmer, and Rodney Needham, editor.</t>
        </is>
      </c>
      <c r="F764" t="inlineStr">
        <is>
          <t>No</t>
        </is>
      </c>
      <c r="G764" t="inlineStr">
        <is>
          <t>1</t>
        </is>
      </c>
      <c r="H764" t="inlineStr">
        <is>
          <t>No</t>
        </is>
      </c>
      <c r="I764" t="inlineStr">
        <is>
          <t>No</t>
        </is>
      </c>
      <c r="J764" t="inlineStr">
        <is>
          <t>0</t>
        </is>
      </c>
      <c r="K764" t="inlineStr">
        <is>
          <t>Lévi-Strauss, Claude.</t>
        </is>
      </c>
      <c r="L764" t="inlineStr">
        <is>
          <t>Boston, Beacon Press [1969]</t>
        </is>
      </c>
      <c r="M764" t="inlineStr">
        <is>
          <t>1969</t>
        </is>
      </c>
      <c r="N764" t="inlineStr">
        <is>
          <t>Rev. ed.</t>
        </is>
      </c>
      <c r="O764" t="inlineStr">
        <is>
          <t>eng</t>
        </is>
      </c>
      <c r="P764" t="inlineStr">
        <is>
          <t>mau</t>
        </is>
      </c>
      <c r="R764" t="inlineStr">
        <is>
          <t xml:space="preserve">GN </t>
        </is>
      </c>
      <c r="S764" t="n">
        <v>4</v>
      </c>
      <c r="T764" t="n">
        <v>4</v>
      </c>
      <c r="U764" t="inlineStr">
        <is>
          <t>2007-12-04</t>
        </is>
      </c>
      <c r="V764" t="inlineStr">
        <is>
          <t>2007-12-04</t>
        </is>
      </c>
      <c r="W764" t="inlineStr">
        <is>
          <t>1997-05-28</t>
        </is>
      </c>
      <c r="X764" t="inlineStr">
        <is>
          <t>1997-05-28</t>
        </is>
      </c>
      <c r="Y764" t="n">
        <v>1270</v>
      </c>
      <c r="Z764" t="n">
        <v>1092</v>
      </c>
      <c r="AA764" t="n">
        <v>1203</v>
      </c>
      <c r="AB764" t="n">
        <v>3</v>
      </c>
      <c r="AC764" t="n">
        <v>3</v>
      </c>
      <c r="AD764" t="n">
        <v>43</v>
      </c>
      <c r="AE764" t="n">
        <v>45</v>
      </c>
      <c r="AF764" t="n">
        <v>22</v>
      </c>
      <c r="AG764" t="n">
        <v>22</v>
      </c>
      <c r="AH764" t="n">
        <v>9</v>
      </c>
      <c r="AI764" t="n">
        <v>10</v>
      </c>
      <c r="AJ764" t="n">
        <v>20</v>
      </c>
      <c r="AK764" t="n">
        <v>22</v>
      </c>
      <c r="AL764" t="n">
        <v>2</v>
      </c>
      <c r="AM764" t="n">
        <v>2</v>
      </c>
      <c r="AN764" t="n">
        <v>1</v>
      </c>
      <c r="AO764" t="n">
        <v>1</v>
      </c>
      <c r="AP764" t="inlineStr">
        <is>
          <t>No</t>
        </is>
      </c>
      <c r="AQ764" t="inlineStr">
        <is>
          <t>No</t>
        </is>
      </c>
      <c r="AS764">
        <f>HYPERLINK("https://creighton-primo.hosted.exlibrisgroup.com/primo-explore/search?tab=default_tab&amp;search_scope=EVERYTHING&amp;vid=01CRU&amp;lang=en_US&amp;offset=0&amp;query=any,contains,991005431989702656","Catalog Record")</f>
        <v/>
      </c>
      <c r="AT764">
        <f>HYPERLINK("http://www.worldcat.org/oclc/847","WorldCat Record")</f>
        <v/>
      </c>
      <c r="AU764" t="inlineStr">
        <is>
          <t>463423:eng</t>
        </is>
      </c>
      <c r="AV764" t="inlineStr">
        <is>
          <t>847</t>
        </is>
      </c>
      <c r="AW764" t="inlineStr">
        <is>
          <t>991005431989702656</t>
        </is>
      </c>
      <c r="AX764" t="inlineStr">
        <is>
          <t>991005431989702656</t>
        </is>
      </c>
      <c r="AY764" t="inlineStr">
        <is>
          <t>2272667560002656</t>
        </is>
      </c>
      <c r="AZ764" t="inlineStr">
        <is>
          <t>BOOK</t>
        </is>
      </c>
      <c r="BC764" t="inlineStr">
        <is>
          <t>32285002696093</t>
        </is>
      </c>
      <c r="BD764" t="inlineStr">
        <is>
          <t>893326746</t>
        </is>
      </c>
    </row>
    <row r="765">
      <c r="A765" t="inlineStr">
        <is>
          <t>No</t>
        </is>
      </c>
      <c r="B765" t="inlineStr">
        <is>
          <t>GN480 .V18</t>
        </is>
      </c>
      <c r="C765" t="inlineStr">
        <is>
          <t>0                      GN 0480000V  18</t>
        </is>
      </c>
      <c r="D765" t="inlineStr">
        <is>
          <t>Human family systems : an evolutionary view / Pierre L. van den Berghe.</t>
        </is>
      </c>
      <c r="F765" t="inlineStr">
        <is>
          <t>No</t>
        </is>
      </c>
      <c r="G765" t="inlineStr">
        <is>
          <t>1</t>
        </is>
      </c>
      <c r="H765" t="inlineStr">
        <is>
          <t>No</t>
        </is>
      </c>
      <c r="I765" t="inlineStr">
        <is>
          <t>No</t>
        </is>
      </c>
      <c r="J765" t="inlineStr">
        <is>
          <t>0</t>
        </is>
      </c>
      <c r="K765" t="inlineStr">
        <is>
          <t>Van den Berghe, Pierre L.</t>
        </is>
      </c>
      <c r="L765" t="inlineStr">
        <is>
          <t>New York : Elsevier, c1979.</t>
        </is>
      </c>
      <c r="M765" t="inlineStr">
        <is>
          <t>1979</t>
        </is>
      </c>
      <c r="O765" t="inlineStr">
        <is>
          <t>eng</t>
        </is>
      </c>
      <c r="P765" t="inlineStr">
        <is>
          <t>nyu</t>
        </is>
      </c>
      <c r="R765" t="inlineStr">
        <is>
          <t xml:space="preserve">GN </t>
        </is>
      </c>
      <c r="S765" t="n">
        <v>5</v>
      </c>
      <c r="T765" t="n">
        <v>5</v>
      </c>
      <c r="U765" t="inlineStr">
        <is>
          <t>1997-02-06</t>
        </is>
      </c>
      <c r="V765" t="inlineStr">
        <is>
          <t>1997-02-06</t>
        </is>
      </c>
      <c r="W765" t="inlineStr">
        <is>
          <t>1990-09-26</t>
        </is>
      </c>
      <c r="X765" t="inlineStr">
        <is>
          <t>1990-09-26</t>
        </is>
      </c>
      <c r="Y765" t="n">
        <v>648</v>
      </c>
      <c r="Z765" t="n">
        <v>518</v>
      </c>
      <c r="AA765" t="n">
        <v>571</v>
      </c>
      <c r="AB765" t="n">
        <v>4</v>
      </c>
      <c r="AC765" t="n">
        <v>4</v>
      </c>
      <c r="AD765" t="n">
        <v>15</v>
      </c>
      <c r="AE765" t="n">
        <v>19</v>
      </c>
      <c r="AF765" t="n">
        <v>5</v>
      </c>
      <c r="AG765" t="n">
        <v>6</v>
      </c>
      <c r="AH765" t="n">
        <v>3</v>
      </c>
      <c r="AI765" t="n">
        <v>4</v>
      </c>
      <c r="AJ765" t="n">
        <v>9</v>
      </c>
      <c r="AK765" t="n">
        <v>11</v>
      </c>
      <c r="AL765" t="n">
        <v>3</v>
      </c>
      <c r="AM765" t="n">
        <v>3</v>
      </c>
      <c r="AN765" t="n">
        <v>0</v>
      </c>
      <c r="AO765" t="n">
        <v>0</v>
      </c>
      <c r="AP765" t="inlineStr">
        <is>
          <t>No</t>
        </is>
      </c>
      <c r="AQ765" t="inlineStr">
        <is>
          <t>Yes</t>
        </is>
      </c>
      <c r="AR765">
        <f>HYPERLINK("http://catalog.hathitrust.org/Record/000694315","HathiTrust Record")</f>
        <v/>
      </c>
      <c r="AS765">
        <f>HYPERLINK("https://creighton-primo.hosted.exlibrisgroup.com/primo-explore/search?tab=default_tab&amp;search_scope=EVERYTHING&amp;vid=01CRU&amp;lang=en_US&amp;offset=0&amp;query=any,contains,991004728349702656","Catalog Record")</f>
        <v/>
      </c>
      <c r="AT765">
        <f>HYPERLINK("http://www.worldcat.org/oclc/4831727","WorldCat Record")</f>
        <v/>
      </c>
      <c r="AU765" t="inlineStr">
        <is>
          <t>483584:eng</t>
        </is>
      </c>
      <c r="AV765" t="inlineStr">
        <is>
          <t>4831727</t>
        </is>
      </c>
      <c r="AW765" t="inlineStr">
        <is>
          <t>991004728349702656</t>
        </is>
      </c>
      <c r="AX765" t="inlineStr">
        <is>
          <t>991004728349702656</t>
        </is>
      </c>
      <c r="AY765" t="inlineStr">
        <is>
          <t>2265651300002656</t>
        </is>
      </c>
      <c r="AZ765" t="inlineStr">
        <is>
          <t>BOOK</t>
        </is>
      </c>
      <c r="BB765" t="inlineStr">
        <is>
          <t>9780444990617</t>
        </is>
      </c>
      <c r="BC765" t="inlineStr">
        <is>
          <t>32285000316611</t>
        </is>
      </c>
      <c r="BD765" t="inlineStr">
        <is>
          <t>893260099</t>
        </is>
      </c>
    </row>
    <row r="766">
      <c r="A766" t="inlineStr">
        <is>
          <t>No</t>
        </is>
      </c>
      <c r="B766" t="inlineStr">
        <is>
          <t>GN480.2 .F56 2000</t>
        </is>
      </c>
      <c r="C766" t="inlineStr">
        <is>
          <t>0                      GN 0480200F  56          2000</t>
        </is>
      </c>
      <c r="D766" t="inlineStr">
        <is>
          <t>Experiencing the new genetics : family and kinship on the medical frontier / Kaja Finkler.</t>
        </is>
      </c>
      <c r="F766" t="inlineStr">
        <is>
          <t>No</t>
        </is>
      </c>
      <c r="G766" t="inlineStr">
        <is>
          <t>1</t>
        </is>
      </c>
      <c r="H766" t="inlineStr">
        <is>
          <t>No</t>
        </is>
      </c>
      <c r="I766" t="inlineStr">
        <is>
          <t>No</t>
        </is>
      </c>
      <c r="J766" t="inlineStr">
        <is>
          <t>0</t>
        </is>
      </c>
      <c r="K766" t="inlineStr">
        <is>
          <t>Finkler, Kaja.</t>
        </is>
      </c>
      <c r="L766" t="inlineStr">
        <is>
          <t>Philadelphia : University of Pennsylvania Press, c2000.</t>
        </is>
      </c>
      <c r="M766" t="inlineStr">
        <is>
          <t>2000</t>
        </is>
      </c>
      <c r="O766" t="inlineStr">
        <is>
          <t>eng</t>
        </is>
      </c>
      <c r="P766" t="inlineStr">
        <is>
          <t>pau</t>
        </is>
      </c>
      <c r="R766" t="inlineStr">
        <is>
          <t xml:space="preserve">GN </t>
        </is>
      </c>
      <c r="S766" t="n">
        <v>1</v>
      </c>
      <c r="T766" t="n">
        <v>1</v>
      </c>
      <c r="U766" t="inlineStr">
        <is>
          <t>2001-05-03</t>
        </is>
      </c>
      <c r="V766" t="inlineStr">
        <is>
          <t>2001-05-03</t>
        </is>
      </c>
      <c r="W766" t="inlineStr">
        <is>
          <t>2001-05-03</t>
        </is>
      </c>
      <c r="X766" t="inlineStr">
        <is>
          <t>2001-05-03</t>
        </is>
      </c>
      <c r="Y766" t="n">
        <v>512</v>
      </c>
      <c r="Z766" t="n">
        <v>416</v>
      </c>
      <c r="AA766" t="n">
        <v>839</v>
      </c>
      <c r="AB766" t="n">
        <v>3</v>
      </c>
      <c r="AC766" t="n">
        <v>6</v>
      </c>
      <c r="AD766" t="n">
        <v>22</v>
      </c>
      <c r="AE766" t="n">
        <v>40</v>
      </c>
      <c r="AF766" t="n">
        <v>7</v>
      </c>
      <c r="AG766" t="n">
        <v>16</v>
      </c>
      <c r="AH766" t="n">
        <v>6</v>
      </c>
      <c r="AI766" t="n">
        <v>10</v>
      </c>
      <c r="AJ766" t="n">
        <v>12</v>
      </c>
      <c r="AK766" t="n">
        <v>17</v>
      </c>
      <c r="AL766" t="n">
        <v>2</v>
      </c>
      <c r="AM766" t="n">
        <v>5</v>
      </c>
      <c r="AN766" t="n">
        <v>0</v>
      </c>
      <c r="AO766" t="n">
        <v>1</v>
      </c>
      <c r="AP766" t="inlineStr">
        <is>
          <t>No</t>
        </is>
      </c>
      <c r="AQ766" t="inlineStr">
        <is>
          <t>Yes</t>
        </is>
      </c>
      <c r="AR766">
        <f>HYPERLINK("http://catalog.hathitrust.org/Record/004073930","HathiTrust Record")</f>
        <v/>
      </c>
      <c r="AS766">
        <f>HYPERLINK("https://creighton-primo.hosted.exlibrisgroup.com/primo-explore/search?tab=default_tab&amp;search_scope=EVERYTHING&amp;vid=01CRU&amp;lang=en_US&amp;offset=0&amp;query=any,contains,991003514859702656","Catalog Record")</f>
        <v/>
      </c>
      <c r="AT766">
        <f>HYPERLINK("http://www.worldcat.org/oclc/42889706","WorldCat Record")</f>
        <v/>
      </c>
      <c r="AU766" t="inlineStr">
        <is>
          <t>837012869:eng</t>
        </is>
      </c>
      <c r="AV766" t="inlineStr">
        <is>
          <t>42889706</t>
        </is>
      </c>
      <c r="AW766" t="inlineStr">
        <is>
          <t>991003514859702656</t>
        </is>
      </c>
      <c r="AX766" t="inlineStr">
        <is>
          <t>991003514859702656</t>
        </is>
      </c>
      <c r="AY766" t="inlineStr">
        <is>
          <t>2260772410002656</t>
        </is>
      </c>
      <c r="AZ766" t="inlineStr">
        <is>
          <t>BOOK</t>
        </is>
      </c>
      <c r="BB766" t="inlineStr">
        <is>
          <t>9780812217209</t>
        </is>
      </c>
      <c r="BC766" t="inlineStr">
        <is>
          <t>32285004316245</t>
        </is>
      </c>
      <c r="BD766" t="inlineStr">
        <is>
          <t>893499375</t>
        </is>
      </c>
    </row>
    <row r="767">
      <c r="A767" t="inlineStr">
        <is>
          <t>No</t>
        </is>
      </c>
      <c r="B767" t="inlineStr">
        <is>
          <t>GN480.25 .F69 1980</t>
        </is>
      </c>
      <c r="C767" t="inlineStr">
        <is>
          <t>0                      GN 0480250F  69          1980</t>
        </is>
      </c>
      <c r="D767" t="inlineStr">
        <is>
          <t>The red lamp of incest / Robin Fox.</t>
        </is>
      </c>
      <c r="F767" t="inlineStr">
        <is>
          <t>No</t>
        </is>
      </c>
      <c r="G767" t="inlineStr">
        <is>
          <t>1</t>
        </is>
      </c>
      <c r="H767" t="inlineStr">
        <is>
          <t>No</t>
        </is>
      </c>
      <c r="I767" t="inlineStr">
        <is>
          <t>No</t>
        </is>
      </c>
      <c r="J767" t="inlineStr">
        <is>
          <t>0</t>
        </is>
      </c>
      <c r="K767" t="inlineStr">
        <is>
          <t>Fox, Robin, 1934-</t>
        </is>
      </c>
      <c r="L767" t="inlineStr">
        <is>
          <t>New York : Dutton, c1980.</t>
        </is>
      </c>
      <c r="M767" t="inlineStr">
        <is>
          <t>1980</t>
        </is>
      </c>
      <c r="N767" t="inlineStr">
        <is>
          <t>1st ed.</t>
        </is>
      </c>
      <c r="O767" t="inlineStr">
        <is>
          <t>eng</t>
        </is>
      </c>
      <c r="P767" t="inlineStr">
        <is>
          <t>nyu</t>
        </is>
      </c>
      <c r="R767" t="inlineStr">
        <is>
          <t xml:space="preserve">GN </t>
        </is>
      </c>
      <c r="S767" t="n">
        <v>3</v>
      </c>
      <c r="T767" t="n">
        <v>3</v>
      </c>
      <c r="U767" t="inlineStr">
        <is>
          <t>1994-06-29</t>
        </is>
      </c>
      <c r="V767" t="inlineStr">
        <is>
          <t>1994-06-29</t>
        </is>
      </c>
      <c r="W767" t="inlineStr">
        <is>
          <t>1990-06-22</t>
        </is>
      </c>
      <c r="X767" t="inlineStr">
        <is>
          <t>1990-06-22</t>
        </is>
      </c>
      <c r="Y767" t="n">
        <v>811</v>
      </c>
      <c r="Z767" t="n">
        <v>746</v>
      </c>
      <c r="AA767" t="n">
        <v>762</v>
      </c>
      <c r="AB767" t="n">
        <v>4</v>
      </c>
      <c r="AC767" t="n">
        <v>4</v>
      </c>
      <c r="AD767" t="n">
        <v>21</v>
      </c>
      <c r="AE767" t="n">
        <v>21</v>
      </c>
      <c r="AF767" t="n">
        <v>7</v>
      </c>
      <c r="AG767" t="n">
        <v>7</v>
      </c>
      <c r="AH767" t="n">
        <v>4</v>
      </c>
      <c r="AI767" t="n">
        <v>4</v>
      </c>
      <c r="AJ767" t="n">
        <v>10</v>
      </c>
      <c r="AK767" t="n">
        <v>10</v>
      </c>
      <c r="AL767" t="n">
        <v>3</v>
      </c>
      <c r="AM767" t="n">
        <v>3</v>
      </c>
      <c r="AN767" t="n">
        <v>0</v>
      </c>
      <c r="AO767" t="n">
        <v>0</v>
      </c>
      <c r="AP767" t="inlineStr">
        <is>
          <t>No</t>
        </is>
      </c>
      <c r="AQ767" t="inlineStr">
        <is>
          <t>Yes</t>
        </is>
      </c>
      <c r="AR767">
        <f>HYPERLINK("http://catalog.hathitrust.org/Record/000137850","HathiTrust Record")</f>
        <v/>
      </c>
      <c r="AS767">
        <f>HYPERLINK("https://creighton-primo.hosted.exlibrisgroup.com/primo-explore/search?tab=default_tab&amp;search_scope=EVERYTHING&amp;vid=01CRU&amp;lang=en_US&amp;offset=0&amp;query=any,contains,991004927549702656","Catalog Record")</f>
        <v/>
      </c>
      <c r="AT767">
        <f>HYPERLINK("http://www.worldcat.org/oclc/6087111","WorldCat Record")</f>
        <v/>
      </c>
      <c r="AU767" t="inlineStr">
        <is>
          <t>144668493:eng</t>
        </is>
      </c>
      <c r="AV767" t="inlineStr">
        <is>
          <t>6087111</t>
        </is>
      </c>
      <c r="AW767" t="inlineStr">
        <is>
          <t>991004927549702656</t>
        </is>
      </c>
      <c r="AX767" t="inlineStr">
        <is>
          <t>991004927549702656</t>
        </is>
      </c>
      <c r="AY767" t="inlineStr">
        <is>
          <t>2259523360002656</t>
        </is>
      </c>
      <c r="AZ767" t="inlineStr">
        <is>
          <t>BOOK</t>
        </is>
      </c>
      <c r="BB767" t="inlineStr">
        <is>
          <t>9780525189435</t>
        </is>
      </c>
      <c r="BC767" t="inlineStr">
        <is>
          <t>32285000212646</t>
        </is>
      </c>
      <c r="BD767" t="inlineStr">
        <is>
          <t>893889434</t>
        </is>
      </c>
    </row>
    <row r="768">
      <c r="A768" t="inlineStr">
        <is>
          <t>No</t>
        </is>
      </c>
      <c r="B768" t="inlineStr">
        <is>
          <t>GN480.4 .S33</t>
        </is>
      </c>
      <c r="C768" t="inlineStr">
        <is>
          <t>0                      GN 0480400S  33</t>
        </is>
      </c>
      <c r="D768" t="inlineStr">
        <is>
          <t>Male dominance and female autonomy; domestic authority in matrilineal societies. With a foreword by Raoul Naroll.</t>
        </is>
      </c>
      <c r="F768" t="inlineStr">
        <is>
          <t>No</t>
        </is>
      </c>
      <c r="G768" t="inlineStr">
        <is>
          <t>1</t>
        </is>
      </c>
      <c r="H768" t="inlineStr">
        <is>
          <t>No</t>
        </is>
      </c>
      <c r="I768" t="inlineStr">
        <is>
          <t>No</t>
        </is>
      </c>
      <c r="J768" t="inlineStr">
        <is>
          <t>0</t>
        </is>
      </c>
      <c r="K768" t="inlineStr">
        <is>
          <t>Schlegel, Alice.</t>
        </is>
      </c>
      <c r="L768" t="inlineStr">
        <is>
          <t>[New Haven, Conn.] HRAF Press, 1972.</t>
        </is>
      </c>
      <c r="M768" t="inlineStr">
        <is>
          <t>1972</t>
        </is>
      </c>
      <c r="O768" t="inlineStr">
        <is>
          <t>eng</t>
        </is>
      </c>
      <c r="P768" t="inlineStr">
        <is>
          <t>ctu</t>
        </is>
      </c>
      <c r="R768" t="inlineStr">
        <is>
          <t xml:space="preserve">GN </t>
        </is>
      </c>
      <c r="S768" t="n">
        <v>3</v>
      </c>
      <c r="T768" t="n">
        <v>3</v>
      </c>
      <c r="U768" t="inlineStr">
        <is>
          <t>2004-04-03</t>
        </is>
      </c>
      <c r="V768" t="inlineStr">
        <is>
          <t>2004-04-03</t>
        </is>
      </c>
      <c r="W768" t="inlineStr">
        <is>
          <t>1997-05-28</t>
        </is>
      </c>
      <c r="X768" t="inlineStr">
        <is>
          <t>1997-05-28</t>
        </is>
      </c>
      <c r="Y768" t="n">
        <v>545</v>
      </c>
      <c r="Z768" t="n">
        <v>459</v>
      </c>
      <c r="AA768" t="n">
        <v>489</v>
      </c>
      <c r="AB768" t="n">
        <v>4</v>
      </c>
      <c r="AC768" t="n">
        <v>4</v>
      </c>
      <c r="AD768" t="n">
        <v>19</v>
      </c>
      <c r="AE768" t="n">
        <v>19</v>
      </c>
      <c r="AF768" t="n">
        <v>4</v>
      </c>
      <c r="AG768" t="n">
        <v>4</v>
      </c>
      <c r="AH768" t="n">
        <v>4</v>
      </c>
      <c r="AI768" t="n">
        <v>4</v>
      </c>
      <c r="AJ768" t="n">
        <v>12</v>
      </c>
      <c r="AK768" t="n">
        <v>12</v>
      </c>
      <c r="AL768" t="n">
        <v>3</v>
      </c>
      <c r="AM768" t="n">
        <v>3</v>
      </c>
      <c r="AN768" t="n">
        <v>0</v>
      </c>
      <c r="AO768" t="n">
        <v>0</v>
      </c>
      <c r="AP768" t="inlineStr">
        <is>
          <t>No</t>
        </is>
      </c>
      <c r="AQ768" t="inlineStr">
        <is>
          <t>Yes</t>
        </is>
      </c>
      <c r="AR768">
        <f>HYPERLINK("http://catalog.hathitrust.org/Record/007112114","HathiTrust Record")</f>
        <v/>
      </c>
      <c r="AS768">
        <f>HYPERLINK("https://creighton-primo.hosted.exlibrisgroup.com/primo-explore/search?tab=default_tab&amp;search_scope=EVERYTHING&amp;vid=01CRU&amp;lang=en_US&amp;offset=0&amp;query=any,contains,991002916999702656","Catalog Record")</f>
        <v/>
      </c>
      <c r="AT768">
        <f>HYPERLINK("http://www.worldcat.org/oclc/524369","WorldCat Record")</f>
        <v/>
      </c>
      <c r="AU768" t="inlineStr">
        <is>
          <t>220181614:eng</t>
        </is>
      </c>
      <c r="AV768" t="inlineStr">
        <is>
          <t>524369</t>
        </is>
      </c>
      <c r="AW768" t="inlineStr">
        <is>
          <t>991002916999702656</t>
        </is>
      </c>
      <c r="AX768" t="inlineStr">
        <is>
          <t>991002916999702656</t>
        </is>
      </c>
      <c r="AY768" t="inlineStr">
        <is>
          <t>2261056270002656</t>
        </is>
      </c>
      <c r="AZ768" t="inlineStr">
        <is>
          <t>BOOK</t>
        </is>
      </c>
      <c r="BC768" t="inlineStr">
        <is>
          <t>32285002696127</t>
        </is>
      </c>
      <c r="BD768" t="inlineStr">
        <is>
          <t>893616758</t>
        </is>
      </c>
    </row>
    <row r="769">
      <c r="A769" t="inlineStr">
        <is>
          <t>No</t>
        </is>
      </c>
      <c r="B769" t="inlineStr">
        <is>
          <t>GN481 .M6</t>
        </is>
      </c>
      <c r="C769" t="inlineStr">
        <is>
          <t>0                      GN 0481000M  6</t>
        </is>
      </c>
      <c r="D769" t="inlineStr">
        <is>
          <t>Mothers of six cultures; antecedents of child rearing [by] Leigh Minturn [and] William W. Lambert.</t>
        </is>
      </c>
      <c r="F769" t="inlineStr">
        <is>
          <t>No</t>
        </is>
      </c>
      <c r="G769" t="inlineStr">
        <is>
          <t>1</t>
        </is>
      </c>
      <c r="H769" t="inlineStr">
        <is>
          <t>No</t>
        </is>
      </c>
      <c r="I769" t="inlineStr">
        <is>
          <t>No</t>
        </is>
      </c>
      <c r="J769" t="inlineStr">
        <is>
          <t>0</t>
        </is>
      </c>
      <c r="K769" t="inlineStr">
        <is>
          <t>Minturn, Leigh.</t>
        </is>
      </c>
      <c r="L769" t="inlineStr">
        <is>
          <t>New York, J. Wiley [1964]</t>
        </is>
      </c>
      <c r="M769" t="inlineStr">
        <is>
          <t>1964</t>
        </is>
      </c>
      <c r="O769" t="inlineStr">
        <is>
          <t>eng</t>
        </is>
      </c>
      <c r="P769" t="inlineStr">
        <is>
          <t>nyu</t>
        </is>
      </c>
      <c r="R769" t="inlineStr">
        <is>
          <t xml:space="preserve">GN </t>
        </is>
      </c>
      <c r="S769" t="n">
        <v>2</v>
      </c>
      <c r="T769" t="n">
        <v>2</v>
      </c>
      <c r="U769" t="inlineStr">
        <is>
          <t>2005-04-11</t>
        </is>
      </c>
      <c r="V769" t="inlineStr">
        <is>
          <t>2005-04-11</t>
        </is>
      </c>
      <c r="W769" t="inlineStr">
        <is>
          <t>1997-05-28</t>
        </is>
      </c>
      <c r="X769" t="inlineStr">
        <is>
          <t>1997-05-28</t>
        </is>
      </c>
      <c r="Y769" t="n">
        <v>1005</v>
      </c>
      <c r="Z769" t="n">
        <v>866</v>
      </c>
      <c r="AA769" t="n">
        <v>873</v>
      </c>
      <c r="AB769" t="n">
        <v>5</v>
      </c>
      <c r="AC769" t="n">
        <v>5</v>
      </c>
      <c r="AD769" t="n">
        <v>36</v>
      </c>
      <c r="AE769" t="n">
        <v>36</v>
      </c>
      <c r="AF769" t="n">
        <v>16</v>
      </c>
      <c r="AG769" t="n">
        <v>16</v>
      </c>
      <c r="AH769" t="n">
        <v>5</v>
      </c>
      <c r="AI769" t="n">
        <v>5</v>
      </c>
      <c r="AJ769" t="n">
        <v>19</v>
      </c>
      <c r="AK769" t="n">
        <v>19</v>
      </c>
      <c r="AL769" t="n">
        <v>4</v>
      </c>
      <c r="AM769" t="n">
        <v>4</v>
      </c>
      <c r="AN769" t="n">
        <v>0</v>
      </c>
      <c r="AO769" t="n">
        <v>0</v>
      </c>
      <c r="AP769" t="inlineStr">
        <is>
          <t>No</t>
        </is>
      </c>
      <c r="AQ769" t="inlineStr">
        <is>
          <t>Yes</t>
        </is>
      </c>
      <c r="AR769">
        <f>HYPERLINK("http://catalog.hathitrust.org/Record/001274924","HathiTrust Record")</f>
        <v/>
      </c>
      <c r="AS769">
        <f>HYPERLINK("https://creighton-primo.hosted.exlibrisgroup.com/primo-explore/search?tab=default_tab&amp;search_scope=EVERYTHING&amp;vid=01CRU&amp;lang=en_US&amp;offset=0&amp;query=any,contains,991002855619702656","Catalog Record")</f>
        <v/>
      </c>
      <c r="AT769">
        <f>HYPERLINK("http://www.worldcat.org/oclc/489588","WorldCat Record")</f>
        <v/>
      </c>
      <c r="AU769" t="inlineStr">
        <is>
          <t>196505407:eng</t>
        </is>
      </c>
      <c r="AV769" t="inlineStr">
        <is>
          <t>489588</t>
        </is>
      </c>
      <c r="AW769" t="inlineStr">
        <is>
          <t>991002855619702656</t>
        </is>
      </c>
      <c r="AX769" t="inlineStr">
        <is>
          <t>991002855619702656</t>
        </is>
      </c>
      <c r="AY769" t="inlineStr">
        <is>
          <t>2255539980002656</t>
        </is>
      </c>
      <c r="AZ769" t="inlineStr">
        <is>
          <t>BOOK</t>
        </is>
      </c>
      <c r="BC769" t="inlineStr">
        <is>
          <t>32285002696135</t>
        </is>
      </c>
      <c r="BD769" t="inlineStr">
        <is>
          <t>893774113</t>
        </is>
      </c>
    </row>
    <row r="770">
      <c r="A770" t="inlineStr">
        <is>
          <t>No</t>
        </is>
      </c>
      <c r="B770" t="inlineStr">
        <is>
          <t>GN482 .M4</t>
        </is>
      </c>
      <c r="C770" t="inlineStr">
        <is>
          <t>0                      GN 0482000M  4</t>
        </is>
      </c>
      <c r="D770" t="inlineStr">
        <is>
          <t>From the South seas; studies of adolescence and sex in primitive societies, by Margaret Mead ...</t>
        </is>
      </c>
      <c r="F770" t="inlineStr">
        <is>
          <t>No</t>
        </is>
      </c>
      <c r="G770" t="inlineStr">
        <is>
          <t>1</t>
        </is>
      </c>
      <c r="H770" t="inlineStr">
        <is>
          <t>No</t>
        </is>
      </c>
      <c r="I770" t="inlineStr">
        <is>
          <t>No</t>
        </is>
      </c>
      <c r="J770" t="inlineStr">
        <is>
          <t>0</t>
        </is>
      </c>
      <c r="K770" t="inlineStr">
        <is>
          <t>Mead, Margaret, 1901-1978.</t>
        </is>
      </c>
      <c r="L770" t="inlineStr">
        <is>
          <t>New York, W. Morrow &amp; Company, 1939.</t>
        </is>
      </c>
      <c r="M770" t="inlineStr">
        <is>
          <t>1939</t>
        </is>
      </c>
      <c r="O770" t="inlineStr">
        <is>
          <t>eng</t>
        </is>
      </c>
      <c r="P770" t="inlineStr">
        <is>
          <t>nyu</t>
        </is>
      </c>
      <c r="R770" t="inlineStr">
        <is>
          <t xml:space="preserve">GN </t>
        </is>
      </c>
      <c r="S770" t="n">
        <v>9</v>
      </c>
      <c r="T770" t="n">
        <v>9</v>
      </c>
      <c r="U770" t="inlineStr">
        <is>
          <t>1999-07-06</t>
        </is>
      </c>
      <c r="V770" t="inlineStr">
        <is>
          <t>1999-07-06</t>
        </is>
      </c>
      <c r="W770" t="inlineStr">
        <is>
          <t>1997-05-28</t>
        </is>
      </c>
      <c r="X770" t="inlineStr">
        <is>
          <t>1997-05-28</t>
        </is>
      </c>
      <c r="Y770" t="n">
        <v>847</v>
      </c>
      <c r="Z770" t="n">
        <v>764</v>
      </c>
      <c r="AA770" t="n">
        <v>810</v>
      </c>
      <c r="AB770" t="n">
        <v>6</v>
      </c>
      <c r="AC770" t="n">
        <v>6</v>
      </c>
      <c r="AD770" t="n">
        <v>28</v>
      </c>
      <c r="AE770" t="n">
        <v>29</v>
      </c>
      <c r="AF770" t="n">
        <v>13</v>
      </c>
      <c r="AG770" t="n">
        <v>14</v>
      </c>
      <c r="AH770" t="n">
        <v>5</v>
      </c>
      <c r="AI770" t="n">
        <v>5</v>
      </c>
      <c r="AJ770" t="n">
        <v>12</v>
      </c>
      <c r="AK770" t="n">
        <v>12</v>
      </c>
      <c r="AL770" t="n">
        <v>5</v>
      </c>
      <c r="AM770" t="n">
        <v>5</v>
      </c>
      <c r="AN770" t="n">
        <v>0</v>
      </c>
      <c r="AO770" t="n">
        <v>0</v>
      </c>
      <c r="AP770" t="inlineStr">
        <is>
          <t>No</t>
        </is>
      </c>
      <c r="AQ770" t="inlineStr">
        <is>
          <t>Yes</t>
        </is>
      </c>
      <c r="AR770">
        <f>HYPERLINK("http://catalog.hathitrust.org/Record/001274928","HathiTrust Record")</f>
        <v/>
      </c>
      <c r="AS770">
        <f>HYPERLINK("https://creighton-primo.hosted.exlibrisgroup.com/primo-explore/search?tab=default_tab&amp;search_scope=EVERYTHING&amp;vid=01CRU&amp;lang=en_US&amp;offset=0&amp;query=any,contains,991004022429702656","Catalog Record")</f>
        <v/>
      </c>
      <c r="AT770">
        <f>HYPERLINK("http://www.worldcat.org/oclc/2123844","WorldCat Record")</f>
        <v/>
      </c>
      <c r="AU770" t="inlineStr">
        <is>
          <t>1348796:eng</t>
        </is>
      </c>
      <c r="AV770" t="inlineStr">
        <is>
          <t>2123844</t>
        </is>
      </c>
      <c r="AW770" t="inlineStr">
        <is>
          <t>991004022429702656</t>
        </is>
      </c>
      <c r="AX770" t="inlineStr">
        <is>
          <t>991004022429702656</t>
        </is>
      </c>
      <c r="AY770" t="inlineStr">
        <is>
          <t>2272481810002656</t>
        </is>
      </c>
      <c r="AZ770" t="inlineStr">
        <is>
          <t>BOOK</t>
        </is>
      </c>
      <c r="BC770" t="inlineStr">
        <is>
          <t>32285002696143</t>
        </is>
      </c>
      <c r="BD770" t="inlineStr">
        <is>
          <t>893718369</t>
        </is>
      </c>
    </row>
    <row r="771">
      <c r="A771" t="inlineStr">
        <is>
          <t>No</t>
        </is>
      </c>
      <c r="B771" t="inlineStr">
        <is>
          <t>GN482.1 .E85 1982</t>
        </is>
      </c>
      <c r="C771" t="inlineStr">
        <is>
          <t>0                      GN 0482100E  85          1982</t>
        </is>
      </c>
      <c r="D771" t="inlineStr">
        <is>
          <t>Ethnography of fertility and birth / edited by Carol P. MacCormack.</t>
        </is>
      </c>
      <c r="F771" t="inlineStr">
        <is>
          <t>No</t>
        </is>
      </c>
      <c r="G771" t="inlineStr">
        <is>
          <t>1</t>
        </is>
      </c>
      <c r="H771" t="inlineStr">
        <is>
          <t>No</t>
        </is>
      </c>
      <c r="I771" t="inlineStr">
        <is>
          <t>No</t>
        </is>
      </c>
      <c r="J771" t="inlineStr">
        <is>
          <t>0</t>
        </is>
      </c>
      <c r="L771" t="inlineStr">
        <is>
          <t>London ; New York : Academic Press, 1982.</t>
        </is>
      </c>
      <c r="M771" t="inlineStr">
        <is>
          <t>1982</t>
        </is>
      </c>
      <c r="O771" t="inlineStr">
        <is>
          <t>eng</t>
        </is>
      </c>
      <c r="P771" t="inlineStr">
        <is>
          <t>enk</t>
        </is>
      </c>
      <c r="R771" t="inlineStr">
        <is>
          <t xml:space="preserve">GN </t>
        </is>
      </c>
      <c r="S771" t="n">
        <v>15</v>
      </c>
      <c r="T771" t="n">
        <v>15</v>
      </c>
      <c r="U771" t="inlineStr">
        <is>
          <t>2003-11-16</t>
        </is>
      </c>
      <c r="V771" t="inlineStr">
        <is>
          <t>2003-11-16</t>
        </is>
      </c>
      <c r="W771" t="inlineStr">
        <is>
          <t>1990-06-22</t>
        </is>
      </c>
      <c r="X771" t="inlineStr">
        <is>
          <t>1990-06-22</t>
        </is>
      </c>
      <c r="Y771" t="n">
        <v>436</v>
      </c>
      <c r="Z771" t="n">
        <v>282</v>
      </c>
      <c r="AA771" t="n">
        <v>361</v>
      </c>
      <c r="AB771" t="n">
        <v>2</v>
      </c>
      <c r="AC771" t="n">
        <v>3</v>
      </c>
      <c r="AD771" t="n">
        <v>7</v>
      </c>
      <c r="AE771" t="n">
        <v>13</v>
      </c>
      <c r="AF771" t="n">
        <v>1</v>
      </c>
      <c r="AG771" t="n">
        <v>4</v>
      </c>
      <c r="AH771" t="n">
        <v>2</v>
      </c>
      <c r="AI771" t="n">
        <v>4</v>
      </c>
      <c r="AJ771" t="n">
        <v>5</v>
      </c>
      <c r="AK771" t="n">
        <v>8</v>
      </c>
      <c r="AL771" t="n">
        <v>1</v>
      </c>
      <c r="AM771" t="n">
        <v>2</v>
      </c>
      <c r="AN771" t="n">
        <v>0</v>
      </c>
      <c r="AO771" t="n">
        <v>0</v>
      </c>
      <c r="AP771" t="inlineStr">
        <is>
          <t>No</t>
        </is>
      </c>
      <c r="AQ771" t="inlineStr">
        <is>
          <t>Yes</t>
        </is>
      </c>
      <c r="AR771">
        <f>HYPERLINK("http://catalog.hathitrust.org/Record/000232329","HathiTrust Record")</f>
        <v/>
      </c>
      <c r="AS771">
        <f>HYPERLINK("https://creighton-primo.hosted.exlibrisgroup.com/primo-explore/search?tab=default_tab&amp;search_scope=EVERYTHING&amp;vid=01CRU&amp;lang=en_US&amp;offset=0&amp;query=any,contains,991000013389702656","Catalog Record")</f>
        <v/>
      </c>
      <c r="AT771">
        <f>HYPERLINK("http://www.worldcat.org/oclc/8546861","WorldCat Record")</f>
        <v/>
      </c>
      <c r="AU771" t="inlineStr">
        <is>
          <t>54508278:eng</t>
        </is>
      </c>
      <c r="AV771" t="inlineStr">
        <is>
          <t>8546861</t>
        </is>
      </c>
      <c r="AW771" t="inlineStr">
        <is>
          <t>991000013389702656</t>
        </is>
      </c>
      <c r="AX771" t="inlineStr">
        <is>
          <t>991000013389702656</t>
        </is>
      </c>
      <c r="AY771" t="inlineStr">
        <is>
          <t>2272074450002656</t>
        </is>
      </c>
      <c r="AZ771" t="inlineStr">
        <is>
          <t>BOOK</t>
        </is>
      </c>
      <c r="BB771" t="inlineStr">
        <is>
          <t>9780124635500</t>
        </is>
      </c>
      <c r="BC771" t="inlineStr">
        <is>
          <t>32285000212653</t>
        </is>
      </c>
      <c r="BD771" t="inlineStr">
        <is>
          <t>893527716</t>
        </is>
      </c>
    </row>
    <row r="772">
      <c r="A772" t="inlineStr">
        <is>
          <t>No</t>
        </is>
      </c>
      <c r="B772" t="inlineStr">
        <is>
          <t>GN482.1 .P34</t>
        </is>
      </c>
      <c r="C772" t="inlineStr">
        <is>
          <t>0                      GN 0482100P  34</t>
        </is>
      </c>
      <c r="D772" t="inlineStr">
        <is>
          <t>The politics of reproductive ritual / Karen Ericksen Paige and Jeffery M. Paige, with the assistance of Linda Fuller and Elisabeth Magnus.</t>
        </is>
      </c>
      <c r="F772" t="inlineStr">
        <is>
          <t>No</t>
        </is>
      </c>
      <c r="G772" t="inlineStr">
        <is>
          <t>1</t>
        </is>
      </c>
      <c r="H772" t="inlineStr">
        <is>
          <t>No</t>
        </is>
      </c>
      <c r="I772" t="inlineStr">
        <is>
          <t>No</t>
        </is>
      </c>
      <c r="J772" t="inlineStr">
        <is>
          <t>0</t>
        </is>
      </c>
      <c r="K772" t="inlineStr">
        <is>
          <t>Paige, Karen.</t>
        </is>
      </c>
      <c r="L772" t="inlineStr">
        <is>
          <t>Berkeley : University of California Press, c1981.</t>
        </is>
      </c>
      <c r="M772" t="inlineStr">
        <is>
          <t>1981</t>
        </is>
      </c>
      <c r="O772" t="inlineStr">
        <is>
          <t>eng</t>
        </is>
      </c>
      <c r="P772" t="inlineStr">
        <is>
          <t>cau</t>
        </is>
      </c>
      <c r="R772" t="inlineStr">
        <is>
          <t xml:space="preserve">GN </t>
        </is>
      </c>
      <c r="S772" t="n">
        <v>5</v>
      </c>
      <c r="T772" t="n">
        <v>5</v>
      </c>
      <c r="U772" t="inlineStr">
        <is>
          <t>1997-11-22</t>
        </is>
      </c>
      <c r="V772" t="inlineStr">
        <is>
          <t>1997-11-22</t>
        </is>
      </c>
      <c r="W772" t="inlineStr">
        <is>
          <t>1990-09-26</t>
        </is>
      </c>
      <c r="X772" t="inlineStr">
        <is>
          <t>1990-09-26</t>
        </is>
      </c>
      <c r="Y772" t="n">
        <v>581</v>
      </c>
      <c r="Z772" t="n">
        <v>459</v>
      </c>
      <c r="AA772" t="n">
        <v>471</v>
      </c>
      <c r="AB772" t="n">
        <v>3</v>
      </c>
      <c r="AC772" t="n">
        <v>3</v>
      </c>
      <c r="AD772" t="n">
        <v>18</v>
      </c>
      <c r="AE772" t="n">
        <v>18</v>
      </c>
      <c r="AF772" t="n">
        <v>6</v>
      </c>
      <c r="AG772" t="n">
        <v>6</v>
      </c>
      <c r="AH772" t="n">
        <v>3</v>
      </c>
      <c r="AI772" t="n">
        <v>3</v>
      </c>
      <c r="AJ772" t="n">
        <v>9</v>
      </c>
      <c r="AK772" t="n">
        <v>9</v>
      </c>
      <c r="AL772" t="n">
        <v>2</v>
      </c>
      <c r="AM772" t="n">
        <v>2</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HYPERLINK("https://creighton-primo.hosted.exlibrisgroup.com/primo-explore/search?tab=default_tab&amp;search_scope=EVERYTHING&amp;vid=01CRU&amp;lang=en_US&amp;offset=0&amp;query=any,contains,991005028549702656","Catalog Record")</f>
        <v/>
      </c>
      <c r="AT772">
        <f>HYPERLINK("http://www.worldcat.org/oclc/6708394","WorldCat Record")</f>
        <v/>
      </c>
      <c r="AU772" t="inlineStr">
        <is>
          <t>501246:eng</t>
        </is>
      </c>
      <c r="AV772" t="inlineStr">
        <is>
          <t>6708394</t>
        </is>
      </c>
      <c r="AW772" t="inlineStr">
        <is>
          <t>991005028549702656</t>
        </is>
      </c>
      <c r="AX772" t="inlineStr">
        <is>
          <t>991005028549702656</t>
        </is>
      </c>
      <c r="AY772" t="inlineStr">
        <is>
          <t>2255267530002656</t>
        </is>
      </c>
      <c r="AZ772" t="inlineStr">
        <is>
          <t>BOOK</t>
        </is>
      </c>
      <c r="BB772" t="inlineStr">
        <is>
          <t>9780520030718</t>
        </is>
      </c>
      <c r="BC772" t="inlineStr">
        <is>
          <t>32285000316629</t>
        </is>
      </c>
      <c r="BD772" t="inlineStr">
        <is>
          <t>893600510</t>
        </is>
      </c>
    </row>
    <row r="773">
      <c r="A773" t="inlineStr">
        <is>
          <t>No</t>
        </is>
      </c>
      <c r="B773" t="inlineStr">
        <is>
          <t>GN483 .C57</t>
        </is>
      </c>
      <c r="C773" t="inlineStr">
        <is>
          <t>0                      GN 0483000C  57</t>
        </is>
      </c>
      <c r="D773" t="inlineStr">
        <is>
          <t>The transition from childhood to adolescence; cross-cultural studies of initiation ceremonies, legal systems, and incest taboos, by Yehudi A. Cohen.</t>
        </is>
      </c>
      <c r="F773" t="inlineStr">
        <is>
          <t>No</t>
        </is>
      </c>
      <c r="G773" t="inlineStr">
        <is>
          <t>1</t>
        </is>
      </c>
      <c r="H773" t="inlineStr">
        <is>
          <t>No</t>
        </is>
      </c>
      <c r="I773" t="inlineStr">
        <is>
          <t>No</t>
        </is>
      </c>
      <c r="J773" t="inlineStr">
        <is>
          <t>0</t>
        </is>
      </c>
      <c r="K773" t="inlineStr">
        <is>
          <t>Cohen, Yehudi A.</t>
        </is>
      </c>
      <c r="L773" t="inlineStr">
        <is>
          <t>Chicago, Aldine Pub. Co. [1964]</t>
        </is>
      </c>
      <c r="M773" t="inlineStr">
        <is>
          <t>1964</t>
        </is>
      </c>
      <c r="O773" t="inlineStr">
        <is>
          <t>eng</t>
        </is>
      </c>
      <c r="P773" t="inlineStr">
        <is>
          <t>ilu</t>
        </is>
      </c>
      <c r="R773" t="inlineStr">
        <is>
          <t xml:space="preserve">GN </t>
        </is>
      </c>
      <c r="S773" t="n">
        <v>6</v>
      </c>
      <c r="T773" t="n">
        <v>6</v>
      </c>
      <c r="U773" t="inlineStr">
        <is>
          <t>2001-12-02</t>
        </is>
      </c>
      <c r="V773" t="inlineStr">
        <is>
          <t>2001-12-02</t>
        </is>
      </c>
      <c r="W773" t="inlineStr">
        <is>
          <t>1997-05-28</t>
        </is>
      </c>
      <c r="X773" t="inlineStr">
        <is>
          <t>1997-05-28</t>
        </is>
      </c>
      <c r="Y773" t="n">
        <v>703</v>
      </c>
      <c r="Z773" t="n">
        <v>594</v>
      </c>
      <c r="AA773" t="n">
        <v>602</v>
      </c>
      <c r="AB773" t="n">
        <v>5</v>
      </c>
      <c r="AC773" t="n">
        <v>5</v>
      </c>
      <c r="AD773" t="n">
        <v>25</v>
      </c>
      <c r="AE773" t="n">
        <v>25</v>
      </c>
      <c r="AF773" t="n">
        <v>10</v>
      </c>
      <c r="AG773" t="n">
        <v>10</v>
      </c>
      <c r="AH773" t="n">
        <v>5</v>
      </c>
      <c r="AI773" t="n">
        <v>5</v>
      </c>
      <c r="AJ773" t="n">
        <v>15</v>
      </c>
      <c r="AK773" t="n">
        <v>15</v>
      </c>
      <c r="AL773" t="n">
        <v>4</v>
      </c>
      <c r="AM773" t="n">
        <v>4</v>
      </c>
      <c r="AN773" t="n">
        <v>0</v>
      </c>
      <c r="AO773" t="n">
        <v>0</v>
      </c>
      <c r="AP773" t="inlineStr">
        <is>
          <t>No</t>
        </is>
      </c>
      <c r="AQ773" t="inlineStr">
        <is>
          <t>Yes</t>
        </is>
      </c>
      <c r="AR773">
        <f>HYPERLINK("http://catalog.hathitrust.org/Record/001274942","HathiTrust Record")</f>
        <v/>
      </c>
      <c r="AS773">
        <f>HYPERLINK("https://creighton-primo.hosted.exlibrisgroup.com/primo-explore/search?tab=default_tab&amp;search_scope=EVERYTHING&amp;vid=01CRU&amp;lang=en_US&amp;offset=0&amp;query=any,contains,991003393239702656","Catalog Record")</f>
        <v/>
      </c>
      <c r="AT773">
        <f>HYPERLINK("http://www.worldcat.org/oclc/931845","WorldCat Record")</f>
        <v/>
      </c>
      <c r="AU773" t="inlineStr">
        <is>
          <t>257246181:eng</t>
        </is>
      </c>
      <c r="AV773" t="inlineStr">
        <is>
          <t>931845</t>
        </is>
      </c>
      <c r="AW773" t="inlineStr">
        <is>
          <t>991003393239702656</t>
        </is>
      </c>
      <c r="AX773" t="inlineStr">
        <is>
          <t>991003393239702656</t>
        </is>
      </c>
      <c r="AY773" t="inlineStr">
        <is>
          <t>2269108570002656</t>
        </is>
      </c>
      <c r="AZ773" t="inlineStr">
        <is>
          <t>BOOK</t>
        </is>
      </c>
      <c r="BC773" t="inlineStr">
        <is>
          <t>32285002696150</t>
        </is>
      </c>
      <c r="BD773" t="inlineStr">
        <is>
          <t>893604757</t>
        </is>
      </c>
    </row>
    <row r="774">
      <c r="A774" t="inlineStr">
        <is>
          <t>No</t>
        </is>
      </c>
      <c r="B774" t="inlineStr">
        <is>
          <t>GN483 .C68 1994</t>
        </is>
      </c>
      <c r="C774" t="inlineStr">
        <is>
          <t>0                      GN 0483000C  68          1994</t>
        </is>
      </c>
      <c r="D774" t="inlineStr">
        <is>
          <t>Adolescent storm and stress : an evaluation of the Mead-Freeman controversy / James E. Côté.</t>
        </is>
      </c>
      <c r="F774" t="inlineStr">
        <is>
          <t>No</t>
        </is>
      </c>
      <c r="G774" t="inlineStr">
        <is>
          <t>1</t>
        </is>
      </c>
      <c r="H774" t="inlineStr">
        <is>
          <t>No</t>
        </is>
      </c>
      <c r="I774" t="inlineStr">
        <is>
          <t>No</t>
        </is>
      </c>
      <c r="J774" t="inlineStr">
        <is>
          <t>0</t>
        </is>
      </c>
      <c r="K774" t="inlineStr">
        <is>
          <t>Côté, James E.</t>
        </is>
      </c>
      <c r="L774" t="inlineStr">
        <is>
          <t>Hillsdale, N.J. : L. Erlbaum Associates, 1994.</t>
        </is>
      </c>
      <c r="M774" t="inlineStr">
        <is>
          <t>1994</t>
        </is>
      </c>
      <c r="O774" t="inlineStr">
        <is>
          <t>eng</t>
        </is>
      </c>
      <c r="P774" t="inlineStr">
        <is>
          <t>nju</t>
        </is>
      </c>
      <c r="Q774" t="inlineStr">
        <is>
          <t>Research monographs in adolescence</t>
        </is>
      </c>
      <c r="R774" t="inlineStr">
        <is>
          <t xml:space="preserve">GN </t>
        </is>
      </c>
      <c r="S774" t="n">
        <v>4</v>
      </c>
      <c r="T774" t="n">
        <v>4</v>
      </c>
      <c r="U774" t="inlineStr">
        <is>
          <t>1997-07-01</t>
        </is>
      </c>
      <c r="V774" t="inlineStr">
        <is>
          <t>1997-07-01</t>
        </is>
      </c>
      <c r="W774" t="inlineStr">
        <is>
          <t>1996-04-28</t>
        </is>
      </c>
      <c r="X774" t="inlineStr">
        <is>
          <t>1996-04-28</t>
        </is>
      </c>
      <c r="Y774" t="n">
        <v>329</v>
      </c>
      <c r="Z774" t="n">
        <v>253</v>
      </c>
      <c r="AA774" t="n">
        <v>272</v>
      </c>
      <c r="AB774" t="n">
        <v>2</v>
      </c>
      <c r="AC774" t="n">
        <v>2</v>
      </c>
      <c r="AD774" t="n">
        <v>11</v>
      </c>
      <c r="AE774" t="n">
        <v>11</v>
      </c>
      <c r="AF774" t="n">
        <v>2</v>
      </c>
      <c r="AG774" t="n">
        <v>2</v>
      </c>
      <c r="AH774" t="n">
        <v>4</v>
      </c>
      <c r="AI774" t="n">
        <v>4</v>
      </c>
      <c r="AJ774" t="n">
        <v>7</v>
      </c>
      <c r="AK774" t="n">
        <v>7</v>
      </c>
      <c r="AL774" t="n">
        <v>1</v>
      </c>
      <c r="AM774" t="n">
        <v>1</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HYPERLINK("https://creighton-primo.hosted.exlibrisgroup.com/primo-explore/search?tab=default_tab&amp;search_scope=EVERYTHING&amp;vid=01CRU&amp;lang=en_US&amp;offset=0&amp;query=any,contains,991002279509702656","Catalog Record")</f>
        <v/>
      </c>
      <c r="AT774">
        <f>HYPERLINK("http://www.worldcat.org/oclc/29564019","WorldCat Record")</f>
        <v/>
      </c>
      <c r="AU774" t="inlineStr">
        <is>
          <t>31361658:eng</t>
        </is>
      </c>
      <c r="AV774" t="inlineStr">
        <is>
          <t>29564019</t>
        </is>
      </c>
      <c r="AW774" t="inlineStr">
        <is>
          <t>991002279509702656</t>
        </is>
      </c>
      <c r="AX774" t="inlineStr">
        <is>
          <t>991002279509702656</t>
        </is>
      </c>
      <c r="AY774" t="inlineStr">
        <is>
          <t>2255560630002656</t>
        </is>
      </c>
      <c r="AZ774" t="inlineStr">
        <is>
          <t>BOOK</t>
        </is>
      </c>
      <c r="BB774" t="inlineStr">
        <is>
          <t>9780805815061</t>
        </is>
      </c>
      <c r="BC774" t="inlineStr">
        <is>
          <t>32285002158243</t>
        </is>
      </c>
      <c r="BD774" t="inlineStr">
        <is>
          <t>893251027</t>
        </is>
      </c>
    </row>
    <row r="775">
      <c r="A775" t="inlineStr">
        <is>
          <t>No</t>
        </is>
      </c>
      <c r="B775" t="inlineStr">
        <is>
          <t>GN483.3 .L56 1981</t>
        </is>
      </c>
      <c r="C775" t="inlineStr">
        <is>
          <t>0                      GN 0483300L  56          1981</t>
        </is>
      </c>
      <c r="D775" t="inlineStr">
        <is>
          <t>Emerging from the chrysalis : studies in rituals of women's initiation / Bruce Lincoln.</t>
        </is>
      </c>
      <c r="F775" t="inlineStr">
        <is>
          <t>No</t>
        </is>
      </c>
      <c r="G775" t="inlineStr">
        <is>
          <t>1</t>
        </is>
      </c>
      <c r="H775" t="inlineStr">
        <is>
          <t>No</t>
        </is>
      </c>
      <c r="I775" t="inlineStr">
        <is>
          <t>No</t>
        </is>
      </c>
      <c r="J775" t="inlineStr">
        <is>
          <t>0</t>
        </is>
      </c>
      <c r="K775" t="inlineStr">
        <is>
          <t>Lincoln, Bruce.</t>
        </is>
      </c>
      <c r="L775" t="inlineStr">
        <is>
          <t>Cambridge, Mass. : Harvard University Press, 1981.</t>
        </is>
      </c>
      <c r="M775" t="inlineStr">
        <is>
          <t>1981</t>
        </is>
      </c>
      <c r="O775" t="inlineStr">
        <is>
          <t>eng</t>
        </is>
      </c>
      <c r="P775" t="inlineStr">
        <is>
          <t>mau</t>
        </is>
      </c>
      <c r="R775" t="inlineStr">
        <is>
          <t xml:space="preserve">GN </t>
        </is>
      </c>
      <c r="S775" t="n">
        <v>11</v>
      </c>
      <c r="T775" t="n">
        <v>11</v>
      </c>
      <c r="U775" t="inlineStr">
        <is>
          <t>1998-03-22</t>
        </is>
      </c>
      <c r="V775" t="inlineStr">
        <is>
          <t>1998-03-22</t>
        </is>
      </c>
      <c r="W775" t="inlineStr">
        <is>
          <t>1990-09-26</t>
        </is>
      </c>
      <c r="X775" t="inlineStr">
        <is>
          <t>1990-09-26</t>
        </is>
      </c>
      <c r="Y775" t="n">
        <v>524</v>
      </c>
      <c r="Z775" t="n">
        <v>418</v>
      </c>
      <c r="AA775" t="n">
        <v>569</v>
      </c>
      <c r="AB775" t="n">
        <v>3</v>
      </c>
      <c r="AC775" t="n">
        <v>3</v>
      </c>
      <c r="AD775" t="n">
        <v>15</v>
      </c>
      <c r="AE775" t="n">
        <v>28</v>
      </c>
      <c r="AF775" t="n">
        <v>7</v>
      </c>
      <c r="AG775" t="n">
        <v>15</v>
      </c>
      <c r="AH775" t="n">
        <v>3</v>
      </c>
      <c r="AI775" t="n">
        <v>7</v>
      </c>
      <c r="AJ775" t="n">
        <v>6</v>
      </c>
      <c r="AK775" t="n">
        <v>14</v>
      </c>
      <c r="AL775" t="n">
        <v>2</v>
      </c>
      <c r="AM775" t="n">
        <v>2</v>
      </c>
      <c r="AN775" t="n">
        <v>0</v>
      </c>
      <c r="AO775" t="n">
        <v>0</v>
      </c>
      <c r="AP775" t="inlineStr">
        <is>
          <t>No</t>
        </is>
      </c>
      <c r="AQ775" t="inlineStr">
        <is>
          <t>Yes</t>
        </is>
      </c>
      <c r="AR775">
        <f>HYPERLINK("http://catalog.hathitrust.org/Record/000100142","HathiTrust Record")</f>
        <v/>
      </c>
      <c r="AS775">
        <f>HYPERLINK("https://creighton-primo.hosted.exlibrisgroup.com/primo-explore/search?tab=default_tab&amp;search_scope=EVERYTHING&amp;vid=01CRU&amp;lang=en_US&amp;offset=0&amp;query=any,contains,991005047739702656","Catalog Record")</f>
        <v/>
      </c>
      <c r="AT775">
        <f>HYPERLINK("http://www.worldcat.org/oclc/6861460","WorldCat Record")</f>
        <v/>
      </c>
      <c r="AU775" t="inlineStr">
        <is>
          <t>2287337420:eng</t>
        </is>
      </c>
      <c r="AV775" t="inlineStr">
        <is>
          <t>6861460</t>
        </is>
      </c>
      <c r="AW775" t="inlineStr">
        <is>
          <t>991005047739702656</t>
        </is>
      </c>
      <c r="AX775" t="inlineStr">
        <is>
          <t>991005047739702656</t>
        </is>
      </c>
      <c r="AY775" t="inlineStr">
        <is>
          <t>2271281470002656</t>
        </is>
      </c>
      <c r="AZ775" t="inlineStr">
        <is>
          <t>BOOK</t>
        </is>
      </c>
      <c r="BB775" t="inlineStr">
        <is>
          <t>9780674248403</t>
        </is>
      </c>
      <c r="BC775" t="inlineStr">
        <is>
          <t>32285000316637</t>
        </is>
      </c>
      <c r="BD775" t="inlineStr">
        <is>
          <t>893446522</t>
        </is>
      </c>
    </row>
    <row r="776">
      <c r="A776" t="inlineStr">
        <is>
          <t>No</t>
        </is>
      </c>
      <c r="B776" t="inlineStr">
        <is>
          <t>GN485 .A34</t>
        </is>
      </c>
      <c r="C776" t="inlineStr">
        <is>
          <t>0                      GN 0485000A  34</t>
        </is>
      </c>
      <c r="D776" t="inlineStr">
        <is>
          <t>Aging in culture and society : comparative viewpoints and strategies / Christine L. Fry and contributors.</t>
        </is>
      </c>
      <c r="F776" t="inlineStr">
        <is>
          <t>No</t>
        </is>
      </c>
      <c r="G776" t="inlineStr">
        <is>
          <t>1</t>
        </is>
      </c>
      <c r="H776" t="inlineStr">
        <is>
          <t>No</t>
        </is>
      </c>
      <c r="I776" t="inlineStr">
        <is>
          <t>No</t>
        </is>
      </c>
      <c r="J776" t="inlineStr">
        <is>
          <t>0</t>
        </is>
      </c>
      <c r="L776" t="inlineStr">
        <is>
          <t>New York : Praeger, 1980.</t>
        </is>
      </c>
      <c r="M776" t="inlineStr">
        <is>
          <t>1980</t>
        </is>
      </c>
      <c r="O776" t="inlineStr">
        <is>
          <t>eng</t>
        </is>
      </c>
      <c r="P776" t="inlineStr">
        <is>
          <t>nyu</t>
        </is>
      </c>
      <c r="R776" t="inlineStr">
        <is>
          <t xml:space="preserve">GN </t>
        </is>
      </c>
      <c r="S776" t="n">
        <v>3</v>
      </c>
      <c r="T776" t="n">
        <v>3</v>
      </c>
      <c r="U776" t="inlineStr">
        <is>
          <t>2000-10-29</t>
        </is>
      </c>
      <c r="V776" t="inlineStr">
        <is>
          <t>2000-10-29</t>
        </is>
      </c>
      <c r="W776" t="inlineStr">
        <is>
          <t>1990-09-26</t>
        </is>
      </c>
      <c r="X776" t="inlineStr">
        <is>
          <t>1990-09-26</t>
        </is>
      </c>
      <c r="Y776" t="n">
        <v>565</v>
      </c>
      <c r="Z776" t="n">
        <v>479</v>
      </c>
      <c r="AA776" t="n">
        <v>534</v>
      </c>
      <c r="AB776" t="n">
        <v>3</v>
      </c>
      <c r="AC776" t="n">
        <v>3</v>
      </c>
      <c r="AD776" t="n">
        <v>17</v>
      </c>
      <c r="AE776" t="n">
        <v>18</v>
      </c>
      <c r="AF776" t="n">
        <v>8</v>
      </c>
      <c r="AG776" t="n">
        <v>8</v>
      </c>
      <c r="AH776" t="n">
        <v>5</v>
      </c>
      <c r="AI776" t="n">
        <v>6</v>
      </c>
      <c r="AJ776" t="n">
        <v>8</v>
      </c>
      <c r="AK776" t="n">
        <v>9</v>
      </c>
      <c r="AL776" t="n">
        <v>2</v>
      </c>
      <c r="AM776" t="n">
        <v>2</v>
      </c>
      <c r="AN776" t="n">
        <v>0</v>
      </c>
      <c r="AO776" t="n">
        <v>0</v>
      </c>
      <c r="AP776" t="inlineStr">
        <is>
          <t>No</t>
        </is>
      </c>
      <c r="AQ776" t="inlineStr">
        <is>
          <t>Yes</t>
        </is>
      </c>
      <c r="AR776">
        <f>HYPERLINK("http://catalog.hathitrust.org/Record/010661451","HathiTrust Record")</f>
        <v/>
      </c>
      <c r="AS776">
        <f>HYPERLINK("https://creighton-primo.hosted.exlibrisgroup.com/primo-explore/search?tab=default_tab&amp;search_scope=EVERYTHING&amp;vid=01CRU&amp;lang=en_US&amp;offset=0&amp;query=any,contains,991004750509702656","Catalog Record")</f>
        <v/>
      </c>
      <c r="AT776">
        <f>HYPERLINK("http://www.worldcat.org/oclc/4933308","WorldCat Record")</f>
        <v/>
      </c>
      <c r="AU776" t="inlineStr">
        <is>
          <t>889810244:eng</t>
        </is>
      </c>
      <c r="AV776" t="inlineStr">
        <is>
          <t>4933308</t>
        </is>
      </c>
      <c r="AW776" t="inlineStr">
        <is>
          <t>991004750509702656</t>
        </is>
      </c>
      <c r="AX776" t="inlineStr">
        <is>
          <t>991004750509702656</t>
        </is>
      </c>
      <c r="AY776" t="inlineStr">
        <is>
          <t>2269086010002656</t>
        </is>
      </c>
      <c r="AZ776" t="inlineStr">
        <is>
          <t>BOOK</t>
        </is>
      </c>
      <c r="BB776" t="inlineStr">
        <is>
          <t>9780030527265</t>
        </is>
      </c>
      <c r="BC776" t="inlineStr">
        <is>
          <t>32285000316645</t>
        </is>
      </c>
      <c r="BD776" t="inlineStr">
        <is>
          <t>893411905</t>
        </is>
      </c>
    </row>
    <row r="777">
      <c r="A777" t="inlineStr">
        <is>
          <t>No</t>
        </is>
      </c>
      <c r="B777" t="inlineStr">
        <is>
          <t>GN485 .O83</t>
        </is>
      </c>
      <c r="C777" t="inlineStr">
        <is>
          <t>0                      GN 0485000O  83</t>
        </is>
      </c>
      <c r="D777" t="inlineStr">
        <is>
          <t>Other ways of growing old : anthropological perspectives / edited by Pamela T. Amoss and Stevan Harrell.</t>
        </is>
      </c>
      <c r="F777" t="inlineStr">
        <is>
          <t>No</t>
        </is>
      </c>
      <c r="G777" t="inlineStr">
        <is>
          <t>1</t>
        </is>
      </c>
      <c r="H777" t="inlineStr">
        <is>
          <t>No</t>
        </is>
      </c>
      <c r="I777" t="inlineStr">
        <is>
          <t>No</t>
        </is>
      </c>
      <c r="J777" t="inlineStr">
        <is>
          <t>0</t>
        </is>
      </c>
      <c r="L777" t="inlineStr">
        <is>
          <t>Stanford, Calif. : Stanford University Press, 1981.</t>
        </is>
      </c>
      <c r="M777" t="inlineStr">
        <is>
          <t>1981</t>
        </is>
      </c>
      <c r="O777" t="inlineStr">
        <is>
          <t>eng</t>
        </is>
      </c>
      <c r="P777" t="inlineStr">
        <is>
          <t>cau</t>
        </is>
      </c>
      <c r="R777" t="inlineStr">
        <is>
          <t xml:space="preserve">GN </t>
        </is>
      </c>
      <c r="S777" t="n">
        <v>4</v>
      </c>
      <c r="T777" t="n">
        <v>4</v>
      </c>
      <c r="U777" t="inlineStr">
        <is>
          <t>2000-10-29</t>
        </is>
      </c>
      <c r="V777" t="inlineStr">
        <is>
          <t>2000-10-29</t>
        </is>
      </c>
      <c r="W777" t="inlineStr">
        <is>
          <t>1990-09-26</t>
        </is>
      </c>
      <c r="X777" t="inlineStr">
        <is>
          <t>1990-09-26</t>
        </is>
      </c>
      <c r="Y777" t="n">
        <v>814</v>
      </c>
      <c r="Z777" t="n">
        <v>693</v>
      </c>
      <c r="AA777" t="n">
        <v>699</v>
      </c>
      <c r="AB777" t="n">
        <v>6</v>
      </c>
      <c r="AC777" t="n">
        <v>6</v>
      </c>
      <c r="AD777" t="n">
        <v>23</v>
      </c>
      <c r="AE777" t="n">
        <v>23</v>
      </c>
      <c r="AF777" t="n">
        <v>8</v>
      </c>
      <c r="AG777" t="n">
        <v>8</v>
      </c>
      <c r="AH777" t="n">
        <v>6</v>
      </c>
      <c r="AI777" t="n">
        <v>6</v>
      </c>
      <c r="AJ777" t="n">
        <v>12</v>
      </c>
      <c r="AK777" t="n">
        <v>12</v>
      </c>
      <c r="AL777" t="n">
        <v>4</v>
      </c>
      <c r="AM777" t="n">
        <v>4</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HYPERLINK("https://creighton-primo.hosted.exlibrisgroup.com/primo-explore/search?tab=default_tab&amp;search_scope=EVERYTHING&amp;vid=01CRU&amp;lang=en_US&amp;offset=0&amp;query=any,contains,991005107139702656","Catalog Record")</f>
        <v/>
      </c>
      <c r="AT777">
        <f>HYPERLINK("http://www.worldcat.org/oclc/7351470","WorldCat Record")</f>
        <v/>
      </c>
      <c r="AU777" t="inlineStr">
        <is>
          <t>889573849:eng</t>
        </is>
      </c>
      <c r="AV777" t="inlineStr">
        <is>
          <t>7351470</t>
        </is>
      </c>
      <c r="AW777" t="inlineStr">
        <is>
          <t>991005107139702656</t>
        </is>
      </c>
      <c r="AX777" t="inlineStr">
        <is>
          <t>991005107139702656</t>
        </is>
      </c>
      <c r="AY777" t="inlineStr">
        <is>
          <t>2259569750002656</t>
        </is>
      </c>
      <c r="AZ777" t="inlineStr">
        <is>
          <t>BOOK</t>
        </is>
      </c>
      <c r="BC777" t="inlineStr">
        <is>
          <t>32285000316678</t>
        </is>
      </c>
      <c r="BD777" t="inlineStr">
        <is>
          <t>893437169</t>
        </is>
      </c>
    </row>
    <row r="778">
      <c r="A778" t="inlineStr">
        <is>
          <t>No</t>
        </is>
      </c>
      <c r="B778" t="inlineStr">
        <is>
          <t>GN486 .G65</t>
        </is>
      </c>
      <c r="C778" t="inlineStr">
        <is>
          <t>0                      GN 0486000G  65</t>
        </is>
      </c>
      <c r="D778" t="inlineStr">
        <is>
          <t>Death, property and the ancestors; a study of the mortuary customs of the LoDagaa of West Africa.</t>
        </is>
      </c>
      <c r="F778" t="inlineStr">
        <is>
          <t>No</t>
        </is>
      </c>
      <c r="G778" t="inlineStr">
        <is>
          <t>1</t>
        </is>
      </c>
      <c r="H778" t="inlineStr">
        <is>
          <t>No</t>
        </is>
      </c>
      <c r="I778" t="inlineStr">
        <is>
          <t>No</t>
        </is>
      </c>
      <c r="J778" t="inlineStr">
        <is>
          <t>0</t>
        </is>
      </c>
      <c r="K778" t="inlineStr">
        <is>
          <t>Goody, Jack.</t>
        </is>
      </c>
      <c r="L778" t="inlineStr">
        <is>
          <t>Stanford, Calif., Stanford University Press, 1962.</t>
        </is>
      </c>
      <c r="M778" t="inlineStr">
        <is>
          <t>1962</t>
        </is>
      </c>
      <c r="O778" t="inlineStr">
        <is>
          <t>eng</t>
        </is>
      </c>
      <c r="P778" t="inlineStr">
        <is>
          <t>cau</t>
        </is>
      </c>
      <c r="R778" t="inlineStr">
        <is>
          <t xml:space="preserve">GN </t>
        </is>
      </c>
      <c r="S778" t="n">
        <v>2</v>
      </c>
      <c r="T778" t="n">
        <v>2</v>
      </c>
      <c r="U778" t="inlineStr">
        <is>
          <t>1998-05-03</t>
        </is>
      </c>
      <c r="V778" t="inlineStr">
        <is>
          <t>1998-05-03</t>
        </is>
      </c>
      <c r="W778" t="inlineStr">
        <is>
          <t>1997-05-28</t>
        </is>
      </c>
      <c r="X778" t="inlineStr">
        <is>
          <t>1997-05-28</t>
        </is>
      </c>
      <c r="Y778" t="n">
        <v>527</v>
      </c>
      <c r="Z778" t="n">
        <v>449</v>
      </c>
      <c r="AA778" t="n">
        <v>465</v>
      </c>
      <c r="AB778" t="n">
        <v>2</v>
      </c>
      <c r="AC778" t="n">
        <v>2</v>
      </c>
      <c r="AD778" t="n">
        <v>16</v>
      </c>
      <c r="AE778" t="n">
        <v>16</v>
      </c>
      <c r="AF778" t="n">
        <v>4</v>
      </c>
      <c r="AG778" t="n">
        <v>4</v>
      </c>
      <c r="AH778" t="n">
        <v>2</v>
      </c>
      <c r="AI778" t="n">
        <v>2</v>
      </c>
      <c r="AJ778" t="n">
        <v>12</v>
      </c>
      <c r="AK778" t="n">
        <v>12</v>
      </c>
      <c r="AL778" t="n">
        <v>1</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HYPERLINK("https://creighton-primo.hosted.exlibrisgroup.com/primo-explore/search?tab=default_tab&amp;search_scope=EVERYTHING&amp;vid=01CRU&amp;lang=en_US&amp;offset=0&amp;query=any,contains,991002853049702656","Catalog Record")</f>
        <v/>
      </c>
      <c r="AT778">
        <f>HYPERLINK("http://www.worldcat.org/oclc/488089","WorldCat Record")</f>
        <v/>
      </c>
      <c r="AU778" t="inlineStr">
        <is>
          <t>459224:eng</t>
        </is>
      </c>
      <c r="AV778" t="inlineStr">
        <is>
          <t>488089</t>
        </is>
      </c>
      <c r="AW778" t="inlineStr">
        <is>
          <t>991002853049702656</t>
        </is>
      </c>
      <c r="AX778" t="inlineStr">
        <is>
          <t>991002853049702656</t>
        </is>
      </c>
      <c r="AY778" t="inlineStr">
        <is>
          <t>2254974890002656</t>
        </is>
      </c>
      <c r="AZ778" t="inlineStr">
        <is>
          <t>BOOK</t>
        </is>
      </c>
      <c r="BC778" t="inlineStr">
        <is>
          <t>32285002696184</t>
        </is>
      </c>
      <c r="BD778" t="inlineStr">
        <is>
          <t>893616657</t>
        </is>
      </c>
    </row>
    <row r="779">
      <c r="A779" t="inlineStr">
        <is>
          <t>No</t>
        </is>
      </c>
      <c r="B779" t="inlineStr">
        <is>
          <t>GN487 .F37 1981</t>
        </is>
      </c>
      <c r="C779" t="inlineStr">
        <is>
          <t>0                      GN 0487000F  37          1981</t>
        </is>
      </c>
      <c r="D779" t="inlineStr">
        <is>
          <t>Conceptions of kinship / Bernard Farber.</t>
        </is>
      </c>
      <c r="F779" t="inlineStr">
        <is>
          <t>No</t>
        </is>
      </c>
      <c r="G779" t="inlineStr">
        <is>
          <t>1</t>
        </is>
      </c>
      <c r="H779" t="inlineStr">
        <is>
          <t>No</t>
        </is>
      </c>
      <c r="I779" t="inlineStr">
        <is>
          <t>No</t>
        </is>
      </c>
      <c r="J779" t="inlineStr">
        <is>
          <t>0</t>
        </is>
      </c>
      <c r="K779" t="inlineStr">
        <is>
          <t>Farber, Bernard.</t>
        </is>
      </c>
      <c r="L779" t="inlineStr">
        <is>
          <t>New York : Elsevier ; Westport, CT : dist. by Greenwood Press, c1981.</t>
        </is>
      </c>
      <c r="M779" t="inlineStr">
        <is>
          <t>1981</t>
        </is>
      </c>
      <c r="O779" t="inlineStr">
        <is>
          <t>eng</t>
        </is>
      </c>
      <c r="P779" t="inlineStr">
        <is>
          <t>nyu</t>
        </is>
      </c>
      <c r="R779" t="inlineStr">
        <is>
          <t xml:space="preserve">GN </t>
        </is>
      </c>
      <c r="S779" t="n">
        <v>2</v>
      </c>
      <c r="T779" t="n">
        <v>2</v>
      </c>
      <c r="U779" t="inlineStr">
        <is>
          <t>1993-10-26</t>
        </is>
      </c>
      <c r="V779" t="inlineStr">
        <is>
          <t>1993-10-26</t>
        </is>
      </c>
      <c r="W779" t="inlineStr">
        <is>
          <t>1990-09-26</t>
        </is>
      </c>
      <c r="X779" t="inlineStr">
        <is>
          <t>1990-09-26</t>
        </is>
      </c>
      <c r="Y779" t="n">
        <v>408</v>
      </c>
      <c r="Z779" t="n">
        <v>290</v>
      </c>
      <c r="AA779" t="n">
        <v>304</v>
      </c>
      <c r="AB779" t="n">
        <v>3</v>
      </c>
      <c r="AC779" t="n">
        <v>3</v>
      </c>
      <c r="AD779" t="n">
        <v>11</v>
      </c>
      <c r="AE779" t="n">
        <v>11</v>
      </c>
      <c r="AF779" t="n">
        <v>2</v>
      </c>
      <c r="AG779" t="n">
        <v>2</v>
      </c>
      <c r="AH779" t="n">
        <v>3</v>
      </c>
      <c r="AI779" t="n">
        <v>3</v>
      </c>
      <c r="AJ779" t="n">
        <v>8</v>
      </c>
      <c r="AK779" t="n">
        <v>8</v>
      </c>
      <c r="AL779" t="n">
        <v>2</v>
      </c>
      <c r="AM779" t="n">
        <v>2</v>
      </c>
      <c r="AN779" t="n">
        <v>0</v>
      </c>
      <c r="AO779" t="n">
        <v>0</v>
      </c>
      <c r="AP779" t="inlineStr">
        <is>
          <t>No</t>
        </is>
      </c>
      <c r="AQ779" t="inlineStr">
        <is>
          <t>Yes</t>
        </is>
      </c>
      <c r="AR779">
        <f>HYPERLINK("http://catalog.hathitrust.org/Record/000127856","HathiTrust Record")</f>
        <v/>
      </c>
      <c r="AS779">
        <f>HYPERLINK("https://creighton-primo.hosted.exlibrisgroup.com/primo-explore/search?tab=default_tab&amp;search_scope=EVERYTHING&amp;vid=01CRU&amp;lang=en_US&amp;offset=0&amp;query=any,contains,991004974869702656","Catalog Record")</f>
        <v/>
      </c>
      <c r="AT779">
        <f>HYPERLINK("http://www.worldcat.org/oclc/6379271","WorldCat Record")</f>
        <v/>
      </c>
      <c r="AU779" t="inlineStr">
        <is>
          <t>22330393:eng</t>
        </is>
      </c>
      <c r="AV779" t="inlineStr">
        <is>
          <t>6379271</t>
        </is>
      </c>
      <c r="AW779" t="inlineStr">
        <is>
          <t>991004974869702656</t>
        </is>
      </c>
      <c r="AX779" t="inlineStr">
        <is>
          <t>991004974869702656</t>
        </is>
      </c>
      <c r="AY779" t="inlineStr">
        <is>
          <t>2270725170002656</t>
        </is>
      </c>
      <c r="AZ779" t="inlineStr">
        <is>
          <t>BOOK</t>
        </is>
      </c>
      <c r="BB779" t="inlineStr">
        <is>
          <t>9780444990761</t>
        </is>
      </c>
      <c r="BC779" t="inlineStr">
        <is>
          <t>32285000316694</t>
        </is>
      </c>
      <c r="BD779" t="inlineStr">
        <is>
          <t>893594304</t>
        </is>
      </c>
    </row>
    <row r="780">
      <c r="A780" t="inlineStr">
        <is>
          <t>No</t>
        </is>
      </c>
      <c r="B780" t="inlineStr">
        <is>
          <t>GN487 .S77 1992</t>
        </is>
      </c>
      <c r="C780" t="inlineStr">
        <is>
          <t>0                      GN 0487000S  77          1992</t>
        </is>
      </c>
      <c r="D780" t="inlineStr">
        <is>
          <t>Reproducing the future : essays on anthropology, kinship, and the new reproductive technologies / Marilyn Strathern.</t>
        </is>
      </c>
      <c r="F780" t="inlineStr">
        <is>
          <t>No</t>
        </is>
      </c>
      <c r="G780" t="inlineStr">
        <is>
          <t>1</t>
        </is>
      </c>
      <c r="H780" t="inlineStr">
        <is>
          <t>No</t>
        </is>
      </c>
      <c r="I780" t="inlineStr">
        <is>
          <t>No</t>
        </is>
      </c>
      <c r="J780" t="inlineStr">
        <is>
          <t>0</t>
        </is>
      </c>
      <c r="K780" t="inlineStr">
        <is>
          <t>Strathern, Marilyn.</t>
        </is>
      </c>
      <c r="L780" t="inlineStr">
        <is>
          <t>New York : Routledge, 1992.</t>
        </is>
      </c>
      <c r="M780" t="inlineStr">
        <is>
          <t>1992</t>
        </is>
      </c>
      <c r="O780" t="inlineStr">
        <is>
          <t>eng</t>
        </is>
      </c>
      <c r="P780" t="inlineStr">
        <is>
          <t>nyu</t>
        </is>
      </c>
      <c r="R780" t="inlineStr">
        <is>
          <t xml:space="preserve">GN </t>
        </is>
      </c>
      <c r="S780" t="n">
        <v>2</v>
      </c>
      <c r="T780" t="n">
        <v>2</v>
      </c>
      <c r="U780" t="inlineStr">
        <is>
          <t>2006-06-20</t>
        </is>
      </c>
      <c r="V780" t="inlineStr">
        <is>
          <t>2006-06-20</t>
        </is>
      </c>
      <c r="W780" t="inlineStr">
        <is>
          <t>1992-09-05</t>
        </is>
      </c>
      <c r="X780" t="inlineStr">
        <is>
          <t>1992-09-05</t>
        </is>
      </c>
      <c r="Y780" t="n">
        <v>322</v>
      </c>
      <c r="Z780" t="n">
        <v>244</v>
      </c>
      <c r="AA780" t="n">
        <v>277</v>
      </c>
      <c r="AB780" t="n">
        <v>3</v>
      </c>
      <c r="AC780" t="n">
        <v>3</v>
      </c>
      <c r="AD780" t="n">
        <v>11</v>
      </c>
      <c r="AE780" t="n">
        <v>12</v>
      </c>
      <c r="AF780" t="n">
        <v>3</v>
      </c>
      <c r="AG780" t="n">
        <v>3</v>
      </c>
      <c r="AH780" t="n">
        <v>2</v>
      </c>
      <c r="AI780" t="n">
        <v>3</v>
      </c>
      <c r="AJ780" t="n">
        <v>7</v>
      </c>
      <c r="AK780" t="n">
        <v>8</v>
      </c>
      <c r="AL780" t="n">
        <v>2</v>
      </c>
      <c r="AM780" t="n">
        <v>2</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HYPERLINK("https://creighton-primo.hosted.exlibrisgroup.com/primo-explore/search?tab=default_tab&amp;search_scope=EVERYTHING&amp;vid=01CRU&amp;lang=en_US&amp;offset=0&amp;query=any,contains,991001977989702656","Catalog Record")</f>
        <v/>
      </c>
      <c r="AT780">
        <f>HYPERLINK("http://www.worldcat.org/oclc/25094203","WorldCat Record")</f>
        <v/>
      </c>
      <c r="AU780" t="inlineStr">
        <is>
          <t>29283699:eng</t>
        </is>
      </c>
      <c r="AV780" t="inlineStr">
        <is>
          <t>25094203</t>
        </is>
      </c>
      <c r="AW780" t="inlineStr">
        <is>
          <t>991001977989702656</t>
        </is>
      </c>
      <c r="AX780" t="inlineStr">
        <is>
          <t>991001977989702656</t>
        </is>
      </c>
      <c r="AY780" t="inlineStr">
        <is>
          <t>2262338840002656</t>
        </is>
      </c>
      <c r="AZ780" t="inlineStr">
        <is>
          <t>BOOK</t>
        </is>
      </c>
      <c r="BB780" t="inlineStr">
        <is>
          <t>9780415905558</t>
        </is>
      </c>
      <c r="BC780" t="inlineStr">
        <is>
          <t>32285001286300</t>
        </is>
      </c>
      <c r="BD780" t="inlineStr">
        <is>
          <t>893596894</t>
        </is>
      </c>
    </row>
    <row r="781">
      <c r="A781" t="inlineStr">
        <is>
          <t>No</t>
        </is>
      </c>
      <c r="B781" t="inlineStr">
        <is>
          <t>GN490 .B72 1973</t>
        </is>
      </c>
      <c r="C781" t="inlineStr">
        <is>
          <t>0                      GN 0490000B  72          1973</t>
        </is>
      </c>
      <c r="D781" t="inlineStr">
        <is>
          <t>A natural history of associations; a study in the meaning of community [by] Richard Maitland Bradfield.</t>
        </is>
      </c>
      <c r="E781" t="inlineStr">
        <is>
          <t>V.2</t>
        </is>
      </c>
      <c r="F781" t="inlineStr">
        <is>
          <t>Yes</t>
        </is>
      </c>
      <c r="G781" t="inlineStr">
        <is>
          <t>1</t>
        </is>
      </c>
      <c r="H781" t="inlineStr">
        <is>
          <t>No</t>
        </is>
      </c>
      <c r="I781" t="inlineStr">
        <is>
          <t>No</t>
        </is>
      </c>
      <c r="J781" t="inlineStr">
        <is>
          <t>0</t>
        </is>
      </c>
      <c r="K781" t="inlineStr">
        <is>
          <t>Bradfield, Maitland.</t>
        </is>
      </c>
      <c r="L781" t="inlineStr">
        <is>
          <t>New York, International Universities Press [1973]</t>
        </is>
      </c>
      <c r="M781" t="inlineStr">
        <is>
          <t>1973</t>
        </is>
      </c>
      <c r="O781" t="inlineStr">
        <is>
          <t>eng</t>
        </is>
      </c>
      <c r="P781" t="inlineStr">
        <is>
          <t>nyu</t>
        </is>
      </c>
      <c r="R781" t="inlineStr">
        <is>
          <t xml:space="preserve">GN </t>
        </is>
      </c>
      <c r="S781" t="n">
        <v>1</v>
      </c>
      <c r="T781" t="n">
        <v>2</v>
      </c>
      <c r="U781" t="inlineStr">
        <is>
          <t>2004-03-17</t>
        </is>
      </c>
      <c r="V781" t="inlineStr">
        <is>
          <t>2004-03-17</t>
        </is>
      </c>
      <c r="W781" t="inlineStr">
        <is>
          <t>1997-05-28</t>
        </is>
      </c>
      <c r="X781" t="inlineStr">
        <is>
          <t>1997-05-28</t>
        </is>
      </c>
      <c r="Y781" t="n">
        <v>443</v>
      </c>
      <c r="Z781" t="n">
        <v>406</v>
      </c>
      <c r="AA781" t="n">
        <v>495</v>
      </c>
      <c r="AB781" t="n">
        <v>2</v>
      </c>
      <c r="AC781" t="n">
        <v>4</v>
      </c>
      <c r="AD781" t="n">
        <v>15</v>
      </c>
      <c r="AE781" t="n">
        <v>18</v>
      </c>
      <c r="AF781" t="n">
        <v>4</v>
      </c>
      <c r="AG781" t="n">
        <v>4</v>
      </c>
      <c r="AH781" t="n">
        <v>2</v>
      </c>
      <c r="AI781" t="n">
        <v>2</v>
      </c>
      <c r="AJ781" t="n">
        <v>9</v>
      </c>
      <c r="AK781" t="n">
        <v>10</v>
      </c>
      <c r="AL781" t="n">
        <v>1</v>
      </c>
      <c r="AM781" t="n">
        <v>3</v>
      </c>
      <c r="AN781" t="n">
        <v>1</v>
      </c>
      <c r="AO781" t="n">
        <v>1</v>
      </c>
      <c r="AP781" t="inlineStr">
        <is>
          <t>No</t>
        </is>
      </c>
      <c r="AQ781" t="inlineStr">
        <is>
          <t>Yes</t>
        </is>
      </c>
      <c r="AR781">
        <f>HYPERLINK("http://catalog.hathitrust.org/Record/001274973","HathiTrust Record")</f>
        <v/>
      </c>
      <c r="AS781">
        <f>HYPERLINK("https://creighton-primo.hosted.exlibrisgroup.com/primo-explore/search?tab=default_tab&amp;search_scope=EVERYTHING&amp;vid=01CRU&amp;lang=en_US&amp;offset=0&amp;query=any,contains,991003238269702656","Catalog Record")</f>
        <v/>
      </c>
      <c r="AT781">
        <f>HYPERLINK("http://www.worldcat.org/oclc/762377","WorldCat Record")</f>
        <v/>
      </c>
      <c r="AU781" t="inlineStr">
        <is>
          <t>9381533015:eng</t>
        </is>
      </c>
      <c r="AV781" t="inlineStr">
        <is>
          <t>762377</t>
        </is>
      </c>
      <c r="AW781" t="inlineStr">
        <is>
          <t>991003238269702656</t>
        </is>
      </c>
      <c r="AX781" t="inlineStr">
        <is>
          <t>991003238269702656</t>
        </is>
      </c>
      <c r="AY781" t="inlineStr">
        <is>
          <t>2265192110002656</t>
        </is>
      </c>
      <c r="AZ781" t="inlineStr">
        <is>
          <t>BOOK</t>
        </is>
      </c>
      <c r="BB781" t="inlineStr">
        <is>
          <t>9780823634958</t>
        </is>
      </c>
      <c r="BC781" t="inlineStr">
        <is>
          <t>32285002696267</t>
        </is>
      </c>
      <c r="BD781" t="inlineStr">
        <is>
          <t>893511726</t>
        </is>
      </c>
    </row>
    <row r="782">
      <c r="A782" t="inlineStr">
        <is>
          <t>No</t>
        </is>
      </c>
      <c r="B782" t="inlineStr">
        <is>
          <t>GN490 .B72 1973</t>
        </is>
      </c>
      <c r="C782" t="inlineStr">
        <is>
          <t>0                      GN 0490000B  72          1973</t>
        </is>
      </c>
      <c r="D782" t="inlineStr">
        <is>
          <t>A natural history of associations; a study in the meaning of community [by] Richard Maitland Bradfield.</t>
        </is>
      </c>
      <c r="E782" t="inlineStr">
        <is>
          <t>V.1</t>
        </is>
      </c>
      <c r="F782" t="inlineStr">
        <is>
          <t>Yes</t>
        </is>
      </c>
      <c r="G782" t="inlineStr">
        <is>
          <t>1</t>
        </is>
      </c>
      <c r="H782" t="inlineStr">
        <is>
          <t>No</t>
        </is>
      </c>
      <c r="I782" t="inlineStr">
        <is>
          <t>No</t>
        </is>
      </c>
      <c r="J782" t="inlineStr">
        <is>
          <t>0</t>
        </is>
      </c>
      <c r="K782" t="inlineStr">
        <is>
          <t>Bradfield, Maitland.</t>
        </is>
      </c>
      <c r="L782" t="inlineStr">
        <is>
          <t>New York, International Universities Press [1973]</t>
        </is>
      </c>
      <c r="M782" t="inlineStr">
        <is>
          <t>1973</t>
        </is>
      </c>
      <c r="O782" t="inlineStr">
        <is>
          <t>eng</t>
        </is>
      </c>
      <c r="P782" t="inlineStr">
        <is>
          <t>nyu</t>
        </is>
      </c>
      <c r="R782" t="inlineStr">
        <is>
          <t xml:space="preserve">GN </t>
        </is>
      </c>
      <c r="S782" t="n">
        <v>1</v>
      </c>
      <c r="T782" t="n">
        <v>2</v>
      </c>
      <c r="U782" t="inlineStr">
        <is>
          <t>2004-03-17</t>
        </is>
      </c>
      <c r="V782" t="inlineStr">
        <is>
          <t>2004-03-17</t>
        </is>
      </c>
      <c r="W782" t="inlineStr">
        <is>
          <t>1997-05-28</t>
        </is>
      </c>
      <c r="X782" t="inlineStr">
        <is>
          <t>1997-05-28</t>
        </is>
      </c>
      <c r="Y782" t="n">
        <v>443</v>
      </c>
      <c r="Z782" t="n">
        <v>406</v>
      </c>
      <c r="AA782" t="n">
        <v>495</v>
      </c>
      <c r="AB782" t="n">
        <v>2</v>
      </c>
      <c r="AC782" t="n">
        <v>4</v>
      </c>
      <c r="AD782" t="n">
        <v>15</v>
      </c>
      <c r="AE782" t="n">
        <v>18</v>
      </c>
      <c r="AF782" t="n">
        <v>4</v>
      </c>
      <c r="AG782" t="n">
        <v>4</v>
      </c>
      <c r="AH782" t="n">
        <v>2</v>
      </c>
      <c r="AI782" t="n">
        <v>2</v>
      </c>
      <c r="AJ782" t="n">
        <v>9</v>
      </c>
      <c r="AK782" t="n">
        <v>10</v>
      </c>
      <c r="AL782" t="n">
        <v>1</v>
      </c>
      <c r="AM782" t="n">
        <v>3</v>
      </c>
      <c r="AN782" t="n">
        <v>1</v>
      </c>
      <c r="AO782" t="n">
        <v>1</v>
      </c>
      <c r="AP782" t="inlineStr">
        <is>
          <t>No</t>
        </is>
      </c>
      <c r="AQ782" t="inlineStr">
        <is>
          <t>Yes</t>
        </is>
      </c>
      <c r="AR782">
        <f>HYPERLINK("http://catalog.hathitrust.org/Record/001274973","HathiTrust Record")</f>
        <v/>
      </c>
      <c r="AS782">
        <f>HYPERLINK("https://creighton-primo.hosted.exlibrisgroup.com/primo-explore/search?tab=default_tab&amp;search_scope=EVERYTHING&amp;vid=01CRU&amp;lang=en_US&amp;offset=0&amp;query=any,contains,991003238269702656","Catalog Record")</f>
        <v/>
      </c>
      <c r="AT782">
        <f>HYPERLINK("http://www.worldcat.org/oclc/762377","WorldCat Record")</f>
        <v/>
      </c>
      <c r="AU782" t="inlineStr">
        <is>
          <t>9381533015:eng</t>
        </is>
      </c>
      <c r="AV782" t="inlineStr">
        <is>
          <t>762377</t>
        </is>
      </c>
      <c r="AW782" t="inlineStr">
        <is>
          <t>991003238269702656</t>
        </is>
      </c>
      <c r="AX782" t="inlineStr">
        <is>
          <t>991003238269702656</t>
        </is>
      </c>
      <c r="AY782" t="inlineStr">
        <is>
          <t>2265192110002656</t>
        </is>
      </c>
      <c r="AZ782" t="inlineStr">
        <is>
          <t>BOOK</t>
        </is>
      </c>
      <c r="BB782" t="inlineStr">
        <is>
          <t>9780823634958</t>
        </is>
      </c>
      <c r="BC782" t="inlineStr">
        <is>
          <t>32285002696259</t>
        </is>
      </c>
      <c r="BD782" t="inlineStr">
        <is>
          <t>893499089</t>
        </is>
      </c>
    </row>
    <row r="783">
      <c r="A783" t="inlineStr">
        <is>
          <t>No</t>
        </is>
      </c>
      <c r="B783" t="inlineStr">
        <is>
          <t>GN490 .L6</t>
        </is>
      </c>
      <c r="C783" t="inlineStr">
        <is>
          <t>0                      GN 0490000L  6</t>
        </is>
      </c>
      <c r="D783" t="inlineStr">
        <is>
          <t>Local-level politics; social and cultural perspectives. Edited by Marc J. Swartz.</t>
        </is>
      </c>
      <c r="F783" t="inlineStr">
        <is>
          <t>No</t>
        </is>
      </c>
      <c r="G783" t="inlineStr">
        <is>
          <t>1</t>
        </is>
      </c>
      <c r="H783" t="inlineStr">
        <is>
          <t>No</t>
        </is>
      </c>
      <c r="I783" t="inlineStr">
        <is>
          <t>No</t>
        </is>
      </c>
      <c r="J783" t="inlineStr">
        <is>
          <t>0</t>
        </is>
      </c>
      <c r="L783" t="inlineStr">
        <is>
          <t>Chicago, Aldine Pub. Co. [1968]</t>
        </is>
      </c>
      <c r="M783" t="inlineStr">
        <is>
          <t>1968</t>
        </is>
      </c>
      <c r="O783" t="inlineStr">
        <is>
          <t>eng</t>
        </is>
      </c>
      <c r="P783" t="inlineStr">
        <is>
          <t>ilu</t>
        </is>
      </c>
      <c r="R783" t="inlineStr">
        <is>
          <t xml:space="preserve">GN </t>
        </is>
      </c>
      <c r="S783" t="n">
        <v>1</v>
      </c>
      <c r="T783" t="n">
        <v>1</v>
      </c>
      <c r="U783" t="inlineStr">
        <is>
          <t>2000-10-14</t>
        </is>
      </c>
      <c r="V783" t="inlineStr">
        <is>
          <t>2000-10-14</t>
        </is>
      </c>
      <c r="W783" t="inlineStr">
        <is>
          <t>1997-05-28</t>
        </is>
      </c>
      <c r="X783" t="inlineStr">
        <is>
          <t>1997-05-28</t>
        </is>
      </c>
      <c r="Y783" t="n">
        <v>536</v>
      </c>
      <c r="Z783" t="n">
        <v>446</v>
      </c>
      <c r="AA783" t="n">
        <v>457</v>
      </c>
      <c r="AB783" t="n">
        <v>3</v>
      </c>
      <c r="AC783" t="n">
        <v>3</v>
      </c>
      <c r="AD783" t="n">
        <v>21</v>
      </c>
      <c r="AE783" t="n">
        <v>21</v>
      </c>
      <c r="AF783" t="n">
        <v>7</v>
      </c>
      <c r="AG783" t="n">
        <v>7</v>
      </c>
      <c r="AH783" t="n">
        <v>3</v>
      </c>
      <c r="AI783" t="n">
        <v>3</v>
      </c>
      <c r="AJ783" t="n">
        <v>13</v>
      </c>
      <c r="AK783" t="n">
        <v>13</v>
      </c>
      <c r="AL783" t="n">
        <v>2</v>
      </c>
      <c r="AM783" t="n">
        <v>2</v>
      </c>
      <c r="AN783" t="n">
        <v>0</v>
      </c>
      <c r="AO783" t="n">
        <v>0</v>
      </c>
      <c r="AP783" t="inlineStr">
        <is>
          <t>No</t>
        </is>
      </c>
      <c r="AQ783" t="inlineStr">
        <is>
          <t>Yes</t>
        </is>
      </c>
      <c r="AR783">
        <f>HYPERLINK("http://catalog.hathitrust.org/Record/001274982","HathiTrust Record")</f>
        <v/>
      </c>
      <c r="AS783">
        <f>HYPERLINK("https://creighton-primo.hosted.exlibrisgroup.com/primo-explore/search?tab=default_tab&amp;search_scope=EVERYTHING&amp;vid=01CRU&amp;lang=en_US&amp;offset=0&amp;query=any,contains,991002784589702656","Catalog Record")</f>
        <v/>
      </c>
      <c r="AT783">
        <f>HYPERLINK("http://www.worldcat.org/oclc/441198","WorldCat Record")</f>
        <v/>
      </c>
      <c r="AU783" t="inlineStr">
        <is>
          <t>368002218:eng</t>
        </is>
      </c>
      <c r="AV783" t="inlineStr">
        <is>
          <t>441198</t>
        </is>
      </c>
      <c r="AW783" t="inlineStr">
        <is>
          <t>991002784589702656</t>
        </is>
      </c>
      <c r="AX783" t="inlineStr">
        <is>
          <t>991002784589702656</t>
        </is>
      </c>
      <c r="AY783" t="inlineStr">
        <is>
          <t>2257153090002656</t>
        </is>
      </c>
      <c r="AZ783" t="inlineStr">
        <is>
          <t>BOOK</t>
        </is>
      </c>
      <c r="BC783" t="inlineStr">
        <is>
          <t>32285002696283</t>
        </is>
      </c>
      <c r="BD783" t="inlineStr">
        <is>
          <t>893415647</t>
        </is>
      </c>
    </row>
    <row r="784">
      <c r="A784" t="inlineStr">
        <is>
          <t>No</t>
        </is>
      </c>
      <c r="B784" t="inlineStr">
        <is>
          <t>GN490 .S62</t>
        </is>
      </c>
      <c r="C784" t="inlineStr">
        <is>
          <t>0                      GN 0490000S  62</t>
        </is>
      </c>
      <c r="D784" t="inlineStr">
        <is>
          <t>Social organization and the applications of anthropology : essays in honor of Lauriston Sharp / edited by Robert J. Smith.</t>
        </is>
      </c>
      <c r="F784" t="inlineStr">
        <is>
          <t>No</t>
        </is>
      </c>
      <c r="G784" t="inlineStr">
        <is>
          <t>1</t>
        </is>
      </c>
      <c r="H784" t="inlineStr">
        <is>
          <t>No</t>
        </is>
      </c>
      <c r="I784" t="inlineStr">
        <is>
          <t>No</t>
        </is>
      </c>
      <c r="J784" t="inlineStr">
        <is>
          <t>0</t>
        </is>
      </c>
      <c r="L784" t="inlineStr">
        <is>
          <t>Ithaca, N.Y. : Cornell University Press, 1974.</t>
        </is>
      </c>
      <c r="M784" t="inlineStr">
        <is>
          <t>1974</t>
        </is>
      </c>
      <c r="O784" t="inlineStr">
        <is>
          <t>eng</t>
        </is>
      </c>
      <c r="P784" t="inlineStr">
        <is>
          <t>nyu</t>
        </is>
      </c>
      <c r="R784" t="inlineStr">
        <is>
          <t xml:space="preserve">GN </t>
        </is>
      </c>
      <c r="S784" t="n">
        <v>1</v>
      </c>
      <c r="T784" t="n">
        <v>1</v>
      </c>
      <c r="U784" t="inlineStr">
        <is>
          <t>1995-01-24</t>
        </is>
      </c>
      <c r="V784" t="inlineStr">
        <is>
          <t>1995-01-24</t>
        </is>
      </c>
      <c r="W784" t="inlineStr">
        <is>
          <t>1990-09-27</t>
        </is>
      </c>
      <c r="X784" t="inlineStr">
        <is>
          <t>1990-09-27</t>
        </is>
      </c>
      <c r="Y784" t="n">
        <v>565</v>
      </c>
      <c r="Z784" t="n">
        <v>452</v>
      </c>
      <c r="AA784" t="n">
        <v>467</v>
      </c>
      <c r="AB784" t="n">
        <v>3</v>
      </c>
      <c r="AC784" t="n">
        <v>3</v>
      </c>
      <c r="AD784" t="n">
        <v>15</v>
      </c>
      <c r="AE784" t="n">
        <v>16</v>
      </c>
      <c r="AF784" t="n">
        <v>7</v>
      </c>
      <c r="AG784" t="n">
        <v>8</v>
      </c>
      <c r="AH784" t="n">
        <v>2</v>
      </c>
      <c r="AI784" t="n">
        <v>2</v>
      </c>
      <c r="AJ784" t="n">
        <v>5</v>
      </c>
      <c r="AK784" t="n">
        <v>5</v>
      </c>
      <c r="AL784" t="n">
        <v>2</v>
      </c>
      <c r="AM784" t="n">
        <v>2</v>
      </c>
      <c r="AN784" t="n">
        <v>0</v>
      </c>
      <c r="AO784" t="n">
        <v>0</v>
      </c>
      <c r="AP784" t="inlineStr">
        <is>
          <t>No</t>
        </is>
      </c>
      <c r="AQ784" t="inlineStr">
        <is>
          <t>Yes</t>
        </is>
      </c>
      <c r="AR784">
        <f>HYPERLINK("http://catalog.hathitrust.org/Record/001274995","HathiTrust Record")</f>
        <v/>
      </c>
      <c r="AS784">
        <f>HYPERLINK("https://creighton-primo.hosted.exlibrisgroup.com/primo-explore/search?tab=default_tab&amp;search_scope=EVERYTHING&amp;vid=01CRU&amp;lang=en_US&amp;offset=0&amp;query=any,contains,991003539039702656","Catalog Record")</f>
        <v/>
      </c>
      <c r="AT784">
        <f>HYPERLINK("http://www.worldcat.org/oclc/1104037","WorldCat Record")</f>
        <v/>
      </c>
      <c r="AU784" t="inlineStr">
        <is>
          <t>350345552:eng</t>
        </is>
      </c>
      <c r="AV784" t="inlineStr">
        <is>
          <t>1104037</t>
        </is>
      </c>
      <c r="AW784" t="inlineStr">
        <is>
          <t>991003539039702656</t>
        </is>
      </c>
      <c r="AX784" t="inlineStr">
        <is>
          <t>991003539039702656</t>
        </is>
      </c>
      <c r="AY784" t="inlineStr">
        <is>
          <t>2258485930002656</t>
        </is>
      </c>
      <c r="AZ784" t="inlineStr">
        <is>
          <t>BOOK</t>
        </is>
      </c>
      <c r="BB784" t="inlineStr">
        <is>
          <t>9780801408915</t>
        </is>
      </c>
      <c r="BC784" t="inlineStr">
        <is>
          <t>32285000316769</t>
        </is>
      </c>
      <c r="BD784" t="inlineStr">
        <is>
          <t>893787437</t>
        </is>
      </c>
    </row>
    <row r="785">
      <c r="A785" t="inlineStr">
        <is>
          <t>No</t>
        </is>
      </c>
      <c r="B785" t="inlineStr">
        <is>
          <t>GN491 .F4</t>
        </is>
      </c>
      <c r="C785" t="inlineStr">
        <is>
          <t>0                      GN 0491000F  4</t>
        </is>
      </c>
      <c r="D785" t="inlineStr">
        <is>
          <t>Totemism in India / [by] John V. Ferreira.</t>
        </is>
      </c>
      <c r="F785" t="inlineStr">
        <is>
          <t>No</t>
        </is>
      </c>
      <c r="G785" t="inlineStr">
        <is>
          <t>1</t>
        </is>
      </c>
      <c r="H785" t="inlineStr">
        <is>
          <t>No</t>
        </is>
      </c>
      <c r="I785" t="inlineStr">
        <is>
          <t>No</t>
        </is>
      </c>
      <c r="J785" t="inlineStr">
        <is>
          <t>0</t>
        </is>
      </c>
      <c r="K785" t="inlineStr">
        <is>
          <t>Ferreira, J. V. (John Vincent), 1922-2010.</t>
        </is>
      </c>
      <c r="L785" t="inlineStr">
        <is>
          <t>[Bombay] Indian Branch, Oxford University Press, 1965.</t>
        </is>
      </c>
      <c r="M785" t="inlineStr">
        <is>
          <t>1965</t>
        </is>
      </c>
      <c r="O785" t="inlineStr">
        <is>
          <t>eng</t>
        </is>
      </c>
      <c r="P785" t="inlineStr">
        <is>
          <t xml:space="preserve">ii </t>
        </is>
      </c>
      <c r="R785" t="inlineStr">
        <is>
          <t xml:space="preserve">GN </t>
        </is>
      </c>
      <c r="S785" t="n">
        <v>2</v>
      </c>
      <c r="T785" t="n">
        <v>2</v>
      </c>
      <c r="U785" t="inlineStr">
        <is>
          <t>2001-09-27</t>
        </is>
      </c>
      <c r="V785" t="inlineStr">
        <is>
          <t>2001-09-27</t>
        </is>
      </c>
      <c r="W785" t="inlineStr">
        <is>
          <t>1997-05-28</t>
        </is>
      </c>
      <c r="X785" t="inlineStr">
        <is>
          <t>1997-05-28</t>
        </is>
      </c>
      <c r="Y785" t="n">
        <v>291</v>
      </c>
      <c r="Z785" t="n">
        <v>235</v>
      </c>
      <c r="AA785" t="n">
        <v>239</v>
      </c>
      <c r="AB785" t="n">
        <v>3</v>
      </c>
      <c r="AC785" t="n">
        <v>3</v>
      </c>
      <c r="AD785" t="n">
        <v>7</v>
      </c>
      <c r="AE785" t="n">
        <v>7</v>
      </c>
      <c r="AF785" t="n">
        <v>0</v>
      </c>
      <c r="AG785" t="n">
        <v>0</v>
      </c>
      <c r="AH785" t="n">
        <v>2</v>
      </c>
      <c r="AI785" t="n">
        <v>2</v>
      </c>
      <c r="AJ785" t="n">
        <v>4</v>
      </c>
      <c r="AK785" t="n">
        <v>4</v>
      </c>
      <c r="AL785" t="n">
        <v>2</v>
      </c>
      <c r="AM785" t="n">
        <v>2</v>
      </c>
      <c r="AN785" t="n">
        <v>0</v>
      </c>
      <c r="AO785" t="n">
        <v>0</v>
      </c>
      <c r="AP785" t="inlineStr">
        <is>
          <t>No</t>
        </is>
      </c>
      <c r="AQ785" t="inlineStr">
        <is>
          <t>Yes</t>
        </is>
      </c>
      <c r="AR785">
        <f>HYPERLINK("http://catalog.hathitrust.org/Record/001275000","HathiTrust Record")</f>
        <v/>
      </c>
      <c r="AS785">
        <f>HYPERLINK("https://creighton-primo.hosted.exlibrisgroup.com/primo-explore/search?tab=default_tab&amp;search_scope=EVERYTHING&amp;vid=01CRU&amp;lang=en_US&amp;offset=0&amp;query=any,contains,991002855709702656","Catalog Record")</f>
        <v/>
      </c>
      <c r="AT785">
        <f>HYPERLINK("http://www.worldcat.org/oclc/489629","WorldCat Record")</f>
        <v/>
      </c>
      <c r="AU785" t="inlineStr">
        <is>
          <t>1579238:eng</t>
        </is>
      </c>
      <c r="AV785" t="inlineStr">
        <is>
          <t>489629</t>
        </is>
      </c>
      <c r="AW785" t="inlineStr">
        <is>
          <t>991002855709702656</t>
        </is>
      </c>
      <c r="AX785" t="inlineStr">
        <is>
          <t>991002855709702656</t>
        </is>
      </c>
      <c r="AY785" t="inlineStr">
        <is>
          <t>2255553190002656</t>
        </is>
      </c>
      <c r="AZ785" t="inlineStr">
        <is>
          <t>BOOK</t>
        </is>
      </c>
      <c r="BC785" t="inlineStr">
        <is>
          <t>32285002696333</t>
        </is>
      </c>
      <c r="BD785" t="inlineStr">
        <is>
          <t>893710758</t>
        </is>
      </c>
    </row>
    <row r="786">
      <c r="A786" t="inlineStr">
        <is>
          <t>No</t>
        </is>
      </c>
      <c r="B786" t="inlineStr">
        <is>
          <t>GN491.7 .D66 1999</t>
        </is>
      </c>
      <c r="C786" t="inlineStr">
        <is>
          <t>0                      GN 0491700D  66          1999</t>
        </is>
      </c>
      <c r="D786" t="inlineStr">
        <is>
          <t>Borders : frontiers of identity, nation and state / Hastings Donnan and Thomas M. Wilson.</t>
        </is>
      </c>
      <c r="F786" t="inlineStr">
        <is>
          <t>No</t>
        </is>
      </c>
      <c r="G786" t="inlineStr">
        <is>
          <t>1</t>
        </is>
      </c>
      <c r="H786" t="inlineStr">
        <is>
          <t>No</t>
        </is>
      </c>
      <c r="I786" t="inlineStr">
        <is>
          <t>No</t>
        </is>
      </c>
      <c r="J786" t="inlineStr">
        <is>
          <t>0</t>
        </is>
      </c>
      <c r="K786" t="inlineStr">
        <is>
          <t>Donnan, Hastings.</t>
        </is>
      </c>
      <c r="L786" t="inlineStr">
        <is>
          <t>Oxford : Berg, 1999.</t>
        </is>
      </c>
      <c r="M786" t="inlineStr">
        <is>
          <t>1999</t>
        </is>
      </c>
      <c r="O786" t="inlineStr">
        <is>
          <t>eng</t>
        </is>
      </c>
      <c r="P786" t="inlineStr">
        <is>
          <t>enk</t>
        </is>
      </c>
      <c r="R786" t="inlineStr">
        <is>
          <t xml:space="preserve">GN </t>
        </is>
      </c>
      <c r="S786" t="n">
        <v>1</v>
      </c>
      <c r="T786" t="n">
        <v>1</v>
      </c>
      <c r="U786" t="inlineStr">
        <is>
          <t>2000-10-18</t>
        </is>
      </c>
      <c r="V786" t="inlineStr">
        <is>
          <t>2000-10-18</t>
        </is>
      </c>
      <c r="W786" t="inlineStr">
        <is>
          <t>2000-10-18</t>
        </is>
      </c>
      <c r="X786" t="inlineStr">
        <is>
          <t>2000-10-18</t>
        </is>
      </c>
      <c r="Y786" t="n">
        <v>448</v>
      </c>
      <c r="Z786" t="n">
        <v>296</v>
      </c>
      <c r="AA786" t="n">
        <v>341</v>
      </c>
      <c r="AB786" t="n">
        <v>4</v>
      </c>
      <c r="AC786" t="n">
        <v>4</v>
      </c>
      <c r="AD786" t="n">
        <v>16</v>
      </c>
      <c r="AE786" t="n">
        <v>16</v>
      </c>
      <c r="AF786" t="n">
        <v>5</v>
      </c>
      <c r="AG786" t="n">
        <v>5</v>
      </c>
      <c r="AH786" t="n">
        <v>5</v>
      </c>
      <c r="AI786" t="n">
        <v>5</v>
      </c>
      <c r="AJ786" t="n">
        <v>6</v>
      </c>
      <c r="AK786" t="n">
        <v>6</v>
      </c>
      <c r="AL786" t="n">
        <v>3</v>
      </c>
      <c r="AM786" t="n">
        <v>3</v>
      </c>
      <c r="AN786" t="n">
        <v>0</v>
      </c>
      <c r="AO786" t="n">
        <v>0</v>
      </c>
      <c r="AP786" t="inlineStr">
        <is>
          <t>No</t>
        </is>
      </c>
      <c r="AQ786" t="inlineStr">
        <is>
          <t>Yes</t>
        </is>
      </c>
      <c r="AR786">
        <f>HYPERLINK("http://catalog.hathitrust.org/Record/004066404","HathiTrust Record")</f>
        <v/>
      </c>
      <c r="AS786">
        <f>HYPERLINK("https://creighton-primo.hosted.exlibrisgroup.com/primo-explore/search?tab=default_tab&amp;search_scope=EVERYTHING&amp;vid=01CRU&amp;lang=en_US&amp;offset=0&amp;query=any,contains,991003283379702656","Catalog Record")</f>
        <v/>
      </c>
      <c r="AT786">
        <f>HYPERLINK("http://www.worldcat.org/oclc/41387986","WorldCat Record")</f>
        <v/>
      </c>
      <c r="AU786" t="inlineStr">
        <is>
          <t>198763492:eng</t>
        </is>
      </c>
      <c r="AV786" t="inlineStr">
        <is>
          <t>41387986</t>
        </is>
      </c>
      <c r="AW786" t="inlineStr">
        <is>
          <t>991003283379702656</t>
        </is>
      </c>
      <c r="AX786" t="inlineStr">
        <is>
          <t>991003283379702656</t>
        </is>
      </c>
      <c r="AY786" t="inlineStr">
        <is>
          <t>2269346950002656</t>
        </is>
      </c>
      <c r="AZ786" t="inlineStr">
        <is>
          <t>BOOK</t>
        </is>
      </c>
      <c r="BB786" t="inlineStr">
        <is>
          <t>9781859732410</t>
        </is>
      </c>
      <c r="BC786" t="inlineStr">
        <is>
          <t>32285003768594</t>
        </is>
      </c>
      <c r="BD786" t="inlineStr">
        <is>
          <t>893721876</t>
        </is>
      </c>
    </row>
    <row r="787">
      <c r="A787" t="inlineStr">
        <is>
          <t>No</t>
        </is>
      </c>
      <c r="B787" t="inlineStr">
        <is>
          <t>GN492 .C66 2004</t>
        </is>
      </c>
      <c r="C787" t="inlineStr">
        <is>
          <t>0                      GN 0492000C  66          2004</t>
        </is>
      </c>
      <c r="D787" t="inlineStr">
        <is>
          <t>A companion to the anthropology of politics / edited by David Nugent and Joan Vincent.</t>
        </is>
      </c>
      <c r="F787" t="inlineStr">
        <is>
          <t>No</t>
        </is>
      </c>
      <c r="G787" t="inlineStr">
        <is>
          <t>1</t>
        </is>
      </c>
      <c r="H787" t="inlineStr">
        <is>
          <t>No</t>
        </is>
      </c>
      <c r="I787" t="inlineStr">
        <is>
          <t>No</t>
        </is>
      </c>
      <c r="J787" t="inlineStr">
        <is>
          <t>0</t>
        </is>
      </c>
      <c r="L787" t="inlineStr">
        <is>
          <t>Malden, MA : Blackwell Pub., 2004.</t>
        </is>
      </c>
      <c r="M787" t="inlineStr">
        <is>
          <t>2004</t>
        </is>
      </c>
      <c r="O787" t="inlineStr">
        <is>
          <t>eng</t>
        </is>
      </c>
      <c r="P787" t="inlineStr">
        <is>
          <t>mau</t>
        </is>
      </c>
      <c r="Q787" t="inlineStr">
        <is>
          <t>Blackwell companions to anthropology ; 2</t>
        </is>
      </c>
      <c r="R787" t="inlineStr">
        <is>
          <t xml:space="preserve">GN </t>
        </is>
      </c>
      <c r="S787" t="n">
        <v>1</v>
      </c>
      <c r="T787" t="n">
        <v>1</v>
      </c>
      <c r="U787" t="inlineStr">
        <is>
          <t>2005-10-04</t>
        </is>
      </c>
      <c r="V787" t="inlineStr">
        <is>
          <t>2005-10-04</t>
        </is>
      </c>
      <c r="W787" t="inlineStr">
        <is>
          <t>2005-10-04</t>
        </is>
      </c>
      <c r="X787" t="inlineStr">
        <is>
          <t>2005-10-04</t>
        </is>
      </c>
      <c r="Y787" t="n">
        <v>382</v>
      </c>
      <c r="Z787" t="n">
        <v>263</v>
      </c>
      <c r="AA787" t="n">
        <v>644</v>
      </c>
      <c r="AB787" t="n">
        <v>2</v>
      </c>
      <c r="AC787" t="n">
        <v>5</v>
      </c>
      <c r="AD787" t="n">
        <v>15</v>
      </c>
      <c r="AE787" t="n">
        <v>33</v>
      </c>
      <c r="AF787" t="n">
        <v>5</v>
      </c>
      <c r="AG787" t="n">
        <v>10</v>
      </c>
      <c r="AH787" t="n">
        <v>4</v>
      </c>
      <c r="AI787" t="n">
        <v>9</v>
      </c>
      <c r="AJ787" t="n">
        <v>8</v>
      </c>
      <c r="AK787" t="n">
        <v>14</v>
      </c>
      <c r="AL787" t="n">
        <v>1</v>
      </c>
      <c r="AM787" t="n">
        <v>4</v>
      </c>
      <c r="AN787" t="n">
        <v>0</v>
      </c>
      <c r="AO787" t="n">
        <v>1</v>
      </c>
      <c r="AP787" t="inlineStr">
        <is>
          <t>No</t>
        </is>
      </c>
      <c r="AQ787" t="inlineStr">
        <is>
          <t>No</t>
        </is>
      </c>
      <c r="AS787">
        <f>HYPERLINK("https://creighton-primo.hosted.exlibrisgroup.com/primo-explore/search?tab=default_tab&amp;search_scope=EVERYTHING&amp;vid=01CRU&amp;lang=en_US&amp;offset=0&amp;query=any,contains,991004644759702656","Catalog Record")</f>
        <v/>
      </c>
      <c r="AT787">
        <f>HYPERLINK("http://www.worldcat.org/oclc/52887056","WorldCat Record")</f>
        <v/>
      </c>
      <c r="AU787" t="inlineStr">
        <is>
          <t>866525688:eng</t>
        </is>
      </c>
      <c r="AV787" t="inlineStr">
        <is>
          <t>52887056</t>
        </is>
      </c>
      <c r="AW787" t="inlineStr">
        <is>
          <t>991004644759702656</t>
        </is>
      </c>
      <c r="AX787" t="inlineStr">
        <is>
          <t>991004644759702656</t>
        </is>
      </c>
      <c r="AY787" t="inlineStr">
        <is>
          <t>2272287290002656</t>
        </is>
      </c>
      <c r="AZ787" t="inlineStr">
        <is>
          <t>BOOK</t>
        </is>
      </c>
      <c r="BB787" t="inlineStr">
        <is>
          <t>9780631229728</t>
        </is>
      </c>
      <c r="BC787" t="inlineStr">
        <is>
          <t>32285005087233</t>
        </is>
      </c>
      <c r="BD787" t="inlineStr">
        <is>
          <t>893719166</t>
        </is>
      </c>
    </row>
    <row r="788">
      <c r="A788" t="inlineStr">
        <is>
          <t>No</t>
        </is>
      </c>
      <c r="B788" t="inlineStr">
        <is>
          <t>GN492.3 .K47 1988</t>
        </is>
      </c>
      <c r="C788" t="inlineStr">
        <is>
          <t>0                      GN 0492300K  47          1988</t>
        </is>
      </c>
      <c r="D788" t="inlineStr">
        <is>
          <t>Ritual, politics, and power / David I. Kertzer.</t>
        </is>
      </c>
      <c r="F788" t="inlineStr">
        <is>
          <t>No</t>
        </is>
      </c>
      <c r="G788" t="inlineStr">
        <is>
          <t>1</t>
        </is>
      </c>
      <c r="H788" t="inlineStr">
        <is>
          <t>No</t>
        </is>
      </c>
      <c r="I788" t="inlineStr">
        <is>
          <t>No</t>
        </is>
      </c>
      <c r="J788" t="inlineStr">
        <is>
          <t>0</t>
        </is>
      </c>
      <c r="K788" t="inlineStr">
        <is>
          <t>Kertzer, David I., 1948-</t>
        </is>
      </c>
      <c r="L788" t="inlineStr">
        <is>
          <t>New Haven : Yale University Press, c1988.</t>
        </is>
      </c>
      <c r="M788" t="inlineStr">
        <is>
          <t>1988</t>
        </is>
      </c>
      <c r="O788" t="inlineStr">
        <is>
          <t>eng</t>
        </is>
      </c>
      <c r="P788" t="inlineStr">
        <is>
          <t>ctu</t>
        </is>
      </c>
      <c r="R788" t="inlineStr">
        <is>
          <t xml:space="preserve">GN </t>
        </is>
      </c>
      <c r="S788" t="n">
        <v>2</v>
      </c>
      <c r="T788" t="n">
        <v>2</v>
      </c>
      <c r="U788" t="inlineStr">
        <is>
          <t>2006-07-15</t>
        </is>
      </c>
      <c r="V788" t="inlineStr">
        <is>
          <t>2006-07-15</t>
        </is>
      </c>
      <c r="W788" t="inlineStr">
        <is>
          <t>1993-10-04</t>
        </is>
      </c>
      <c r="X788" t="inlineStr">
        <is>
          <t>1993-10-04</t>
        </is>
      </c>
      <c r="Y788" t="n">
        <v>986</v>
      </c>
      <c r="Z788" t="n">
        <v>780</v>
      </c>
      <c r="AA788" t="n">
        <v>920</v>
      </c>
      <c r="AB788" t="n">
        <v>3</v>
      </c>
      <c r="AC788" t="n">
        <v>3</v>
      </c>
      <c r="AD788" t="n">
        <v>33</v>
      </c>
      <c r="AE788" t="n">
        <v>39</v>
      </c>
      <c r="AF788" t="n">
        <v>17</v>
      </c>
      <c r="AG788" t="n">
        <v>21</v>
      </c>
      <c r="AH788" t="n">
        <v>6</v>
      </c>
      <c r="AI788" t="n">
        <v>8</v>
      </c>
      <c r="AJ788" t="n">
        <v>19</v>
      </c>
      <c r="AK788" t="n">
        <v>20</v>
      </c>
      <c r="AL788" t="n">
        <v>2</v>
      </c>
      <c r="AM788" t="n">
        <v>2</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HYPERLINK("https://creighton-primo.hosted.exlibrisgroup.com/primo-explore/search?tab=default_tab&amp;search_scope=EVERYTHING&amp;vid=01CRU&amp;lang=en_US&amp;offset=0&amp;query=any,contains,991001107259702656","Catalog Record")</f>
        <v/>
      </c>
      <c r="AT788">
        <f>HYPERLINK("http://www.worldcat.org/oclc/16406053","WorldCat Record")</f>
        <v/>
      </c>
      <c r="AU788" t="inlineStr">
        <is>
          <t>11978011:eng</t>
        </is>
      </c>
      <c r="AV788" t="inlineStr">
        <is>
          <t>16406053</t>
        </is>
      </c>
      <c r="AW788" t="inlineStr">
        <is>
          <t>991001107259702656</t>
        </is>
      </c>
      <c r="AX788" t="inlineStr">
        <is>
          <t>991001107259702656</t>
        </is>
      </c>
      <c r="AY788" t="inlineStr">
        <is>
          <t>2263724060002656</t>
        </is>
      </c>
      <c r="AZ788" t="inlineStr">
        <is>
          <t>BOOK</t>
        </is>
      </c>
      <c r="BB788" t="inlineStr">
        <is>
          <t>9780300040074</t>
        </is>
      </c>
      <c r="BC788" t="inlineStr">
        <is>
          <t>32285001769206</t>
        </is>
      </c>
      <c r="BD788" t="inlineStr">
        <is>
          <t>893702737</t>
        </is>
      </c>
    </row>
    <row r="789">
      <c r="A789" t="inlineStr">
        <is>
          <t>No</t>
        </is>
      </c>
      <c r="B789" t="inlineStr">
        <is>
          <t>GN494.5 .R66 1993</t>
        </is>
      </c>
      <c r="C789" t="inlineStr">
        <is>
          <t>0                      GN 0494500R  66          1993</t>
        </is>
      </c>
      <c r="D789" t="inlineStr">
        <is>
          <t>The culture of conflict : interpretations and interests in comparative perspective / Marc Howard Ross.</t>
        </is>
      </c>
      <c r="F789" t="inlineStr">
        <is>
          <t>No</t>
        </is>
      </c>
      <c r="G789" t="inlineStr">
        <is>
          <t>1</t>
        </is>
      </c>
      <c r="H789" t="inlineStr">
        <is>
          <t>No</t>
        </is>
      </c>
      <c r="I789" t="inlineStr">
        <is>
          <t>No</t>
        </is>
      </c>
      <c r="J789" t="inlineStr">
        <is>
          <t>0</t>
        </is>
      </c>
      <c r="K789" t="inlineStr">
        <is>
          <t>Ross, Marc Howard.</t>
        </is>
      </c>
      <c r="L789" t="inlineStr">
        <is>
          <t>New Haven : Yale University Press, c1993.</t>
        </is>
      </c>
      <c r="M789" t="inlineStr">
        <is>
          <t>1993</t>
        </is>
      </c>
      <c r="O789" t="inlineStr">
        <is>
          <t>eng</t>
        </is>
      </c>
      <c r="P789" t="inlineStr">
        <is>
          <t>ctu</t>
        </is>
      </c>
      <c r="R789" t="inlineStr">
        <is>
          <t xml:space="preserve">GN </t>
        </is>
      </c>
      <c r="S789" t="n">
        <v>6</v>
      </c>
      <c r="T789" t="n">
        <v>6</v>
      </c>
      <c r="U789" t="inlineStr">
        <is>
          <t>1999-08-23</t>
        </is>
      </c>
      <c r="V789" t="inlineStr">
        <is>
          <t>1999-08-23</t>
        </is>
      </c>
      <c r="W789" t="inlineStr">
        <is>
          <t>1994-01-11</t>
        </is>
      </c>
      <c r="X789" t="inlineStr">
        <is>
          <t>1994-01-11</t>
        </is>
      </c>
      <c r="Y789" t="n">
        <v>466</v>
      </c>
      <c r="Z789" t="n">
        <v>381</v>
      </c>
      <c r="AA789" t="n">
        <v>549</v>
      </c>
      <c r="AB789" t="n">
        <v>4</v>
      </c>
      <c r="AC789" t="n">
        <v>4</v>
      </c>
      <c r="AD789" t="n">
        <v>18</v>
      </c>
      <c r="AE789" t="n">
        <v>27</v>
      </c>
      <c r="AF789" t="n">
        <v>5</v>
      </c>
      <c r="AG789" t="n">
        <v>11</v>
      </c>
      <c r="AH789" t="n">
        <v>4</v>
      </c>
      <c r="AI789" t="n">
        <v>7</v>
      </c>
      <c r="AJ789" t="n">
        <v>8</v>
      </c>
      <c r="AK789" t="n">
        <v>11</v>
      </c>
      <c r="AL789" t="n">
        <v>3</v>
      </c>
      <c r="AM789" t="n">
        <v>3</v>
      </c>
      <c r="AN789" t="n">
        <v>1</v>
      </c>
      <c r="AO789" t="n">
        <v>1</v>
      </c>
      <c r="AP789" t="inlineStr">
        <is>
          <t>No</t>
        </is>
      </c>
      <c r="AQ789" t="inlineStr">
        <is>
          <t>No</t>
        </is>
      </c>
      <c r="AS789">
        <f>HYPERLINK("https://creighton-primo.hosted.exlibrisgroup.com/primo-explore/search?tab=default_tab&amp;search_scope=EVERYTHING&amp;vid=01CRU&amp;lang=en_US&amp;offset=0&amp;query=any,contains,991002113399702656","Catalog Record")</f>
        <v/>
      </c>
      <c r="AT789">
        <f>HYPERLINK("http://www.worldcat.org/oclc/27071140","WorldCat Record")</f>
        <v/>
      </c>
      <c r="AU789" t="inlineStr">
        <is>
          <t>836884959:eng</t>
        </is>
      </c>
      <c r="AV789" t="inlineStr">
        <is>
          <t>27071140</t>
        </is>
      </c>
      <c r="AW789" t="inlineStr">
        <is>
          <t>991002113399702656</t>
        </is>
      </c>
      <c r="AX789" t="inlineStr">
        <is>
          <t>991002113399702656</t>
        </is>
      </c>
      <c r="AY789" t="inlineStr">
        <is>
          <t>2271744580002656</t>
        </is>
      </c>
      <c r="AZ789" t="inlineStr">
        <is>
          <t>BOOK</t>
        </is>
      </c>
      <c r="BB789" t="inlineStr">
        <is>
          <t>9780300052732</t>
        </is>
      </c>
      <c r="BC789" t="inlineStr">
        <is>
          <t>32285001830875</t>
        </is>
      </c>
      <c r="BD789" t="inlineStr">
        <is>
          <t>893510307</t>
        </is>
      </c>
    </row>
    <row r="790">
      <c r="A790" t="inlineStr">
        <is>
          <t>No</t>
        </is>
      </c>
      <c r="B790" t="inlineStr">
        <is>
          <t>GN494.5 .R661 1993</t>
        </is>
      </c>
      <c r="C790" t="inlineStr">
        <is>
          <t>0                      GN 0494500R  661         1993</t>
        </is>
      </c>
      <c r="D790" t="inlineStr">
        <is>
          <t>The management of conflict : interpretations and interests in comparative perspective / Marc Howard Ross.</t>
        </is>
      </c>
      <c r="F790" t="inlineStr">
        <is>
          <t>No</t>
        </is>
      </c>
      <c r="G790" t="inlineStr">
        <is>
          <t>1</t>
        </is>
      </c>
      <c r="H790" t="inlineStr">
        <is>
          <t>No</t>
        </is>
      </c>
      <c r="I790" t="inlineStr">
        <is>
          <t>No</t>
        </is>
      </c>
      <c r="J790" t="inlineStr">
        <is>
          <t>0</t>
        </is>
      </c>
      <c r="K790" t="inlineStr">
        <is>
          <t>Ross, Marc Howard.</t>
        </is>
      </c>
      <c r="L790" t="inlineStr">
        <is>
          <t>New Haven : Yale University Press, c1993.</t>
        </is>
      </c>
      <c r="M790" t="inlineStr">
        <is>
          <t>1993</t>
        </is>
      </c>
      <c r="O790" t="inlineStr">
        <is>
          <t>eng</t>
        </is>
      </c>
      <c r="P790" t="inlineStr">
        <is>
          <t>ctu</t>
        </is>
      </c>
      <c r="R790" t="inlineStr">
        <is>
          <t xml:space="preserve">GN </t>
        </is>
      </c>
      <c r="S790" t="n">
        <v>3</v>
      </c>
      <c r="T790" t="n">
        <v>3</v>
      </c>
      <c r="U790" t="inlineStr">
        <is>
          <t>1999-08-23</t>
        </is>
      </c>
      <c r="V790" t="inlineStr">
        <is>
          <t>1999-08-23</t>
        </is>
      </c>
      <c r="W790" t="inlineStr">
        <is>
          <t>1994-01-11</t>
        </is>
      </c>
      <c r="X790" t="inlineStr">
        <is>
          <t>1994-01-11</t>
        </is>
      </c>
      <c r="Y790" t="n">
        <v>464</v>
      </c>
      <c r="Z790" t="n">
        <v>374</v>
      </c>
      <c r="AA790" t="n">
        <v>551</v>
      </c>
      <c r="AB790" t="n">
        <v>3</v>
      </c>
      <c r="AC790" t="n">
        <v>3</v>
      </c>
      <c r="AD790" t="n">
        <v>21</v>
      </c>
      <c r="AE790" t="n">
        <v>32</v>
      </c>
      <c r="AF790" t="n">
        <v>6</v>
      </c>
      <c r="AG790" t="n">
        <v>12</v>
      </c>
      <c r="AH790" t="n">
        <v>7</v>
      </c>
      <c r="AI790" t="n">
        <v>10</v>
      </c>
      <c r="AJ790" t="n">
        <v>8</v>
      </c>
      <c r="AK790" t="n">
        <v>13</v>
      </c>
      <c r="AL790" t="n">
        <v>2</v>
      </c>
      <c r="AM790" t="n">
        <v>2</v>
      </c>
      <c r="AN790" t="n">
        <v>4</v>
      </c>
      <c r="AO790" t="n">
        <v>4</v>
      </c>
      <c r="AP790" t="inlineStr">
        <is>
          <t>No</t>
        </is>
      </c>
      <c r="AQ790" t="inlineStr">
        <is>
          <t>No</t>
        </is>
      </c>
      <c r="AS790">
        <f>HYPERLINK("https://creighton-primo.hosted.exlibrisgroup.com/primo-explore/search?tab=default_tab&amp;search_scope=EVERYTHING&amp;vid=01CRU&amp;lang=en_US&amp;offset=0&amp;query=any,contains,991002132469702656","Catalog Record")</f>
        <v/>
      </c>
      <c r="AT790">
        <f>HYPERLINK("http://www.worldcat.org/oclc/27338396","WorldCat Record")</f>
        <v/>
      </c>
      <c r="AU790" t="inlineStr">
        <is>
          <t>329800:eng</t>
        </is>
      </c>
      <c r="AV790" t="inlineStr">
        <is>
          <t>27338396</t>
        </is>
      </c>
      <c r="AW790" t="inlineStr">
        <is>
          <t>991002132469702656</t>
        </is>
      </c>
      <c r="AX790" t="inlineStr">
        <is>
          <t>991002132469702656</t>
        </is>
      </c>
      <c r="AY790" t="inlineStr">
        <is>
          <t>2271132610002656</t>
        </is>
      </c>
      <c r="AZ790" t="inlineStr">
        <is>
          <t>BOOK</t>
        </is>
      </c>
      <c r="BB790" t="inlineStr">
        <is>
          <t>9780300053982</t>
        </is>
      </c>
      <c r="BC790" t="inlineStr">
        <is>
          <t>32285001830974</t>
        </is>
      </c>
      <c r="BD790" t="inlineStr">
        <is>
          <t>893523232</t>
        </is>
      </c>
    </row>
    <row r="791">
      <c r="A791" t="inlineStr">
        <is>
          <t>No</t>
        </is>
      </c>
      <c r="B791" t="inlineStr">
        <is>
          <t>GN495.2 .L47 1989</t>
        </is>
      </c>
      <c r="C791" t="inlineStr">
        <is>
          <t>0                      GN 0495200L  47          1989</t>
        </is>
      </c>
      <c r="D791" t="inlineStr">
        <is>
          <t>Family violence in cross-cultural perspective / David Levinson.</t>
        </is>
      </c>
      <c r="F791" t="inlineStr">
        <is>
          <t>No</t>
        </is>
      </c>
      <c r="G791" t="inlineStr">
        <is>
          <t>1</t>
        </is>
      </c>
      <c r="H791" t="inlineStr">
        <is>
          <t>No</t>
        </is>
      </c>
      <c r="I791" t="inlineStr">
        <is>
          <t>No</t>
        </is>
      </c>
      <c r="J791" t="inlineStr">
        <is>
          <t>0</t>
        </is>
      </c>
      <c r="K791" t="inlineStr">
        <is>
          <t>Levinson, David, 1947-</t>
        </is>
      </c>
      <c r="L791" t="inlineStr">
        <is>
          <t>Newbury Park, Calif. : Sage Publications, c1989.</t>
        </is>
      </c>
      <c r="M791" t="inlineStr">
        <is>
          <t>1989</t>
        </is>
      </c>
      <c r="O791" t="inlineStr">
        <is>
          <t>eng</t>
        </is>
      </c>
      <c r="P791" t="inlineStr">
        <is>
          <t>cau</t>
        </is>
      </c>
      <c r="Q791" t="inlineStr">
        <is>
          <t>Frontiers of anthropology ; v. 1</t>
        </is>
      </c>
      <c r="R791" t="inlineStr">
        <is>
          <t xml:space="preserve">GN </t>
        </is>
      </c>
      <c r="S791" t="n">
        <v>1</v>
      </c>
      <c r="T791" t="n">
        <v>1</v>
      </c>
      <c r="U791" t="inlineStr">
        <is>
          <t>1994-02-23</t>
        </is>
      </c>
      <c r="V791" t="inlineStr">
        <is>
          <t>1994-02-23</t>
        </is>
      </c>
      <c r="W791" t="inlineStr">
        <is>
          <t>1990-09-27</t>
        </is>
      </c>
      <c r="X791" t="inlineStr">
        <is>
          <t>1990-09-27</t>
        </is>
      </c>
      <c r="Y791" t="n">
        <v>653</v>
      </c>
      <c r="Z791" t="n">
        <v>476</v>
      </c>
      <c r="AA791" t="n">
        <v>479</v>
      </c>
      <c r="AB791" t="n">
        <v>4</v>
      </c>
      <c r="AC791" t="n">
        <v>4</v>
      </c>
      <c r="AD791" t="n">
        <v>21</v>
      </c>
      <c r="AE791" t="n">
        <v>21</v>
      </c>
      <c r="AF791" t="n">
        <v>6</v>
      </c>
      <c r="AG791" t="n">
        <v>6</v>
      </c>
      <c r="AH791" t="n">
        <v>4</v>
      </c>
      <c r="AI791" t="n">
        <v>4</v>
      </c>
      <c r="AJ791" t="n">
        <v>15</v>
      </c>
      <c r="AK791" t="n">
        <v>15</v>
      </c>
      <c r="AL791" t="n">
        <v>3</v>
      </c>
      <c r="AM791" t="n">
        <v>3</v>
      </c>
      <c r="AN791" t="n">
        <v>0</v>
      </c>
      <c r="AO791" t="n">
        <v>0</v>
      </c>
      <c r="AP791" t="inlineStr">
        <is>
          <t>No</t>
        </is>
      </c>
      <c r="AQ791" t="inlineStr">
        <is>
          <t>Yes</t>
        </is>
      </c>
      <c r="AR791">
        <f>HYPERLINK("http://catalog.hathitrust.org/Record/001527867","HathiTrust Record")</f>
        <v/>
      </c>
      <c r="AS791">
        <f>HYPERLINK("https://creighton-primo.hosted.exlibrisgroup.com/primo-explore/search?tab=default_tab&amp;search_scope=EVERYTHING&amp;vid=01CRU&amp;lang=en_US&amp;offset=0&amp;query=any,contains,991001336969702656","Catalog Record")</f>
        <v/>
      </c>
      <c r="AT791">
        <f>HYPERLINK("http://www.worldcat.org/oclc/18351993","WorldCat Record")</f>
        <v/>
      </c>
      <c r="AU791" t="inlineStr">
        <is>
          <t>17205932:eng</t>
        </is>
      </c>
      <c r="AV791" t="inlineStr">
        <is>
          <t>18351993</t>
        </is>
      </c>
      <c r="AW791" t="inlineStr">
        <is>
          <t>991001336969702656</t>
        </is>
      </c>
      <c r="AX791" t="inlineStr">
        <is>
          <t>991001336969702656</t>
        </is>
      </c>
      <c r="AY791" t="inlineStr">
        <is>
          <t>2265714160002656</t>
        </is>
      </c>
      <c r="AZ791" t="inlineStr">
        <is>
          <t>BOOK</t>
        </is>
      </c>
      <c r="BB791" t="inlineStr">
        <is>
          <t>9780803930766</t>
        </is>
      </c>
      <c r="BC791" t="inlineStr">
        <is>
          <t>32285000316801</t>
        </is>
      </c>
      <c r="BD791" t="inlineStr">
        <is>
          <t>893231920</t>
        </is>
      </c>
    </row>
    <row r="792">
      <c r="A792" t="inlineStr">
        <is>
          <t>No</t>
        </is>
      </c>
      <c r="B792" t="inlineStr">
        <is>
          <t>GN495.6 .B57 2001</t>
        </is>
      </c>
      <c r="C792" t="inlineStr">
        <is>
          <t>0                      GN 0495600B  57          2001</t>
        </is>
      </c>
      <c r="D792" t="inlineStr">
        <is>
          <t>Portraits of "primitives" : ordering human kinds in the Chinese nation / Susan D. Blum.</t>
        </is>
      </c>
      <c r="F792" t="inlineStr">
        <is>
          <t>No</t>
        </is>
      </c>
      <c r="G792" t="inlineStr">
        <is>
          <t>1</t>
        </is>
      </c>
      <c r="H792" t="inlineStr">
        <is>
          <t>No</t>
        </is>
      </c>
      <c r="I792" t="inlineStr">
        <is>
          <t>No</t>
        </is>
      </c>
      <c r="J792" t="inlineStr">
        <is>
          <t>0</t>
        </is>
      </c>
      <c r="K792" t="inlineStr">
        <is>
          <t>Blum, Susan Debra.</t>
        </is>
      </c>
      <c r="L792" t="inlineStr">
        <is>
          <t>Lanham : Rowman &amp; Littlefield Publishers, c2001.</t>
        </is>
      </c>
      <c r="M792" t="inlineStr">
        <is>
          <t>2001</t>
        </is>
      </c>
      <c r="O792" t="inlineStr">
        <is>
          <t>eng</t>
        </is>
      </c>
      <c r="P792" t="inlineStr">
        <is>
          <t>mdu</t>
        </is>
      </c>
      <c r="R792" t="inlineStr">
        <is>
          <t xml:space="preserve">GN </t>
        </is>
      </c>
      <c r="S792" t="n">
        <v>1</v>
      </c>
      <c r="T792" t="n">
        <v>1</v>
      </c>
      <c r="U792" t="inlineStr">
        <is>
          <t>2002-07-11</t>
        </is>
      </c>
      <c r="V792" t="inlineStr">
        <is>
          <t>2002-07-11</t>
        </is>
      </c>
      <c r="W792" t="inlineStr">
        <is>
          <t>2002-07-09</t>
        </is>
      </c>
      <c r="X792" t="inlineStr">
        <is>
          <t>2002-07-09</t>
        </is>
      </c>
      <c r="Y792" t="n">
        <v>449</v>
      </c>
      <c r="Z792" t="n">
        <v>366</v>
      </c>
      <c r="AA792" t="n">
        <v>395</v>
      </c>
      <c r="AB792" t="n">
        <v>3</v>
      </c>
      <c r="AC792" t="n">
        <v>3</v>
      </c>
      <c r="AD792" t="n">
        <v>23</v>
      </c>
      <c r="AE792" t="n">
        <v>23</v>
      </c>
      <c r="AF792" t="n">
        <v>11</v>
      </c>
      <c r="AG792" t="n">
        <v>11</v>
      </c>
      <c r="AH792" t="n">
        <v>8</v>
      </c>
      <c r="AI792" t="n">
        <v>8</v>
      </c>
      <c r="AJ792" t="n">
        <v>10</v>
      </c>
      <c r="AK792" t="n">
        <v>10</v>
      </c>
      <c r="AL792" t="n">
        <v>2</v>
      </c>
      <c r="AM792" t="n">
        <v>2</v>
      </c>
      <c r="AN792" t="n">
        <v>0</v>
      </c>
      <c r="AO792" t="n">
        <v>0</v>
      </c>
      <c r="AP792" t="inlineStr">
        <is>
          <t>No</t>
        </is>
      </c>
      <c r="AQ792" t="inlineStr">
        <is>
          <t>Yes</t>
        </is>
      </c>
      <c r="AR792">
        <f>HYPERLINK("http://catalog.hathitrust.org/Record/004140174","HathiTrust Record")</f>
        <v/>
      </c>
      <c r="AS792">
        <f>HYPERLINK("https://creighton-primo.hosted.exlibrisgroup.com/primo-explore/search?tab=default_tab&amp;search_scope=EVERYTHING&amp;vid=01CRU&amp;lang=en_US&amp;offset=0&amp;query=any,contains,991003825829702656","Catalog Record")</f>
        <v/>
      </c>
      <c r="AT792">
        <f>HYPERLINK("http://www.worldcat.org/oclc/43708689","WorldCat Record")</f>
        <v/>
      </c>
      <c r="AU792" t="inlineStr">
        <is>
          <t>38908856:eng</t>
        </is>
      </c>
      <c r="AV792" t="inlineStr">
        <is>
          <t>43708689</t>
        </is>
      </c>
      <c r="AW792" t="inlineStr">
        <is>
          <t>991003825829702656</t>
        </is>
      </c>
      <c r="AX792" t="inlineStr">
        <is>
          <t>991003825829702656</t>
        </is>
      </c>
      <c r="AY792" t="inlineStr">
        <is>
          <t>2257012930002656</t>
        </is>
      </c>
      <c r="AZ792" t="inlineStr">
        <is>
          <t>BOOK</t>
        </is>
      </c>
      <c r="BB792" t="inlineStr">
        <is>
          <t>9780742500914</t>
        </is>
      </c>
      <c r="BC792" t="inlineStr">
        <is>
          <t>32285004496427</t>
        </is>
      </c>
      <c r="BD792" t="inlineStr">
        <is>
          <t>893800205</t>
        </is>
      </c>
    </row>
    <row r="793">
      <c r="A793" t="inlineStr">
        <is>
          <t>No</t>
        </is>
      </c>
      <c r="B793" t="inlineStr">
        <is>
          <t>GN495.6 .C6454 2009</t>
        </is>
      </c>
      <c r="C793" t="inlineStr">
        <is>
          <t>0                      GN 0495600C  6454        2009</t>
        </is>
      </c>
      <c r="D793" t="inlineStr">
        <is>
          <t>Ethnicity, Inc. / John L. Comaroff and Jean Comaroff.</t>
        </is>
      </c>
      <c r="F793" t="inlineStr">
        <is>
          <t>No</t>
        </is>
      </c>
      <c r="G793" t="inlineStr">
        <is>
          <t>1</t>
        </is>
      </c>
      <c r="H793" t="inlineStr">
        <is>
          <t>No</t>
        </is>
      </c>
      <c r="I793" t="inlineStr">
        <is>
          <t>No</t>
        </is>
      </c>
      <c r="J793" t="inlineStr">
        <is>
          <t>0</t>
        </is>
      </c>
      <c r="K793" t="inlineStr">
        <is>
          <t>Comaroff, John L., 1945-</t>
        </is>
      </c>
      <c r="L793" t="inlineStr">
        <is>
          <t>Chicago : University of Chicago Press, 2009.</t>
        </is>
      </c>
      <c r="M793" t="inlineStr">
        <is>
          <t>2009</t>
        </is>
      </c>
      <c r="O793" t="inlineStr">
        <is>
          <t>eng</t>
        </is>
      </c>
      <c r="P793" t="inlineStr">
        <is>
          <t>ilu</t>
        </is>
      </c>
      <c r="Q793" t="inlineStr">
        <is>
          <t>Chicago studies in practices of meaning.</t>
        </is>
      </c>
      <c r="R793" t="inlineStr">
        <is>
          <t xml:space="preserve">GN </t>
        </is>
      </c>
      <c r="S793" t="n">
        <v>1</v>
      </c>
      <c r="T793" t="n">
        <v>1</v>
      </c>
      <c r="U793" t="inlineStr">
        <is>
          <t>2010-07-19</t>
        </is>
      </c>
      <c r="V793" t="inlineStr">
        <is>
          <t>2010-07-19</t>
        </is>
      </c>
      <c r="W793" t="inlineStr">
        <is>
          <t>2010-07-19</t>
        </is>
      </c>
      <c r="X793" t="inlineStr">
        <is>
          <t>2010-07-19</t>
        </is>
      </c>
      <c r="Y793" t="n">
        <v>552</v>
      </c>
      <c r="Z793" t="n">
        <v>384</v>
      </c>
      <c r="AA793" t="n">
        <v>718</v>
      </c>
      <c r="AB793" t="n">
        <v>3</v>
      </c>
      <c r="AC793" t="n">
        <v>17</v>
      </c>
      <c r="AD793" t="n">
        <v>23</v>
      </c>
      <c r="AE793" t="n">
        <v>34</v>
      </c>
      <c r="AF793" t="n">
        <v>10</v>
      </c>
      <c r="AG793" t="n">
        <v>13</v>
      </c>
      <c r="AH793" t="n">
        <v>5</v>
      </c>
      <c r="AI793" t="n">
        <v>6</v>
      </c>
      <c r="AJ793" t="n">
        <v>11</v>
      </c>
      <c r="AK793" t="n">
        <v>11</v>
      </c>
      <c r="AL793" t="n">
        <v>2</v>
      </c>
      <c r="AM793" t="n">
        <v>10</v>
      </c>
      <c r="AN793" t="n">
        <v>0</v>
      </c>
      <c r="AO793" t="n">
        <v>0</v>
      </c>
      <c r="AP793" t="inlineStr">
        <is>
          <t>No</t>
        </is>
      </c>
      <c r="AQ793" t="inlineStr">
        <is>
          <t>Yes</t>
        </is>
      </c>
      <c r="AR793">
        <f>HYPERLINK("http://catalog.hathitrust.org/Record/006838651","HathiTrust Record")</f>
        <v/>
      </c>
      <c r="AS793">
        <f>HYPERLINK("https://creighton-primo.hosted.exlibrisgroup.com/primo-explore/search?tab=default_tab&amp;search_scope=EVERYTHING&amp;vid=01CRU&amp;lang=en_US&amp;offset=0&amp;query=any,contains,991000022929702656","Catalog Record")</f>
        <v/>
      </c>
      <c r="AT793">
        <f>HYPERLINK("http://www.worldcat.org/oclc/256534500","WorldCat Record")</f>
        <v/>
      </c>
      <c r="AU793" t="inlineStr">
        <is>
          <t>149949962:eng</t>
        </is>
      </c>
      <c r="AV793" t="inlineStr">
        <is>
          <t>256534500</t>
        </is>
      </c>
      <c r="AW793" t="inlineStr">
        <is>
          <t>991000022929702656</t>
        </is>
      </c>
      <c r="AX793" t="inlineStr">
        <is>
          <t>991000022929702656</t>
        </is>
      </c>
      <c r="AY793" t="inlineStr">
        <is>
          <t>2265782440002656</t>
        </is>
      </c>
      <c r="AZ793" t="inlineStr">
        <is>
          <t>BOOK</t>
        </is>
      </c>
      <c r="BB793" t="inlineStr">
        <is>
          <t>9780226114712</t>
        </is>
      </c>
      <c r="BC793" t="inlineStr">
        <is>
          <t>32285005590830</t>
        </is>
      </c>
      <c r="BD793" t="inlineStr">
        <is>
          <t>893237001</t>
        </is>
      </c>
    </row>
    <row r="794">
      <c r="A794" t="inlineStr">
        <is>
          <t>No</t>
        </is>
      </c>
      <c r="B794" t="inlineStr">
        <is>
          <t>GN495.6 .C69 2003</t>
        </is>
      </c>
      <c r="C794" t="inlineStr">
        <is>
          <t>0                      GN 0495600C  69          2003</t>
        </is>
      </c>
      <c r="D794" t="inlineStr">
        <is>
          <t>Separation, assimilation, or accomodation : contrasting ethnic minority policies / Terrence E. Cook.</t>
        </is>
      </c>
      <c r="F794" t="inlineStr">
        <is>
          <t>No</t>
        </is>
      </c>
      <c r="G794" t="inlineStr">
        <is>
          <t>1</t>
        </is>
      </c>
      <c r="H794" t="inlineStr">
        <is>
          <t>No</t>
        </is>
      </c>
      <c r="I794" t="inlineStr">
        <is>
          <t>No</t>
        </is>
      </c>
      <c r="J794" t="inlineStr">
        <is>
          <t>0</t>
        </is>
      </c>
      <c r="K794" t="inlineStr">
        <is>
          <t>Cook, Terrence E., 1942-</t>
        </is>
      </c>
      <c r="L794" t="inlineStr">
        <is>
          <t>Westport, Conn. : Praeger, 2003.</t>
        </is>
      </c>
      <c r="M794" t="inlineStr">
        <is>
          <t>2003</t>
        </is>
      </c>
      <c r="O794" t="inlineStr">
        <is>
          <t>eng</t>
        </is>
      </c>
      <c r="P794" t="inlineStr">
        <is>
          <t>ctu</t>
        </is>
      </c>
      <c r="R794" t="inlineStr">
        <is>
          <t xml:space="preserve">GN </t>
        </is>
      </c>
      <c r="S794" t="n">
        <v>1</v>
      </c>
      <c r="T794" t="n">
        <v>1</v>
      </c>
      <c r="U794" t="inlineStr">
        <is>
          <t>2004-10-06</t>
        </is>
      </c>
      <c r="V794" t="inlineStr">
        <is>
          <t>2004-10-06</t>
        </is>
      </c>
      <c r="W794" t="inlineStr">
        <is>
          <t>2004-10-06</t>
        </is>
      </c>
      <c r="X794" t="inlineStr">
        <is>
          <t>2004-10-06</t>
        </is>
      </c>
      <c r="Y794" t="n">
        <v>316</v>
      </c>
      <c r="Z794" t="n">
        <v>267</v>
      </c>
      <c r="AA794" t="n">
        <v>619</v>
      </c>
      <c r="AB794" t="n">
        <v>2</v>
      </c>
      <c r="AC794" t="n">
        <v>5</v>
      </c>
      <c r="AD794" t="n">
        <v>13</v>
      </c>
      <c r="AE794" t="n">
        <v>19</v>
      </c>
      <c r="AF794" t="n">
        <v>6</v>
      </c>
      <c r="AG794" t="n">
        <v>9</v>
      </c>
      <c r="AH794" t="n">
        <v>3</v>
      </c>
      <c r="AI794" t="n">
        <v>3</v>
      </c>
      <c r="AJ794" t="n">
        <v>7</v>
      </c>
      <c r="AK794" t="n">
        <v>8</v>
      </c>
      <c r="AL794" t="n">
        <v>1</v>
      </c>
      <c r="AM794" t="n">
        <v>4</v>
      </c>
      <c r="AN794" t="n">
        <v>0</v>
      </c>
      <c r="AO794" t="n">
        <v>0</v>
      </c>
      <c r="AP794" t="inlineStr">
        <is>
          <t>No</t>
        </is>
      </c>
      <c r="AQ794" t="inlineStr">
        <is>
          <t>Yes</t>
        </is>
      </c>
      <c r="AR794">
        <f>HYPERLINK("http://catalog.hathitrust.org/Record/004349180","HathiTrust Record")</f>
        <v/>
      </c>
      <c r="AS794">
        <f>HYPERLINK("https://creighton-primo.hosted.exlibrisgroup.com/primo-explore/search?tab=default_tab&amp;search_scope=EVERYTHING&amp;vid=01CRU&amp;lang=en_US&amp;offset=0&amp;query=any,contains,991004368589702656","Catalog Record")</f>
        <v/>
      </c>
      <c r="AT794">
        <f>HYPERLINK("http://www.worldcat.org/oclc/50669419","WorldCat Record")</f>
        <v/>
      </c>
      <c r="AU794" t="inlineStr">
        <is>
          <t>891289802:eng</t>
        </is>
      </c>
      <c r="AV794" t="inlineStr">
        <is>
          <t>50669419</t>
        </is>
      </c>
      <c r="AW794" t="inlineStr">
        <is>
          <t>991004368589702656</t>
        </is>
      </c>
      <c r="AX794" t="inlineStr">
        <is>
          <t>991004368589702656</t>
        </is>
      </c>
      <c r="AY794" t="inlineStr">
        <is>
          <t>2269803240002656</t>
        </is>
      </c>
      <c r="AZ794" t="inlineStr">
        <is>
          <t>BOOK</t>
        </is>
      </c>
      <c r="BB794" t="inlineStr">
        <is>
          <t>9780275978259</t>
        </is>
      </c>
      <c r="BC794" t="inlineStr">
        <is>
          <t>32285005001705</t>
        </is>
      </c>
      <c r="BD794" t="inlineStr">
        <is>
          <t>893876017</t>
        </is>
      </c>
    </row>
    <row r="795">
      <c r="A795" t="inlineStr">
        <is>
          <t>No</t>
        </is>
      </c>
      <c r="B795" t="inlineStr">
        <is>
          <t>GN495.6 .E86</t>
        </is>
      </c>
      <c r="C795" t="inlineStr">
        <is>
          <t>0                      GN 0495600E  86</t>
        </is>
      </c>
      <c r="D795" t="inlineStr">
        <is>
          <t>Ethnic change / edited by Charles F. Keyes.</t>
        </is>
      </c>
      <c r="F795" t="inlineStr">
        <is>
          <t>No</t>
        </is>
      </c>
      <c r="G795" t="inlineStr">
        <is>
          <t>1</t>
        </is>
      </c>
      <c r="H795" t="inlineStr">
        <is>
          <t>No</t>
        </is>
      </c>
      <c r="I795" t="inlineStr">
        <is>
          <t>No</t>
        </is>
      </c>
      <c r="J795" t="inlineStr">
        <is>
          <t>0</t>
        </is>
      </c>
      <c r="L795" t="inlineStr">
        <is>
          <t>Seattle : University of Washington Press, c1981.</t>
        </is>
      </c>
      <c r="M795" t="inlineStr">
        <is>
          <t>1981</t>
        </is>
      </c>
      <c r="O795" t="inlineStr">
        <is>
          <t>eng</t>
        </is>
      </c>
      <c r="P795" t="inlineStr">
        <is>
          <t>wau</t>
        </is>
      </c>
      <c r="Q795" t="inlineStr">
        <is>
          <t>Publications on ethnicity and nationality of the School of International Studies, University of Washington ; v. 2</t>
        </is>
      </c>
      <c r="R795" t="inlineStr">
        <is>
          <t xml:space="preserve">GN </t>
        </is>
      </c>
      <c r="S795" t="n">
        <v>3</v>
      </c>
      <c r="T795" t="n">
        <v>3</v>
      </c>
      <c r="U795" t="inlineStr">
        <is>
          <t>1995-12-08</t>
        </is>
      </c>
      <c r="V795" t="inlineStr">
        <is>
          <t>1995-12-08</t>
        </is>
      </c>
      <c r="W795" t="inlineStr">
        <is>
          <t>1990-09-27</t>
        </is>
      </c>
      <c r="X795" t="inlineStr">
        <is>
          <t>1990-09-27</t>
        </is>
      </c>
      <c r="Y795" t="n">
        <v>720</v>
      </c>
      <c r="Z795" t="n">
        <v>613</v>
      </c>
      <c r="AA795" t="n">
        <v>615</v>
      </c>
      <c r="AB795" t="n">
        <v>5</v>
      </c>
      <c r="AC795" t="n">
        <v>5</v>
      </c>
      <c r="AD795" t="n">
        <v>28</v>
      </c>
      <c r="AE795" t="n">
        <v>28</v>
      </c>
      <c r="AF795" t="n">
        <v>12</v>
      </c>
      <c r="AG795" t="n">
        <v>12</v>
      </c>
      <c r="AH795" t="n">
        <v>6</v>
      </c>
      <c r="AI795" t="n">
        <v>6</v>
      </c>
      <c r="AJ795" t="n">
        <v>12</v>
      </c>
      <c r="AK795" t="n">
        <v>12</v>
      </c>
      <c r="AL795" t="n">
        <v>4</v>
      </c>
      <c r="AM795" t="n">
        <v>4</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HYPERLINK("https://creighton-primo.hosted.exlibrisgroup.com/primo-explore/search?tab=default_tab&amp;search_scope=EVERYTHING&amp;vid=01CRU&amp;lang=en_US&amp;offset=0&amp;query=any,contains,991005085639702656","Catalog Record")</f>
        <v/>
      </c>
      <c r="AT795">
        <f>HYPERLINK("http://www.worldcat.org/oclc/7196374","WorldCat Record")</f>
        <v/>
      </c>
      <c r="AU795" t="inlineStr">
        <is>
          <t>54427308:eng</t>
        </is>
      </c>
      <c r="AV795" t="inlineStr">
        <is>
          <t>7196374</t>
        </is>
      </c>
      <c r="AW795" t="inlineStr">
        <is>
          <t>991005085639702656</t>
        </is>
      </c>
      <c r="AX795" t="inlineStr">
        <is>
          <t>991005085639702656</t>
        </is>
      </c>
      <c r="AY795" t="inlineStr">
        <is>
          <t>2255650770002656</t>
        </is>
      </c>
      <c r="AZ795" t="inlineStr">
        <is>
          <t>BOOK</t>
        </is>
      </c>
      <c r="BB795" t="inlineStr">
        <is>
          <t>9780295958125</t>
        </is>
      </c>
      <c r="BC795" t="inlineStr">
        <is>
          <t>32285000316835</t>
        </is>
      </c>
      <c r="BD795" t="inlineStr">
        <is>
          <t>893446552</t>
        </is>
      </c>
    </row>
    <row r="796">
      <c r="A796" t="inlineStr">
        <is>
          <t>No</t>
        </is>
      </c>
      <c r="B796" t="inlineStr">
        <is>
          <t>GN495.6 .E8845 1996</t>
        </is>
      </c>
      <c r="C796" t="inlineStr">
        <is>
          <t>0                      GN 0495600E  8845        1996</t>
        </is>
      </c>
      <c r="D796" t="inlineStr">
        <is>
          <t>Ethnicity / edited by John Hutchinson and Anthony D. Smith.</t>
        </is>
      </c>
      <c r="F796" t="inlineStr">
        <is>
          <t>No</t>
        </is>
      </c>
      <c r="G796" t="inlineStr">
        <is>
          <t>1</t>
        </is>
      </c>
      <c r="H796" t="inlineStr">
        <is>
          <t>No</t>
        </is>
      </c>
      <c r="I796" t="inlineStr">
        <is>
          <t>No</t>
        </is>
      </c>
      <c r="J796" t="inlineStr">
        <is>
          <t>0</t>
        </is>
      </c>
      <c r="L796" t="inlineStr">
        <is>
          <t>Oxford ; New York : Oxford University Press, 1996.</t>
        </is>
      </c>
      <c r="M796" t="inlineStr">
        <is>
          <t>1996</t>
        </is>
      </c>
      <c r="O796" t="inlineStr">
        <is>
          <t>eng</t>
        </is>
      </c>
      <c r="P796" t="inlineStr">
        <is>
          <t>enk</t>
        </is>
      </c>
      <c r="Q796" t="inlineStr">
        <is>
          <t>Oxford readers</t>
        </is>
      </c>
      <c r="R796" t="inlineStr">
        <is>
          <t xml:space="preserve">GN </t>
        </is>
      </c>
      <c r="S796" t="n">
        <v>5</v>
      </c>
      <c r="T796" t="n">
        <v>5</v>
      </c>
      <c r="U796" t="inlineStr">
        <is>
          <t>2007-01-13</t>
        </is>
      </c>
      <c r="V796" t="inlineStr">
        <is>
          <t>2007-01-13</t>
        </is>
      </c>
      <c r="W796" t="inlineStr">
        <is>
          <t>1997-01-14</t>
        </is>
      </c>
      <c r="X796" t="inlineStr">
        <is>
          <t>1997-01-14</t>
        </is>
      </c>
      <c r="Y796" t="n">
        <v>689</v>
      </c>
      <c r="Z796" t="n">
        <v>404</v>
      </c>
      <c r="AA796" t="n">
        <v>406</v>
      </c>
      <c r="AB796" t="n">
        <v>4</v>
      </c>
      <c r="AC796" t="n">
        <v>4</v>
      </c>
      <c r="AD796" t="n">
        <v>21</v>
      </c>
      <c r="AE796" t="n">
        <v>22</v>
      </c>
      <c r="AF796" t="n">
        <v>8</v>
      </c>
      <c r="AG796" t="n">
        <v>9</v>
      </c>
      <c r="AH796" t="n">
        <v>4</v>
      </c>
      <c r="AI796" t="n">
        <v>4</v>
      </c>
      <c r="AJ796" t="n">
        <v>14</v>
      </c>
      <c r="AK796" t="n">
        <v>14</v>
      </c>
      <c r="AL796" t="n">
        <v>3</v>
      </c>
      <c r="AM796" t="n">
        <v>3</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HYPERLINK("https://creighton-primo.hosted.exlibrisgroup.com/primo-explore/search?tab=default_tab&amp;search_scope=EVERYTHING&amp;vid=01CRU&amp;lang=en_US&amp;offset=0&amp;query=any,contains,991002646489702656","Catalog Record")</f>
        <v/>
      </c>
      <c r="AT796">
        <f>HYPERLINK("http://www.worldcat.org/oclc/34623037","WorldCat Record")</f>
        <v/>
      </c>
      <c r="AU796" t="inlineStr">
        <is>
          <t>349902506:eng</t>
        </is>
      </c>
      <c r="AV796" t="inlineStr">
        <is>
          <t>34623037</t>
        </is>
      </c>
      <c r="AW796" t="inlineStr">
        <is>
          <t>991002646489702656</t>
        </is>
      </c>
      <c r="AX796" t="inlineStr">
        <is>
          <t>991002646489702656</t>
        </is>
      </c>
      <c r="AY796" t="inlineStr">
        <is>
          <t>2269466530002656</t>
        </is>
      </c>
      <c r="AZ796" t="inlineStr">
        <is>
          <t>BOOK</t>
        </is>
      </c>
      <c r="BB796" t="inlineStr">
        <is>
          <t>9780192892744</t>
        </is>
      </c>
      <c r="BC796" t="inlineStr">
        <is>
          <t>32285002407145</t>
        </is>
      </c>
      <c r="BD796" t="inlineStr">
        <is>
          <t>893323179</t>
        </is>
      </c>
    </row>
    <row r="797">
      <c r="A797" t="inlineStr">
        <is>
          <t>No</t>
        </is>
      </c>
      <c r="B797" t="inlineStr">
        <is>
          <t>GN495.6 .H46 2005</t>
        </is>
      </c>
      <c r="C797" t="inlineStr">
        <is>
          <t>0                      GN 0495600H  46          2005</t>
        </is>
      </c>
      <c r="D797" t="inlineStr">
        <is>
          <t>Reclaiming culture : indigenous people and self-representation / Joy Hendry.</t>
        </is>
      </c>
      <c r="F797" t="inlineStr">
        <is>
          <t>No</t>
        </is>
      </c>
      <c r="G797" t="inlineStr">
        <is>
          <t>1</t>
        </is>
      </c>
      <c r="H797" t="inlineStr">
        <is>
          <t>No</t>
        </is>
      </c>
      <c r="I797" t="inlineStr">
        <is>
          <t>No</t>
        </is>
      </c>
      <c r="J797" t="inlineStr">
        <is>
          <t>0</t>
        </is>
      </c>
      <c r="K797" t="inlineStr">
        <is>
          <t>Hendry, Joy.</t>
        </is>
      </c>
      <c r="L797" t="inlineStr">
        <is>
          <t>Houndsmills, Basingstoke, Hampshire ; New York : Palgrave Macmillan, 2005.</t>
        </is>
      </c>
      <c r="M797" t="inlineStr">
        <is>
          <t>2005</t>
        </is>
      </c>
      <c r="O797" t="inlineStr">
        <is>
          <t>eng</t>
        </is>
      </c>
      <c r="P797" t="inlineStr">
        <is>
          <t>enk</t>
        </is>
      </c>
      <c r="R797" t="inlineStr">
        <is>
          <t xml:space="preserve">GN </t>
        </is>
      </c>
      <c r="S797" t="n">
        <v>2</v>
      </c>
      <c r="T797" t="n">
        <v>2</v>
      </c>
      <c r="U797" t="inlineStr">
        <is>
          <t>2008-06-25</t>
        </is>
      </c>
      <c r="V797" t="inlineStr">
        <is>
          <t>2008-06-25</t>
        </is>
      </c>
      <c r="W797" t="inlineStr">
        <is>
          <t>2006-11-13</t>
        </is>
      </c>
      <c r="X797" t="inlineStr">
        <is>
          <t>2006-11-13</t>
        </is>
      </c>
      <c r="Y797" t="n">
        <v>548</v>
      </c>
      <c r="Z797" t="n">
        <v>460</v>
      </c>
      <c r="AA797" t="n">
        <v>807</v>
      </c>
      <c r="AB797" t="n">
        <v>5</v>
      </c>
      <c r="AC797" t="n">
        <v>7</v>
      </c>
      <c r="AD797" t="n">
        <v>21</v>
      </c>
      <c r="AE797" t="n">
        <v>36</v>
      </c>
      <c r="AF797" t="n">
        <v>7</v>
      </c>
      <c r="AG797" t="n">
        <v>13</v>
      </c>
      <c r="AH797" t="n">
        <v>3</v>
      </c>
      <c r="AI797" t="n">
        <v>7</v>
      </c>
      <c r="AJ797" t="n">
        <v>13</v>
      </c>
      <c r="AK797" t="n">
        <v>18</v>
      </c>
      <c r="AL797" t="n">
        <v>4</v>
      </c>
      <c r="AM797" t="n">
        <v>6</v>
      </c>
      <c r="AN797" t="n">
        <v>0</v>
      </c>
      <c r="AO797" t="n">
        <v>1</v>
      </c>
      <c r="AP797" t="inlineStr">
        <is>
          <t>No</t>
        </is>
      </c>
      <c r="AQ797" t="inlineStr">
        <is>
          <t>No</t>
        </is>
      </c>
      <c r="AS797">
        <f>HYPERLINK("https://creighton-primo.hosted.exlibrisgroup.com/primo-explore/search?tab=default_tab&amp;search_scope=EVERYTHING&amp;vid=01CRU&amp;lang=en_US&amp;offset=0&amp;query=any,contains,991004936409702656","Catalog Record")</f>
        <v/>
      </c>
      <c r="AT797">
        <f>HYPERLINK("http://www.worldcat.org/oclc/60401773","WorldCat Record")</f>
        <v/>
      </c>
      <c r="AU797" t="inlineStr">
        <is>
          <t>793982667:eng</t>
        </is>
      </c>
      <c r="AV797" t="inlineStr">
        <is>
          <t>60401773</t>
        </is>
      </c>
      <c r="AW797" t="inlineStr">
        <is>
          <t>991004936409702656</t>
        </is>
      </c>
      <c r="AX797" t="inlineStr">
        <is>
          <t>991004936409702656</t>
        </is>
      </c>
      <c r="AY797" t="inlineStr">
        <is>
          <t>2263617230002656</t>
        </is>
      </c>
      <c r="AZ797" t="inlineStr">
        <is>
          <t>BOOK</t>
        </is>
      </c>
      <c r="BB797" t="inlineStr">
        <is>
          <t>9781403970183</t>
        </is>
      </c>
      <c r="BC797" t="inlineStr">
        <is>
          <t>32285005239065</t>
        </is>
      </c>
      <c r="BD797" t="inlineStr">
        <is>
          <t>893520188</t>
        </is>
      </c>
    </row>
    <row r="798">
      <c r="A798" t="inlineStr">
        <is>
          <t>No</t>
        </is>
      </c>
      <c r="B798" t="inlineStr">
        <is>
          <t>GN495.6 .L495 2000</t>
        </is>
      </c>
      <c r="C798" t="inlineStr">
        <is>
          <t>0                      GN 0495600L  495         2000</t>
        </is>
      </c>
      <c r="D798" t="inlineStr">
        <is>
          <t>The multiculturalism of fear / Jacob T. Levy.</t>
        </is>
      </c>
      <c r="F798" t="inlineStr">
        <is>
          <t>No</t>
        </is>
      </c>
      <c r="G798" t="inlineStr">
        <is>
          <t>1</t>
        </is>
      </c>
      <c r="H798" t="inlineStr">
        <is>
          <t>No</t>
        </is>
      </c>
      <c r="I798" t="inlineStr">
        <is>
          <t>No</t>
        </is>
      </c>
      <c r="J798" t="inlineStr">
        <is>
          <t>0</t>
        </is>
      </c>
      <c r="K798" t="inlineStr">
        <is>
          <t>Levy, Jacob T., 1971-</t>
        </is>
      </c>
      <c r="L798" t="inlineStr">
        <is>
          <t>Oxford ; New York : Oxford University Press, 2000.</t>
        </is>
      </c>
      <c r="M798" t="inlineStr">
        <is>
          <t>2000</t>
        </is>
      </c>
      <c r="O798" t="inlineStr">
        <is>
          <t>eng</t>
        </is>
      </c>
      <c r="P798" t="inlineStr">
        <is>
          <t>enk</t>
        </is>
      </c>
      <c r="R798" t="inlineStr">
        <is>
          <t xml:space="preserve">GN </t>
        </is>
      </c>
      <c r="S798" t="n">
        <v>2</v>
      </c>
      <c r="T798" t="n">
        <v>2</v>
      </c>
      <c r="U798" t="inlineStr">
        <is>
          <t>2008-01-04</t>
        </is>
      </c>
      <c r="V798" t="inlineStr">
        <is>
          <t>2008-01-04</t>
        </is>
      </c>
      <c r="W798" t="inlineStr">
        <is>
          <t>2002-09-12</t>
        </is>
      </c>
      <c r="X798" t="inlineStr">
        <is>
          <t>2002-09-12</t>
        </is>
      </c>
      <c r="Y798" t="n">
        <v>437</v>
      </c>
      <c r="Z798" t="n">
        <v>313</v>
      </c>
      <c r="AA798" t="n">
        <v>1110</v>
      </c>
      <c r="AB798" t="n">
        <v>3</v>
      </c>
      <c r="AC798" t="n">
        <v>7</v>
      </c>
      <c r="AD798" t="n">
        <v>19</v>
      </c>
      <c r="AE798" t="n">
        <v>39</v>
      </c>
      <c r="AF798" t="n">
        <v>6</v>
      </c>
      <c r="AG798" t="n">
        <v>14</v>
      </c>
      <c r="AH798" t="n">
        <v>6</v>
      </c>
      <c r="AI798" t="n">
        <v>10</v>
      </c>
      <c r="AJ798" t="n">
        <v>9</v>
      </c>
      <c r="AK798" t="n">
        <v>15</v>
      </c>
      <c r="AL798" t="n">
        <v>2</v>
      </c>
      <c r="AM798" t="n">
        <v>6</v>
      </c>
      <c r="AN798" t="n">
        <v>1</v>
      </c>
      <c r="AO798" t="n">
        <v>2</v>
      </c>
      <c r="AP798" t="inlineStr">
        <is>
          <t>No</t>
        </is>
      </c>
      <c r="AQ798" t="inlineStr">
        <is>
          <t>Yes</t>
        </is>
      </c>
      <c r="AR798">
        <f>HYPERLINK("http://catalog.hathitrust.org/Record/004123599","HathiTrust Record")</f>
        <v/>
      </c>
      <c r="AS798">
        <f>HYPERLINK("https://creighton-primo.hosted.exlibrisgroup.com/primo-explore/search?tab=default_tab&amp;search_scope=EVERYTHING&amp;vid=01CRU&amp;lang=en_US&amp;offset=0&amp;query=any,contains,991003887249702656","Catalog Record")</f>
        <v/>
      </c>
      <c r="AT798">
        <f>HYPERLINK("http://www.worldcat.org/oclc/43985785","WorldCat Record")</f>
        <v/>
      </c>
      <c r="AU798" t="inlineStr">
        <is>
          <t>43430:eng</t>
        </is>
      </c>
      <c r="AV798" t="inlineStr">
        <is>
          <t>43985785</t>
        </is>
      </c>
      <c r="AW798" t="inlineStr">
        <is>
          <t>991003887249702656</t>
        </is>
      </c>
      <c r="AX798" t="inlineStr">
        <is>
          <t>991003887249702656</t>
        </is>
      </c>
      <c r="AY798" t="inlineStr">
        <is>
          <t>2261812960002656</t>
        </is>
      </c>
      <c r="AZ798" t="inlineStr">
        <is>
          <t>BOOK</t>
        </is>
      </c>
      <c r="BB798" t="inlineStr">
        <is>
          <t>9780198297123</t>
        </is>
      </c>
      <c r="BC798" t="inlineStr">
        <is>
          <t>32285004658901</t>
        </is>
      </c>
      <c r="BD798" t="inlineStr">
        <is>
          <t>893617929</t>
        </is>
      </c>
    </row>
    <row r="799">
      <c r="A799" t="inlineStr">
        <is>
          <t>No</t>
        </is>
      </c>
      <c r="B799" t="inlineStr">
        <is>
          <t>GN495.6 .P65 2007</t>
        </is>
      </c>
      <c r="C799" t="inlineStr">
        <is>
          <t>0                      GN 0495600P  65          2007</t>
        </is>
      </c>
      <c r="D799" t="inlineStr">
        <is>
          <t>The politics of ethnicity and national identity / edited by Santosh C. Saha.</t>
        </is>
      </c>
      <c r="F799" t="inlineStr">
        <is>
          <t>No</t>
        </is>
      </c>
      <c r="G799" t="inlineStr">
        <is>
          <t>1</t>
        </is>
      </c>
      <c r="H799" t="inlineStr">
        <is>
          <t>No</t>
        </is>
      </c>
      <c r="I799" t="inlineStr">
        <is>
          <t>No</t>
        </is>
      </c>
      <c r="J799" t="inlineStr">
        <is>
          <t>0</t>
        </is>
      </c>
      <c r="L799" t="inlineStr">
        <is>
          <t>New York : Peter Lang, c2007.</t>
        </is>
      </c>
      <c r="M799" t="inlineStr">
        <is>
          <t>2007</t>
        </is>
      </c>
      <c r="O799" t="inlineStr">
        <is>
          <t>eng</t>
        </is>
      </c>
      <c r="P799" t="inlineStr">
        <is>
          <t>nyu</t>
        </is>
      </c>
      <c r="R799" t="inlineStr">
        <is>
          <t xml:space="preserve">GN </t>
        </is>
      </c>
      <c r="S799" t="n">
        <v>3</v>
      </c>
      <c r="T799" t="n">
        <v>3</v>
      </c>
      <c r="U799" t="inlineStr">
        <is>
          <t>2007-11-30</t>
        </is>
      </c>
      <c r="V799" t="inlineStr">
        <is>
          <t>2007-11-30</t>
        </is>
      </c>
      <c r="W799" t="inlineStr">
        <is>
          <t>2007-08-02</t>
        </is>
      </c>
      <c r="X799" t="inlineStr">
        <is>
          <t>2007-08-02</t>
        </is>
      </c>
      <c r="Y799" t="n">
        <v>217</v>
      </c>
      <c r="Z799" t="n">
        <v>158</v>
      </c>
      <c r="AA799" t="n">
        <v>219</v>
      </c>
      <c r="AB799" t="n">
        <v>1</v>
      </c>
      <c r="AC799" t="n">
        <v>1</v>
      </c>
      <c r="AD799" t="n">
        <v>4</v>
      </c>
      <c r="AE799" t="n">
        <v>10</v>
      </c>
      <c r="AF799" t="n">
        <v>1</v>
      </c>
      <c r="AG799" t="n">
        <v>3</v>
      </c>
      <c r="AH799" t="n">
        <v>1</v>
      </c>
      <c r="AI799" t="n">
        <v>3</v>
      </c>
      <c r="AJ799" t="n">
        <v>4</v>
      </c>
      <c r="AK799" t="n">
        <v>5</v>
      </c>
      <c r="AL799" t="n">
        <v>0</v>
      </c>
      <c r="AM799" t="n">
        <v>0</v>
      </c>
      <c r="AN799" t="n">
        <v>0</v>
      </c>
      <c r="AO799" t="n">
        <v>2</v>
      </c>
      <c r="AP799" t="inlineStr">
        <is>
          <t>No</t>
        </is>
      </c>
      <c r="AQ799" t="inlineStr">
        <is>
          <t>Yes</t>
        </is>
      </c>
      <c r="AR799">
        <f>HYPERLINK("http://catalog.hathitrust.org/Record/005555985","HathiTrust Record")</f>
        <v/>
      </c>
      <c r="AS799">
        <f>HYPERLINK("https://creighton-primo.hosted.exlibrisgroup.com/primo-explore/search?tab=default_tab&amp;search_scope=EVERYTHING&amp;vid=01CRU&amp;lang=en_US&amp;offset=0&amp;query=any,contains,991005103249702656","Catalog Record")</f>
        <v/>
      </c>
      <c r="AT799">
        <f>HYPERLINK("http://www.worldcat.org/oclc/77485886","WorldCat Record")</f>
        <v/>
      </c>
      <c r="AU799" t="inlineStr">
        <is>
          <t>63070440:eng</t>
        </is>
      </c>
      <c r="AV799" t="inlineStr">
        <is>
          <t>77485886</t>
        </is>
      </c>
      <c r="AW799" t="inlineStr">
        <is>
          <t>991005103249702656</t>
        </is>
      </c>
      <c r="AX799" t="inlineStr">
        <is>
          <t>991005103249702656</t>
        </is>
      </c>
      <c r="AY799" t="inlineStr">
        <is>
          <t>2263404400002656</t>
        </is>
      </c>
      <c r="AZ799" t="inlineStr">
        <is>
          <t>BOOK</t>
        </is>
      </c>
      <c r="BB799" t="inlineStr">
        <is>
          <t>9780820478883</t>
        </is>
      </c>
      <c r="BC799" t="inlineStr">
        <is>
          <t>32285005322366</t>
        </is>
      </c>
      <c r="BD799" t="inlineStr">
        <is>
          <t>893895878</t>
        </is>
      </c>
    </row>
    <row r="800">
      <c r="A800" t="inlineStr">
        <is>
          <t>No</t>
        </is>
      </c>
      <c r="B800" t="inlineStr">
        <is>
          <t>GN495.6 .R32 2003</t>
        </is>
      </c>
      <c r="C800" t="inlineStr">
        <is>
          <t>0                      GN 0495600R  32          2003</t>
        </is>
      </c>
      <c r="D800" t="inlineStr">
        <is>
          <t>Race and ethnicity : comparative and theoretical approaches / edited by John Stone and Rutledge Dennis.</t>
        </is>
      </c>
      <c r="F800" t="inlineStr">
        <is>
          <t>No</t>
        </is>
      </c>
      <c r="G800" t="inlineStr">
        <is>
          <t>1</t>
        </is>
      </c>
      <c r="H800" t="inlineStr">
        <is>
          <t>No</t>
        </is>
      </c>
      <c r="I800" t="inlineStr">
        <is>
          <t>No</t>
        </is>
      </c>
      <c r="J800" t="inlineStr">
        <is>
          <t>0</t>
        </is>
      </c>
      <c r="L800" t="inlineStr">
        <is>
          <t>Malden, MA : Blackwell Pub., 2003.</t>
        </is>
      </c>
      <c r="M800" t="inlineStr">
        <is>
          <t>2003</t>
        </is>
      </c>
      <c r="O800" t="inlineStr">
        <is>
          <t>eng</t>
        </is>
      </c>
      <c r="P800" t="inlineStr">
        <is>
          <t>mau</t>
        </is>
      </c>
      <c r="Q800" t="inlineStr">
        <is>
          <t>Blackwell readers in sociology ; 11</t>
        </is>
      </c>
      <c r="R800" t="inlineStr">
        <is>
          <t xml:space="preserve">GN </t>
        </is>
      </c>
      <c r="S800" t="n">
        <v>7</v>
      </c>
      <c r="T800" t="n">
        <v>7</v>
      </c>
      <c r="U800" t="inlineStr">
        <is>
          <t>2008-04-23</t>
        </is>
      </c>
      <c r="V800" t="inlineStr">
        <is>
          <t>2008-04-23</t>
        </is>
      </c>
      <c r="W800" t="inlineStr">
        <is>
          <t>2003-10-01</t>
        </is>
      </c>
      <c r="X800" t="inlineStr">
        <is>
          <t>2003-10-01</t>
        </is>
      </c>
      <c r="Y800" t="n">
        <v>286</v>
      </c>
      <c r="Z800" t="n">
        <v>156</v>
      </c>
      <c r="AA800" t="n">
        <v>156</v>
      </c>
      <c r="AB800" t="n">
        <v>1</v>
      </c>
      <c r="AC800" t="n">
        <v>1</v>
      </c>
      <c r="AD800" t="n">
        <v>5</v>
      </c>
      <c r="AE800" t="n">
        <v>5</v>
      </c>
      <c r="AF800" t="n">
        <v>1</v>
      </c>
      <c r="AG800" t="n">
        <v>1</v>
      </c>
      <c r="AH800" t="n">
        <v>2</v>
      </c>
      <c r="AI800" t="n">
        <v>2</v>
      </c>
      <c r="AJ800" t="n">
        <v>4</v>
      </c>
      <c r="AK800" t="n">
        <v>4</v>
      </c>
      <c r="AL800" t="n">
        <v>0</v>
      </c>
      <c r="AM800" t="n">
        <v>0</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HYPERLINK("https://creighton-primo.hosted.exlibrisgroup.com/primo-explore/search?tab=default_tab&amp;search_scope=EVERYTHING&amp;vid=01CRU&amp;lang=en_US&amp;offset=0&amp;query=any,contains,991004146119702656","Catalog Record")</f>
        <v/>
      </c>
      <c r="AT800">
        <f>HYPERLINK("http://www.worldcat.org/oclc/49795662","WorldCat Record")</f>
        <v/>
      </c>
      <c r="AU800" t="inlineStr">
        <is>
          <t>839254923:eng</t>
        </is>
      </c>
      <c r="AV800" t="inlineStr">
        <is>
          <t>49795662</t>
        </is>
      </c>
      <c r="AW800" t="inlineStr">
        <is>
          <t>991004146119702656</t>
        </is>
      </c>
      <c r="AX800" t="inlineStr">
        <is>
          <t>991004146119702656</t>
        </is>
      </c>
      <c r="AY800" t="inlineStr">
        <is>
          <t>2255207650002656</t>
        </is>
      </c>
      <c r="AZ800" t="inlineStr">
        <is>
          <t>BOOK</t>
        </is>
      </c>
      <c r="BB800" t="inlineStr">
        <is>
          <t>9780631186335</t>
        </is>
      </c>
      <c r="BC800" t="inlineStr">
        <is>
          <t>32285004794094</t>
        </is>
      </c>
      <c r="BD800" t="inlineStr">
        <is>
          <t>893900868</t>
        </is>
      </c>
    </row>
    <row r="801">
      <c r="A801" t="inlineStr">
        <is>
          <t>No</t>
        </is>
      </c>
      <c r="B801" t="inlineStr">
        <is>
          <t>GN495.6 .R45 1983</t>
        </is>
      </c>
      <c r="C801" t="inlineStr">
        <is>
          <t>0                      GN 0495600R  45          1983</t>
        </is>
      </c>
      <c r="D801" t="inlineStr">
        <is>
          <t>Theory of ethnicity : an anthropologist's perspective / Ronald A. Reminick.</t>
        </is>
      </c>
      <c r="F801" t="inlineStr">
        <is>
          <t>No</t>
        </is>
      </c>
      <c r="G801" t="inlineStr">
        <is>
          <t>1</t>
        </is>
      </c>
      <c r="H801" t="inlineStr">
        <is>
          <t>No</t>
        </is>
      </c>
      <c r="I801" t="inlineStr">
        <is>
          <t>No</t>
        </is>
      </c>
      <c r="J801" t="inlineStr">
        <is>
          <t>0</t>
        </is>
      </c>
      <c r="K801" t="inlineStr">
        <is>
          <t>Reminick, Ronald A.</t>
        </is>
      </c>
      <c r="L801" t="inlineStr">
        <is>
          <t>Lanham, [MD] : University Press of America, c1983.</t>
        </is>
      </c>
      <c r="M801" t="inlineStr">
        <is>
          <t>1983</t>
        </is>
      </c>
      <c r="O801" t="inlineStr">
        <is>
          <t>eng</t>
        </is>
      </c>
      <c r="P801" t="inlineStr">
        <is>
          <t>mdu</t>
        </is>
      </c>
      <c r="R801" t="inlineStr">
        <is>
          <t xml:space="preserve">GN </t>
        </is>
      </c>
      <c r="S801" t="n">
        <v>10</v>
      </c>
      <c r="T801" t="n">
        <v>10</v>
      </c>
      <c r="U801" t="inlineStr">
        <is>
          <t>1995-12-08</t>
        </is>
      </c>
      <c r="V801" t="inlineStr">
        <is>
          <t>1995-12-08</t>
        </is>
      </c>
      <c r="W801" t="inlineStr">
        <is>
          <t>1990-09-27</t>
        </is>
      </c>
      <c r="X801" t="inlineStr">
        <is>
          <t>1990-09-27</t>
        </is>
      </c>
      <c r="Y801" t="n">
        <v>326</v>
      </c>
      <c r="Z801" t="n">
        <v>267</v>
      </c>
      <c r="AA801" t="n">
        <v>269</v>
      </c>
      <c r="AB801" t="n">
        <v>2</v>
      </c>
      <c r="AC801" t="n">
        <v>2</v>
      </c>
      <c r="AD801" t="n">
        <v>10</v>
      </c>
      <c r="AE801" t="n">
        <v>10</v>
      </c>
      <c r="AF801" t="n">
        <v>3</v>
      </c>
      <c r="AG801" t="n">
        <v>3</v>
      </c>
      <c r="AH801" t="n">
        <v>5</v>
      </c>
      <c r="AI801" t="n">
        <v>5</v>
      </c>
      <c r="AJ801" t="n">
        <v>4</v>
      </c>
      <c r="AK801" t="n">
        <v>4</v>
      </c>
      <c r="AL801" t="n">
        <v>1</v>
      </c>
      <c r="AM801" t="n">
        <v>1</v>
      </c>
      <c r="AN801" t="n">
        <v>0</v>
      </c>
      <c r="AO801" t="n">
        <v>0</v>
      </c>
      <c r="AP801" t="inlineStr">
        <is>
          <t>No</t>
        </is>
      </c>
      <c r="AQ801" t="inlineStr">
        <is>
          <t>Yes</t>
        </is>
      </c>
      <c r="AR801">
        <f>HYPERLINK("http://catalog.hathitrust.org/Record/000375885","HathiTrust Record")</f>
        <v/>
      </c>
      <c r="AS801">
        <f>HYPERLINK("https://creighton-primo.hosted.exlibrisgroup.com/primo-explore/search?tab=default_tab&amp;search_scope=EVERYTHING&amp;vid=01CRU&amp;lang=en_US&amp;offset=0&amp;query=any,contains,991000152029702656","Catalog Record")</f>
        <v/>
      </c>
      <c r="AT801">
        <f>HYPERLINK("http://www.worldcat.org/oclc/9217236","WorldCat Record")</f>
        <v/>
      </c>
      <c r="AU801" t="inlineStr">
        <is>
          <t>365777872:eng</t>
        </is>
      </c>
      <c r="AV801" t="inlineStr">
        <is>
          <t>9217236</t>
        </is>
      </c>
      <c r="AW801" t="inlineStr">
        <is>
          <t>991000152029702656</t>
        </is>
      </c>
      <c r="AX801" t="inlineStr">
        <is>
          <t>991000152029702656</t>
        </is>
      </c>
      <c r="AY801" t="inlineStr">
        <is>
          <t>2267721490002656</t>
        </is>
      </c>
      <c r="AZ801" t="inlineStr">
        <is>
          <t>BOOK</t>
        </is>
      </c>
      <c r="BB801" t="inlineStr">
        <is>
          <t>9780819130761</t>
        </is>
      </c>
      <c r="BC801" t="inlineStr">
        <is>
          <t>32285000316850</t>
        </is>
      </c>
      <c r="BD801" t="inlineStr">
        <is>
          <t>893502291</t>
        </is>
      </c>
    </row>
    <row r="802">
      <c r="A802" t="inlineStr">
        <is>
          <t>No</t>
        </is>
      </c>
      <c r="B802" t="inlineStr">
        <is>
          <t>GN495.6 .R66 1989</t>
        </is>
      </c>
      <c r="C802" t="inlineStr">
        <is>
          <t>0                      GN 0495600R  66          1989</t>
        </is>
      </c>
      <c r="D802" t="inlineStr">
        <is>
          <t>Creating ethnicity : the process of ethnogenesis / Eugeen E. Roosens.</t>
        </is>
      </c>
      <c r="F802" t="inlineStr">
        <is>
          <t>No</t>
        </is>
      </c>
      <c r="G802" t="inlineStr">
        <is>
          <t>1</t>
        </is>
      </c>
      <c r="H802" t="inlineStr">
        <is>
          <t>No</t>
        </is>
      </c>
      <c r="I802" t="inlineStr">
        <is>
          <t>No</t>
        </is>
      </c>
      <c r="J802" t="inlineStr">
        <is>
          <t>0</t>
        </is>
      </c>
      <c r="K802" t="inlineStr">
        <is>
          <t>Roosens, Eugeen, 1934-</t>
        </is>
      </c>
      <c r="L802" t="inlineStr">
        <is>
          <t>Newbury Park, Calif. : Sage Publications, c1989.</t>
        </is>
      </c>
      <c r="M802" t="inlineStr">
        <is>
          <t>1989</t>
        </is>
      </c>
      <c r="O802" t="inlineStr">
        <is>
          <t>eng</t>
        </is>
      </c>
      <c r="P802" t="inlineStr">
        <is>
          <t>cau</t>
        </is>
      </c>
      <c r="Q802" t="inlineStr">
        <is>
          <t>Frontiers of anthropology ; v. 5</t>
        </is>
      </c>
      <c r="R802" t="inlineStr">
        <is>
          <t xml:space="preserve">GN </t>
        </is>
      </c>
      <c r="S802" t="n">
        <v>1</v>
      </c>
      <c r="T802" t="n">
        <v>1</v>
      </c>
      <c r="U802" t="inlineStr">
        <is>
          <t>2008-03-26</t>
        </is>
      </c>
      <c r="V802" t="inlineStr">
        <is>
          <t>2008-03-26</t>
        </is>
      </c>
      <c r="W802" t="inlineStr">
        <is>
          <t>2008-03-26</t>
        </is>
      </c>
      <c r="X802" t="inlineStr">
        <is>
          <t>2008-03-26</t>
        </is>
      </c>
      <c r="Y802" t="n">
        <v>501</v>
      </c>
      <c r="Z802" t="n">
        <v>360</v>
      </c>
      <c r="AA802" t="n">
        <v>371</v>
      </c>
      <c r="AB802" t="n">
        <v>4</v>
      </c>
      <c r="AC802" t="n">
        <v>4</v>
      </c>
      <c r="AD802" t="n">
        <v>21</v>
      </c>
      <c r="AE802" t="n">
        <v>21</v>
      </c>
      <c r="AF802" t="n">
        <v>6</v>
      </c>
      <c r="AG802" t="n">
        <v>6</v>
      </c>
      <c r="AH802" t="n">
        <v>5</v>
      </c>
      <c r="AI802" t="n">
        <v>5</v>
      </c>
      <c r="AJ802" t="n">
        <v>13</v>
      </c>
      <c r="AK802" t="n">
        <v>13</v>
      </c>
      <c r="AL802" t="n">
        <v>3</v>
      </c>
      <c r="AM802" t="n">
        <v>3</v>
      </c>
      <c r="AN802" t="n">
        <v>0</v>
      </c>
      <c r="AO802" t="n">
        <v>0</v>
      </c>
      <c r="AP802" t="inlineStr">
        <is>
          <t>No</t>
        </is>
      </c>
      <c r="AQ802" t="inlineStr">
        <is>
          <t>Yes</t>
        </is>
      </c>
      <c r="AR802">
        <f>HYPERLINK("http://catalog.hathitrust.org/Record/002062712","HathiTrust Record")</f>
        <v/>
      </c>
      <c r="AS802">
        <f>HYPERLINK("https://creighton-primo.hosted.exlibrisgroup.com/primo-explore/search?tab=default_tab&amp;search_scope=EVERYTHING&amp;vid=01CRU&amp;lang=en_US&amp;offset=0&amp;query=any,contains,991005198129702656","Catalog Record")</f>
        <v/>
      </c>
      <c r="AT802">
        <f>HYPERLINK("http://www.worldcat.org/oclc/20013699","WorldCat Record")</f>
        <v/>
      </c>
      <c r="AU802" t="inlineStr">
        <is>
          <t>21342057:eng</t>
        </is>
      </c>
      <c r="AV802" t="inlineStr">
        <is>
          <t>20013699</t>
        </is>
      </c>
      <c r="AW802" t="inlineStr">
        <is>
          <t>991005198129702656</t>
        </is>
      </c>
      <c r="AX802" t="inlineStr">
        <is>
          <t>991005198129702656</t>
        </is>
      </c>
      <c r="AY802" t="inlineStr">
        <is>
          <t>2262253250002656</t>
        </is>
      </c>
      <c r="AZ802" t="inlineStr">
        <is>
          <t>BOOK</t>
        </is>
      </c>
      <c r="BB802" t="inlineStr">
        <is>
          <t>9780803934221</t>
        </is>
      </c>
      <c r="BC802" t="inlineStr">
        <is>
          <t>32285005399067</t>
        </is>
      </c>
      <c r="BD802" t="inlineStr">
        <is>
          <t>893520615</t>
        </is>
      </c>
    </row>
    <row r="803">
      <c r="A803" t="inlineStr">
        <is>
          <t>No</t>
        </is>
      </c>
      <c r="B803" t="inlineStr">
        <is>
          <t>GN495.6 .T47 1989</t>
        </is>
      </c>
      <c r="C803" t="inlineStr">
        <is>
          <t>0                      GN 0495600T  47          1989</t>
        </is>
      </c>
      <c r="D803" t="inlineStr">
        <is>
          <t>Theories of ethnicity : a critical appraisal / Richard H. Thompson.</t>
        </is>
      </c>
      <c r="F803" t="inlineStr">
        <is>
          <t>No</t>
        </is>
      </c>
      <c r="G803" t="inlineStr">
        <is>
          <t>1</t>
        </is>
      </c>
      <c r="H803" t="inlineStr">
        <is>
          <t>No</t>
        </is>
      </c>
      <c r="I803" t="inlineStr">
        <is>
          <t>No</t>
        </is>
      </c>
      <c r="J803" t="inlineStr">
        <is>
          <t>0</t>
        </is>
      </c>
      <c r="K803" t="inlineStr">
        <is>
          <t>Thompson, Richard H.</t>
        </is>
      </c>
      <c r="L803" t="inlineStr">
        <is>
          <t>New York : Greenwood Press, 1989.</t>
        </is>
      </c>
      <c r="M803" t="inlineStr">
        <is>
          <t>1989</t>
        </is>
      </c>
      <c r="O803" t="inlineStr">
        <is>
          <t>eng</t>
        </is>
      </c>
      <c r="P803" t="inlineStr">
        <is>
          <t>nyu</t>
        </is>
      </c>
      <c r="Q803" t="inlineStr">
        <is>
          <t>Contributions in sociology, 0084-9278 ; no. 82</t>
        </is>
      </c>
      <c r="R803" t="inlineStr">
        <is>
          <t xml:space="preserve">GN </t>
        </is>
      </c>
      <c r="S803" t="n">
        <v>8</v>
      </c>
      <c r="T803" t="n">
        <v>8</v>
      </c>
      <c r="U803" t="inlineStr">
        <is>
          <t>2002-03-23</t>
        </is>
      </c>
      <c r="V803" t="inlineStr">
        <is>
          <t>2002-03-23</t>
        </is>
      </c>
      <c r="W803" t="inlineStr">
        <is>
          <t>1990-06-04</t>
        </is>
      </c>
      <c r="X803" t="inlineStr">
        <is>
          <t>1990-06-04</t>
        </is>
      </c>
      <c r="Y803" t="n">
        <v>459</v>
      </c>
      <c r="Z803" t="n">
        <v>373</v>
      </c>
      <c r="AA803" t="n">
        <v>378</v>
      </c>
      <c r="AB803" t="n">
        <v>4</v>
      </c>
      <c r="AC803" t="n">
        <v>4</v>
      </c>
      <c r="AD803" t="n">
        <v>20</v>
      </c>
      <c r="AE803" t="n">
        <v>20</v>
      </c>
      <c r="AF803" t="n">
        <v>7</v>
      </c>
      <c r="AG803" t="n">
        <v>7</v>
      </c>
      <c r="AH803" t="n">
        <v>4</v>
      </c>
      <c r="AI803" t="n">
        <v>4</v>
      </c>
      <c r="AJ803" t="n">
        <v>11</v>
      </c>
      <c r="AK803" t="n">
        <v>11</v>
      </c>
      <c r="AL803" t="n">
        <v>3</v>
      </c>
      <c r="AM803" t="n">
        <v>3</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HYPERLINK("https://creighton-primo.hosted.exlibrisgroup.com/primo-explore/search?tab=default_tab&amp;search_scope=EVERYTHING&amp;vid=01CRU&amp;lang=en_US&amp;offset=0&amp;query=any,contains,991001468419702656","Catalog Record")</f>
        <v/>
      </c>
      <c r="AT803">
        <f>HYPERLINK("http://www.worldcat.org/oclc/19517205","WorldCat Record")</f>
        <v/>
      </c>
      <c r="AU803" t="inlineStr">
        <is>
          <t>2618425:eng</t>
        </is>
      </c>
      <c r="AV803" t="inlineStr">
        <is>
          <t>19517205</t>
        </is>
      </c>
      <c r="AW803" t="inlineStr">
        <is>
          <t>991001468419702656</t>
        </is>
      </c>
      <c r="AX803" t="inlineStr">
        <is>
          <t>991001468419702656</t>
        </is>
      </c>
      <c r="AY803" t="inlineStr">
        <is>
          <t>2262191650002656</t>
        </is>
      </c>
      <c r="AZ803" t="inlineStr">
        <is>
          <t>BOOK</t>
        </is>
      </c>
      <c r="BB803" t="inlineStr">
        <is>
          <t>9780313266362</t>
        </is>
      </c>
      <c r="BC803" t="inlineStr">
        <is>
          <t>32285000156801</t>
        </is>
      </c>
      <c r="BD803" t="inlineStr">
        <is>
          <t>893596497</t>
        </is>
      </c>
    </row>
    <row r="804">
      <c r="A804" t="inlineStr">
        <is>
          <t>No</t>
        </is>
      </c>
      <c r="B804" t="inlineStr">
        <is>
          <t>GN496 .C35 2001</t>
        </is>
      </c>
      <c r="C804" t="inlineStr">
        <is>
          <t>0                      GN 0496000C  35          2001</t>
        </is>
      </c>
      <c r="D804" t="inlineStr">
        <is>
          <t>Using force to prevent ethnic violence: an evaluation of theory and evidence / David Carment and Frank Harvey.</t>
        </is>
      </c>
      <c r="F804" t="inlineStr">
        <is>
          <t>No</t>
        </is>
      </c>
      <c r="G804" t="inlineStr">
        <is>
          <t>1</t>
        </is>
      </c>
      <c r="H804" t="inlineStr">
        <is>
          <t>No</t>
        </is>
      </c>
      <c r="I804" t="inlineStr">
        <is>
          <t>No</t>
        </is>
      </c>
      <c r="J804" t="inlineStr">
        <is>
          <t>0</t>
        </is>
      </c>
      <c r="K804" t="inlineStr">
        <is>
          <t>Carment, David, 1959-</t>
        </is>
      </c>
      <c r="L804" t="inlineStr">
        <is>
          <t>Westport, Conn. : Praeger, 2001.</t>
        </is>
      </c>
      <c r="M804" t="inlineStr">
        <is>
          <t>2001</t>
        </is>
      </c>
      <c r="O804" t="inlineStr">
        <is>
          <t>eng</t>
        </is>
      </c>
      <c r="P804" t="inlineStr">
        <is>
          <t>ctu</t>
        </is>
      </c>
      <c r="Q804" t="inlineStr">
        <is>
          <t>Praeger studies on ethnic and national identities in politics, 1527-9901</t>
        </is>
      </c>
      <c r="R804" t="inlineStr">
        <is>
          <t xml:space="preserve">GN </t>
        </is>
      </c>
      <c r="S804" t="n">
        <v>2</v>
      </c>
      <c r="T804" t="n">
        <v>2</v>
      </c>
      <c r="U804" t="inlineStr">
        <is>
          <t>2001-11-09</t>
        </is>
      </c>
      <c r="V804" t="inlineStr">
        <is>
          <t>2001-11-09</t>
        </is>
      </c>
      <c r="W804" t="inlineStr">
        <is>
          <t>2001-10-25</t>
        </is>
      </c>
      <c r="X804" t="inlineStr">
        <is>
          <t>2001-10-25</t>
        </is>
      </c>
      <c r="Y804" t="n">
        <v>310</v>
      </c>
      <c r="Z804" t="n">
        <v>251</v>
      </c>
      <c r="AA804" t="n">
        <v>257</v>
      </c>
      <c r="AB804" t="n">
        <v>4</v>
      </c>
      <c r="AC804" t="n">
        <v>4</v>
      </c>
      <c r="AD804" t="n">
        <v>15</v>
      </c>
      <c r="AE804" t="n">
        <v>15</v>
      </c>
      <c r="AF804" t="n">
        <v>2</v>
      </c>
      <c r="AG804" t="n">
        <v>2</v>
      </c>
      <c r="AH804" t="n">
        <v>6</v>
      </c>
      <c r="AI804" t="n">
        <v>6</v>
      </c>
      <c r="AJ804" t="n">
        <v>6</v>
      </c>
      <c r="AK804" t="n">
        <v>6</v>
      </c>
      <c r="AL804" t="n">
        <v>3</v>
      </c>
      <c r="AM804" t="n">
        <v>3</v>
      </c>
      <c r="AN804" t="n">
        <v>1</v>
      </c>
      <c r="AO804" t="n">
        <v>1</v>
      </c>
      <c r="AP804" t="inlineStr">
        <is>
          <t>No</t>
        </is>
      </c>
      <c r="AQ804" t="inlineStr">
        <is>
          <t>Yes</t>
        </is>
      </c>
      <c r="AR804">
        <f>HYPERLINK("http://catalog.hathitrust.org/Record/004134486","HathiTrust Record")</f>
        <v/>
      </c>
      <c r="AS804">
        <f>HYPERLINK("https://creighton-primo.hosted.exlibrisgroup.com/primo-explore/search?tab=default_tab&amp;search_scope=EVERYTHING&amp;vid=01CRU&amp;lang=en_US&amp;offset=0&amp;query=any,contains,991003632109702656","Catalog Record")</f>
        <v/>
      </c>
      <c r="AT804">
        <f>HYPERLINK("http://www.worldcat.org/oclc/43167919","WorldCat Record")</f>
        <v/>
      </c>
      <c r="AU804" t="inlineStr">
        <is>
          <t>198142992:eng</t>
        </is>
      </c>
      <c r="AV804" t="inlineStr">
        <is>
          <t>43167919</t>
        </is>
      </c>
      <c r="AW804" t="inlineStr">
        <is>
          <t>991003632109702656</t>
        </is>
      </c>
      <c r="AX804" t="inlineStr">
        <is>
          <t>991003632109702656</t>
        </is>
      </c>
      <c r="AY804" t="inlineStr">
        <is>
          <t>2266702680002656</t>
        </is>
      </c>
      <c r="AZ804" t="inlineStr">
        <is>
          <t>BOOK</t>
        </is>
      </c>
      <c r="BB804" t="inlineStr">
        <is>
          <t>9780275969790</t>
        </is>
      </c>
      <c r="BC804" t="inlineStr">
        <is>
          <t>32285004415443</t>
        </is>
      </c>
      <c r="BD804" t="inlineStr">
        <is>
          <t>893717910</t>
        </is>
      </c>
    </row>
    <row r="805">
      <c r="A805" t="inlineStr">
        <is>
          <t>No</t>
        </is>
      </c>
      <c r="B805" t="inlineStr">
        <is>
          <t>GN496 .C8 1999</t>
        </is>
      </c>
      <c r="C805" t="inlineStr">
        <is>
          <t>0                      GN 0496000C  8           1999</t>
        </is>
      </c>
      <c r="D805" t="inlineStr">
        <is>
          <t>Cultural divides : understanding and overcoming group conflict / Deborah A. Prentice and Dale T. Miller, editors.</t>
        </is>
      </c>
      <c r="F805" t="inlineStr">
        <is>
          <t>No</t>
        </is>
      </c>
      <c r="G805" t="inlineStr">
        <is>
          <t>1</t>
        </is>
      </c>
      <c r="H805" t="inlineStr">
        <is>
          <t>No</t>
        </is>
      </c>
      <c r="I805" t="inlineStr">
        <is>
          <t>No</t>
        </is>
      </c>
      <c r="J805" t="inlineStr">
        <is>
          <t>0</t>
        </is>
      </c>
      <c r="L805" t="inlineStr">
        <is>
          <t>New York : Russell Sage Foundation, c1999.</t>
        </is>
      </c>
      <c r="M805" t="inlineStr">
        <is>
          <t>1999</t>
        </is>
      </c>
      <c r="O805" t="inlineStr">
        <is>
          <t>eng</t>
        </is>
      </c>
      <c r="P805" t="inlineStr">
        <is>
          <t>nyu</t>
        </is>
      </c>
      <c r="R805" t="inlineStr">
        <is>
          <t xml:space="preserve">GN </t>
        </is>
      </c>
      <c r="S805" t="n">
        <v>4</v>
      </c>
      <c r="T805" t="n">
        <v>4</v>
      </c>
      <c r="U805" t="inlineStr">
        <is>
          <t>2000-03-02</t>
        </is>
      </c>
      <c r="V805" t="inlineStr">
        <is>
          <t>2000-03-02</t>
        </is>
      </c>
      <c r="W805" t="inlineStr">
        <is>
          <t>1999-11-15</t>
        </is>
      </c>
      <c r="X805" t="inlineStr">
        <is>
          <t>1999-11-15</t>
        </is>
      </c>
      <c r="Y805" t="n">
        <v>637</v>
      </c>
      <c r="Z805" t="n">
        <v>566</v>
      </c>
      <c r="AA805" t="n">
        <v>609</v>
      </c>
      <c r="AB805" t="n">
        <v>5</v>
      </c>
      <c r="AC805" t="n">
        <v>5</v>
      </c>
      <c r="AD805" t="n">
        <v>31</v>
      </c>
      <c r="AE805" t="n">
        <v>33</v>
      </c>
      <c r="AF805" t="n">
        <v>11</v>
      </c>
      <c r="AG805" t="n">
        <v>13</v>
      </c>
      <c r="AH805" t="n">
        <v>7</v>
      </c>
      <c r="AI805" t="n">
        <v>8</v>
      </c>
      <c r="AJ805" t="n">
        <v>13</v>
      </c>
      <c r="AK805" t="n">
        <v>13</v>
      </c>
      <c r="AL805" t="n">
        <v>4</v>
      </c>
      <c r="AM805" t="n">
        <v>4</v>
      </c>
      <c r="AN805" t="n">
        <v>1</v>
      </c>
      <c r="AO805" t="n">
        <v>1</v>
      </c>
      <c r="AP805" t="inlineStr">
        <is>
          <t>No</t>
        </is>
      </c>
      <c r="AQ805" t="inlineStr">
        <is>
          <t>No</t>
        </is>
      </c>
      <c r="AS805">
        <f>HYPERLINK("https://creighton-primo.hosted.exlibrisgroup.com/primo-explore/search?tab=default_tab&amp;search_scope=EVERYTHING&amp;vid=01CRU&amp;lang=en_US&amp;offset=0&amp;query=any,contains,991003011369702656","Catalog Record")</f>
        <v/>
      </c>
      <c r="AT805">
        <f>HYPERLINK("http://www.worldcat.org/oclc/40881510","WorldCat Record")</f>
        <v/>
      </c>
      <c r="AU805" t="inlineStr">
        <is>
          <t>838235045:eng</t>
        </is>
      </c>
      <c r="AV805" t="inlineStr">
        <is>
          <t>40881510</t>
        </is>
      </c>
      <c r="AW805" t="inlineStr">
        <is>
          <t>991003011369702656</t>
        </is>
      </c>
      <c r="AX805" t="inlineStr">
        <is>
          <t>991003011369702656</t>
        </is>
      </c>
      <c r="AY805" t="inlineStr">
        <is>
          <t>2256415610002656</t>
        </is>
      </c>
      <c r="AZ805" t="inlineStr">
        <is>
          <t>BOOK</t>
        </is>
      </c>
      <c r="BB805" t="inlineStr">
        <is>
          <t>9780871546906</t>
        </is>
      </c>
      <c r="BC805" t="inlineStr">
        <is>
          <t>32285003621868</t>
        </is>
      </c>
      <c r="BD805" t="inlineStr">
        <is>
          <t>893867989</t>
        </is>
      </c>
    </row>
    <row r="806">
      <c r="A806" t="inlineStr">
        <is>
          <t>No</t>
        </is>
      </c>
      <c r="B806" t="inlineStr">
        <is>
          <t>GN496 .E837 1992</t>
        </is>
      </c>
      <c r="C806" t="inlineStr">
        <is>
          <t>0                      GN 0496000E  837         1992</t>
        </is>
      </c>
      <c r="D806" t="inlineStr">
        <is>
          <t>Ethnic and racial minorities in advanced industrial democracies / edited by Anthony M. Messina ... [et al.].</t>
        </is>
      </c>
      <c r="F806" t="inlineStr">
        <is>
          <t>No</t>
        </is>
      </c>
      <c r="G806" t="inlineStr">
        <is>
          <t>1</t>
        </is>
      </c>
      <c r="H806" t="inlineStr">
        <is>
          <t>No</t>
        </is>
      </c>
      <c r="I806" t="inlineStr">
        <is>
          <t>No</t>
        </is>
      </c>
      <c r="J806" t="inlineStr">
        <is>
          <t>0</t>
        </is>
      </c>
      <c r="L806" t="inlineStr">
        <is>
          <t>New York : Greenwood Press, 1992.</t>
        </is>
      </c>
      <c r="M806" t="inlineStr">
        <is>
          <t>1992</t>
        </is>
      </c>
      <c r="O806" t="inlineStr">
        <is>
          <t>eng</t>
        </is>
      </c>
      <c r="P806" t="inlineStr">
        <is>
          <t>nyu</t>
        </is>
      </c>
      <c r="Q806" t="inlineStr">
        <is>
          <t>Contributions in ethnic studies, 0196-7088 ; no. 29</t>
        </is>
      </c>
      <c r="R806" t="inlineStr">
        <is>
          <t xml:space="preserve">GN </t>
        </is>
      </c>
      <c r="S806" t="n">
        <v>18</v>
      </c>
      <c r="T806" t="n">
        <v>18</v>
      </c>
      <c r="U806" t="inlineStr">
        <is>
          <t>2006-04-02</t>
        </is>
      </c>
      <c r="V806" t="inlineStr">
        <is>
          <t>2006-04-02</t>
        </is>
      </c>
      <c r="W806" t="inlineStr">
        <is>
          <t>1993-08-19</t>
        </is>
      </c>
      <c r="X806" t="inlineStr">
        <is>
          <t>1993-08-19</t>
        </is>
      </c>
      <c r="Y806" t="n">
        <v>253</v>
      </c>
      <c r="Z806" t="n">
        <v>177</v>
      </c>
      <c r="AA806" t="n">
        <v>184</v>
      </c>
      <c r="AB806" t="n">
        <v>3</v>
      </c>
      <c r="AC806" t="n">
        <v>3</v>
      </c>
      <c r="AD806" t="n">
        <v>8</v>
      </c>
      <c r="AE806" t="n">
        <v>8</v>
      </c>
      <c r="AF806" t="n">
        <v>0</v>
      </c>
      <c r="AG806" t="n">
        <v>0</v>
      </c>
      <c r="AH806" t="n">
        <v>3</v>
      </c>
      <c r="AI806" t="n">
        <v>3</v>
      </c>
      <c r="AJ806" t="n">
        <v>4</v>
      </c>
      <c r="AK806" t="n">
        <v>4</v>
      </c>
      <c r="AL806" t="n">
        <v>2</v>
      </c>
      <c r="AM806" t="n">
        <v>2</v>
      </c>
      <c r="AN806" t="n">
        <v>0</v>
      </c>
      <c r="AO806" t="n">
        <v>0</v>
      </c>
      <c r="AP806" t="inlineStr">
        <is>
          <t>No</t>
        </is>
      </c>
      <c r="AQ806" t="inlineStr">
        <is>
          <t>Yes</t>
        </is>
      </c>
      <c r="AR806">
        <f>HYPERLINK("http://catalog.hathitrust.org/Record/002637987","HathiTrust Record")</f>
        <v/>
      </c>
      <c r="AS806">
        <f>HYPERLINK("https://creighton-primo.hosted.exlibrisgroup.com/primo-explore/search?tab=default_tab&amp;search_scope=EVERYTHING&amp;vid=01CRU&amp;lang=en_US&amp;offset=0&amp;query=any,contains,991001918449702656","Catalog Record")</f>
        <v/>
      </c>
      <c r="AT806">
        <f>HYPERLINK("http://www.worldcat.org/oclc/24218237","WorldCat Record")</f>
        <v/>
      </c>
      <c r="AU806" t="inlineStr">
        <is>
          <t>2619818:eng</t>
        </is>
      </c>
      <c r="AV806" t="inlineStr">
        <is>
          <t>24218237</t>
        </is>
      </c>
      <c r="AW806" t="inlineStr">
        <is>
          <t>991001918449702656</t>
        </is>
      </c>
      <c r="AX806" t="inlineStr">
        <is>
          <t>991001918449702656</t>
        </is>
      </c>
      <c r="AY806" t="inlineStr">
        <is>
          <t>2271739320002656</t>
        </is>
      </c>
      <c r="AZ806" t="inlineStr">
        <is>
          <t>BOOK</t>
        </is>
      </c>
      <c r="BB806" t="inlineStr">
        <is>
          <t>9780313272592</t>
        </is>
      </c>
      <c r="BC806" t="inlineStr">
        <is>
          <t>32285001727394</t>
        </is>
      </c>
      <c r="BD806" t="inlineStr">
        <is>
          <t>893785503</t>
        </is>
      </c>
    </row>
    <row r="807">
      <c r="A807" t="inlineStr">
        <is>
          <t>No</t>
        </is>
      </c>
      <c r="B807" t="inlineStr">
        <is>
          <t>GN496 .E838 1993</t>
        </is>
      </c>
      <c r="C807" t="inlineStr">
        <is>
          <t>0                      GN 0496000E  838         1993</t>
        </is>
      </c>
      <c r="D807" t="inlineStr">
        <is>
          <t>Ethnic conflict and international security / Michael E. Brown, editor.</t>
        </is>
      </c>
      <c r="F807" t="inlineStr">
        <is>
          <t>No</t>
        </is>
      </c>
      <c r="G807" t="inlineStr">
        <is>
          <t>1</t>
        </is>
      </c>
      <c r="H807" t="inlineStr">
        <is>
          <t>No</t>
        </is>
      </c>
      <c r="I807" t="inlineStr">
        <is>
          <t>No</t>
        </is>
      </c>
      <c r="J807" t="inlineStr">
        <is>
          <t>0</t>
        </is>
      </c>
      <c r="L807" t="inlineStr">
        <is>
          <t>Princeton, N.J. : Princeton University Press, c1993.</t>
        </is>
      </c>
      <c r="M807" t="inlineStr">
        <is>
          <t>1993</t>
        </is>
      </c>
      <c r="O807" t="inlineStr">
        <is>
          <t>eng</t>
        </is>
      </c>
      <c r="P807" t="inlineStr">
        <is>
          <t>nju</t>
        </is>
      </c>
      <c r="R807" t="inlineStr">
        <is>
          <t xml:space="preserve">GN </t>
        </is>
      </c>
      <c r="S807" t="n">
        <v>9</v>
      </c>
      <c r="T807" t="n">
        <v>9</v>
      </c>
      <c r="U807" t="inlineStr">
        <is>
          <t>2010-04-08</t>
        </is>
      </c>
      <c r="V807" t="inlineStr">
        <is>
          <t>2010-04-08</t>
        </is>
      </c>
      <c r="W807" t="inlineStr">
        <is>
          <t>1998-11-05</t>
        </is>
      </c>
      <c r="X807" t="inlineStr">
        <is>
          <t>1998-11-05</t>
        </is>
      </c>
      <c r="Y807" t="n">
        <v>422</v>
      </c>
      <c r="Z807" t="n">
        <v>265</v>
      </c>
      <c r="AA807" t="n">
        <v>470</v>
      </c>
      <c r="AB807" t="n">
        <v>2</v>
      </c>
      <c r="AC807" t="n">
        <v>3</v>
      </c>
      <c r="AD807" t="n">
        <v>17</v>
      </c>
      <c r="AE807" t="n">
        <v>28</v>
      </c>
      <c r="AF807" t="n">
        <v>5</v>
      </c>
      <c r="AG807" t="n">
        <v>11</v>
      </c>
      <c r="AH807" t="n">
        <v>6</v>
      </c>
      <c r="AI807" t="n">
        <v>7</v>
      </c>
      <c r="AJ807" t="n">
        <v>8</v>
      </c>
      <c r="AK807" t="n">
        <v>13</v>
      </c>
      <c r="AL807" t="n">
        <v>1</v>
      </c>
      <c r="AM807" t="n">
        <v>2</v>
      </c>
      <c r="AN807" t="n">
        <v>2</v>
      </c>
      <c r="AO807" t="n">
        <v>2</v>
      </c>
      <c r="AP807" t="inlineStr">
        <is>
          <t>No</t>
        </is>
      </c>
      <c r="AQ807" t="inlineStr">
        <is>
          <t>No</t>
        </is>
      </c>
      <c r="AS807">
        <f>HYPERLINK("https://creighton-primo.hosted.exlibrisgroup.com/primo-explore/search?tab=default_tab&amp;search_scope=EVERYTHING&amp;vid=01CRU&amp;lang=en_US&amp;offset=0&amp;query=any,contains,991005417049702656","Catalog Record")</f>
        <v/>
      </c>
      <c r="AT807">
        <f>HYPERLINK("http://www.worldcat.org/oclc/28222331","WorldCat Record")</f>
        <v/>
      </c>
      <c r="AU807" t="inlineStr">
        <is>
          <t>55707024:eng</t>
        </is>
      </c>
      <c r="AV807" t="inlineStr">
        <is>
          <t>28222331</t>
        </is>
      </c>
      <c r="AW807" t="inlineStr">
        <is>
          <t>991005417049702656</t>
        </is>
      </c>
      <c r="AX807" t="inlineStr">
        <is>
          <t>991005417049702656</t>
        </is>
      </c>
      <c r="AY807" t="inlineStr">
        <is>
          <t>2262014440002656</t>
        </is>
      </c>
      <c r="AZ807" t="inlineStr">
        <is>
          <t>BOOK</t>
        </is>
      </c>
      <c r="BB807" t="inlineStr">
        <is>
          <t>9780691000688</t>
        </is>
      </c>
      <c r="BC807" t="inlineStr">
        <is>
          <t>32285003486205</t>
        </is>
      </c>
      <c r="BD807" t="inlineStr">
        <is>
          <t>893714062</t>
        </is>
      </c>
    </row>
    <row r="808">
      <c r="A808" t="inlineStr">
        <is>
          <t>No</t>
        </is>
      </c>
      <c r="B808" t="inlineStr">
        <is>
          <t>GN496 .F7</t>
        </is>
      </c>
      <c r="C808" t="inlineStr">
        <is>
          <t>0                      GN 0496000F  7</t>
        </is>
      </c>
      <c r="D808" t="inlineStr">
        <is>
          <t>Interethnic relations : an essay in sociological theory / by E. K. Francis.</t>
        </is>
      </c>
      <c r="F808" t="inlineStr">
        <is>
          <t>No</t>
        </is>
      </c>
      <c r="G808" t="inlineStr">
        <is>
          <t>1</t>
        </is>
      </c>
      <c r="H808" t="inlineStr">
        <is>
          <t>No</t>
        </is>
      </c>
      <c r="I808" t="inlineStr">
        <is>
          <t>No</t>
        </is>
      </c>
      <c r="J808" t="inlineStr">
        <is>
          <t>0</t>
        </is>
      </c>
      <c r="K808" t="inlineStr">
        <is>
          <t>Francis, Emerich K., 1906-</t>
        </is>
      </c>
      <c r="L808" t="inlineStr">
        <is>
          <t>New York : Elsevier, [1976]</t>
        </is>
      </c>
      <c r="M808" t="inlineStr">
        <is>
          <t>1976</t>
        </is>
      </c>
      <c r="O808" t="inlineStr">
        <is>
          <t>eng</t>
        </is>
      </c>
      <c r="P808" t="inlineStr">
        <is>
          <t>nyu</t>
        </is>
      </c>
      <c r="R808" t="inlineStr">
        <is>
          <t xml:space="preserve">GN </t>
        </is>
      </c>
      <c r="S808" t="n">
        <v>2</v>
      </c>
      <c r="T808" t="n">
        <v>2</v>
      </c>
      <c r="U808" t="inlineStr">
        <is>
          <t>1993-09-08</t>
        </is>
      </c>
      <c r="V808" t="inlineStr">
        <is>
          <t>1993-09-08</t>
        </is>
      </c>
      <c r="W808" t="inlineStr">
        <is>
          <t>1992-12-22</t>
        </is>
      </c>
      <c r="X808" t="inlineStr">
        <is>
          <t>1992-12-22</t>
        </is>
      </c>
      <c r="Y808" t="n">
        <v>720</v>
      </c>
      <c r="Z808" t="n">
        <v>573</v>
      </c>
      <c r="AA808" t="n">
        <v>580</v>
      </c>
      <c r="AB808" t="n">
        <v>8</v>
      </c>
      <c r="AC808" t="n">
        <v>8</v>
      </c>
      <c r="AD808" t="n">
        <v>27</v>
      </c>
      <c r="AE808" t="n">
        <v>27</v>
      </c>
      <c r="AF808" t="n">
        <v>7</v>
      </c>
      <c r="AG808" t="n">
        <v>7</v>
      </c>
      <c r="AH808" t="n">
        <v>5</v>
      </c>
      <c r="AI808" t="n">
        <v>5</v>
      </c>
      <c r="AJ808" t="n">
        <v>14</v>
      </c>
      <c r="AK808" t="n">
        <v>14</v>
      </c>
      <c r="AL808" t="n">
        <v>7</v>
      </c>
      <c r="AM808" t="n">
        <v>7</v>
      </c>
      <c r="AN808" t="n">
        <v>0</v>
      </c>
      <c r="AO808" t="n">
        <v>0</v>
      </c>
      <c r="AP808" t="inlineStr">
        <is>
          <t>No</t>
        </is>
      </c>
      <c r="AQ808" t="inlineStr">
        <is>
          <t>Yes</t>
        </is>
      </c>
      <c r="AR808">
        <f>HYPERLINK("http://catalog.hathitrust.org/Record/000692722","HathiTrust Record")</f>
        <v/>
      </c>
      <c r="AS808">
        <f>HYPERLINK("https://creighton-primo.hosted.exlibrisgroup.com/primo-explore/search?tab=default_tab&amp;search_scope=EVERYTHING&amp;vid=01CRU&amp;lang=en_US&amp;offset=0&amp;query=any,contains,991003913869702656","Catalog Record")</f>
        <v/>
      </c>
      <c r="AT808">
        <f>HYPERLINK("http://www.worldcat.org/oclc/1858023","WorldCat Record")</f>
        <v/>
      </c>
      <c r="AU808" t="inlineStr">
        <is>
          <t>2625432:eng</t>
        </is>
      </c>
      <c r="AV808" t="inlineStr">
        <is>
          <t>1858023</t>
        </is>
      </c>
      <c r="AW808" t="inlineStr">
        <is>
          <t>991003913869702656</t>
        </is>
      </c>
      <c r="AX808" t="inlineStr">
        <is>
          <t>991003913869702656</t>
        </is>
      </c>
      <c r="AY808" t="inlineStr">
        <is>
          <t>2266715580002656</t>
        </is>
      </c>
      <c r="AZ808" t="inlineStr">
        <is>
          <t>BOOK</t>
        </is>
      </c>
      <c r="BB808" t="inlineStr">
        <is>
          <t>9780444990112</t>
        </is>
      </c>
      <c r="BC808" t="inlineStr">
        <is>
          <t>32285001471555</t>
        </is>
      </c>
      <c r="BD808" t="inlineStr">
        <is>
          <t>893881821</t>
        </is>
      </c>
    </row>
    <row r="809">
      <c r="A809" t="inlineStr">
        <is>
          <t>No</t>
        </is>
      </c>
      <c r="B809" t="inlineStr">
        <is>
          <t>GN496 .G87 1993</t>
        </is>
      </c>
      <c r="C809" t="inlineStr">
        <is>
          <t>0                      GN 0496000G  87          1993</t>
        </is>
      </c>
      <c r="D809" t="inlineStr">
        <is>
          <t>Minorities at risk : a global view of ethnopolitical conflicts / Ted Robert Gurr ; with contributions by Barbara Harff, Monty G. Marshall, James R. Scarritt.</t>
        </is>
      </c>
      <c r="F809" t="inlineStr">
        <is>
          <t>No</t>
        </is>
      </c>
      <c r="G809" t="inlineStr">
        <is>
          <t>1</t>
        </is>
      </c>
      <c r="H809" t="inlineStr">
        <is>
          <t>No</t>
        </is>
      </c>
      <c r="I809" t="inlineStr">
        <is>
          <t>No</t>
        </is>
      </c>
      <c r="J809" t="inlineStr">
        <is>
          <t>0</t>
        </is>
      </c>
      <c r="K809" t="inlineStr">
        <is>
          <t>Gurr, Ted Robert, 1936-</t>
        </is>
      </c>
      <c r="L809" t="inlineStr">
        <is>
          <t>Washington, D.C. : United States Institute of Peace Press, 1993.</t>
        </is>
      </c>
      <c r="M809" t="inlineStr">
        <is>
          <t>1993</t>
        </is>
      </c>
      <c r="O809" t="inlineStr">
        <is>
          <t>eng</t>
        </is>
      </c>
      <c r="P809" t="inlineStr">
        <is>
          <t>dcu</t>
        </is>
      </c>
      <c r="R809" t="inlineStr">
        <is>
          <t xml:space="preserve">GN </t>
        </is>
      </c>
      <c r="S809" t="n">
        <v>8</v>
      </c>
      <c r="T809" t="n">
        <v>8</v>
      </c>
      <c r="U809" t="inlineStr">
        <is>
          <t>2010-04-26</t>
        </is>
      </c>
      <c r="V809" t="inlineStr">
        <is>
          <t>2010-04-26</t>
        </is>
      </c>
      <c r="W809" t="inlineStr">
        <is>
          <t>1993-11-11</t>
        </is>
      </c>
      <c r="X809" t="inlineStr">
        <is>
          <t>1993-11-11</t>
        </is>
      </c>
      <c r="Y809" t="n">
        <v>689</v>
      </c>
      <c r="Z809" t="n">
        <v>539</v>
      </c>
      <c r="AA809" t="n">
        <v>547</v>
      </c>
      <c r="AB809" t="n">
        <v>3</v>
      </c>
      <c r="AC809" t="n">
        <v>3</v>
      </c>
      <c r="AD809" t="n">
        <v>26</v>
      </c>
      <c r="AE809" t="n">
        <v>26</v>
      </c>
      <c r="AF809" t="n">
        <v>9</v>
      </c>
      <c r="AG809" t="n">
        <v>9</v>
      </c>
      <c r="AH809" t="n">
        <v>8</v>
      </c>
      <c r="AI809" t="n">
        <v>8</v>
      </c>
      <c r="AJ809" t="n">
        <v>12</v>
      </c>
      <c r="AK809" t="n">
        <v>12</v>
      </c>
      <c r="AL809" t="n">
        <v>2</v>
      </c>
      <c r="AM809" t="n">
        <v>2</v>
      </c>
      <c r="AN809" t="n">
        <v>2</v>
      </c>
      <c r="AO809" t="n">
        <v>2</v>
      </c>
      <c r="AP809" t="inlineStr">
        <is>
          <t>No</t>
        </is>
      </c>
      <c r="AQ809" t="inlineStr">
        <is>
          <t>Yes</t>
        </is>
      </c>
      <c r="AR809">
        <f>HYPERLINK("http://catalog.hathitrust.org/Record/002652498","HathiTrust Record")</f>
        <v/>
      </c>
      <c r="AS809">
        <f>HYPERLINK("https://creighton-primo.hosted.exlibrisgroup.com/primo-explore/search?tab=default_tab&amp;search_scope=EVERYTHING&amp;vid=01CRU&amp;lang=en_US&amp;offset=0&amp;query=any,contains,991002125399702656","Catalog Record")</f>
        <v/>
      </c>
      <c r="AT809">
        <f>HYPERLINK("http://www.worldcat.org/oclc/27225112","WorldCat Record")</f>
        <v/>
      </c>
      <c r="AU809" t="inlineStr">
        <is>
          <t>291976706:eng</t>
        </is>
      </c>
      <c r="AV809" t="inlineStr">
        <is>
          <t>27225112</t>
        </is>
      </c>
      <c r="AW809" t="inlineStr">
        <is>
          <t>991002125399702656</t>
        </is>
      </c>
      <c r="AX809" t="inlineStr">
        <is>
          <t>991002125399702656</t>
        </is>
      </c>
      <c r="AY809" t="inlineStr">
        <is>
          <t>2266612520002656</t>
        </is>
      </c>
      <c r="AZ809" t="inlineStr">
        <is>
          <t>BOOK</t>
        </is>
      </c>
      <c r="BB809" t="inlineStr">
        <is>
          <t>9781878379245</t>
        </is>
      </c>
      <c r="BC809" t="inlineStr">
        <is>
          <t>32285001810729</t>
        </is>
      </c>
      <c r="BD809" t="inlineStr">
        <is>
          <t>893427232</t>
        </is>
      </c>
    </row>
    <row r="810">
      <c r="A810" t="inlineStr">
        <is>
          <t>No</t>
        </is>
      </c>
      <c r="B810" t="inlineStr">
        <is>
          <t>GN496 .I55 1998</t>
        </is>
      </c>
      <c r="C810" t="inlineStr">
        <is>
          <t>0                      GN 0496000I  55          1998</t>
        </is>
      </c>
      <c r="D810" t="inlineStr">
        <is>
          <t>The warrior's honor : ethnic war and the modern conscience / Michael Ignatieff.</t>
        </is>
      </c>
      <c r="F810" t="inlineStr">
        <is>
          <t>No</t>
        </is>
      </c>
      <c r="G810" t="inlineStr">
        <is>
          <t>1</t>
        </is>
      </c>
      <c r="H810" t="inlineStr">
        <is>
          <t>No</t>
        </is>
      </c>
      <c r="I810" t="inlineStr">
        <is>
          <t>No</t>
        </is>
      </c>
      <c r="J810" t="inlineStr">
        <is>
          <t>0</t>
        </is>
      </c>
      <c r="K810" t="inlineStr">
        <is>
          <t>Ignatieff, Michael.</t>
        </is>
      </c>
      <c r="L810" t="inlineStr">
        <is>
          <t>New York : Metropolitan Books, 1998.</t>
        </is>
      </c>
      <c r="M810" t="inlineStr">
        <is>
          <t>1998</t>
        </is>
      </c>
      <c r="N810" t="inlineStr">
        <is>
          <t>1st American ed.</t>
        </is>
      </c>
      <c r="O810" t="inlineStr">
        <is>
          <t>eng</t>
        </is>
      </c>
      <c r="P810" t="inlineStr">
        <is>
          <t>nyu</t>
        </is>
      </c>
      <c r="R810" t="inlineStr">
        <is>
          <t xml:space="preserve">GN </t>
        </is>
      </c>
      <c r="S810" t="n">
        <v>0</v>
      </c>
      <c r="T810" t="n">
        <v>0</v>
      </c>
      <c r="U810" t="inlineStr">
        <is>
          <t>2001-08-01</t>
        </is>
      </c>
      <c r="V810" t="inlineStr">
        <is>
          <t>2001-08-01</t>
        </is>
      </c>
      <c r="W810" t="inlineStr">
        <is>
          <t>1998-06-23</t>
        </is>
      </c>
      <c r="X810" t="inlineStr">
        <is>
          <t>1998-06-23</t>
        </is>
      </c>
      <c r="Y810" t="n">
        <v>553</v>
      </c>
      <c r="Z810" t="n">
        <v>493</v>
      </c>
      <c r="AA810" t="n">
        <v>649</v>
      </c>
      <c r="AB810" t="n">
        <v>3</v>
      </c>
      <c r="AC810" t="n">
        <v>3</v>
      </c>
      <c r="AD810" t="n">
        <v>22</v>
      </c>
      <c r="AE810" t="n">
        <v>31</v>
      </c>
      <c r="AF810" t="n">
        <v>8</v>
      </c>
      <c r="AG810" t="n">
        <v>10</v>
      </c>
      <c r="AH810" t="n">
        <v>6</v>
      </c>
      <c r="AI810" t="n">
        <v>8</v>
      </c>
      <c r="AJ810" t="n">
        <v>9</v>
      </c>
      <c r="AK810" t="n">
        <v>15</v>
      </c>
      <c r="AL810" t="n">
        <v>2</v>
      </c>
      <c r="AM810" t="n">
        <v>2</v>
      </c>
      <c r="AN810" t="n">
        <v>1</v>
      </c>
      <c r="AO810" t="n">
        <v>3</v>
      </c>
      <c r="AP810" t="inlineStr">
        <is>
          <t>No</t>
        </is>
      </c>
      <c r="AQ810" t="inlineStr">
        <is>
          <t>No</t>
        </is>
      </c>
      <c r="AS810">
        <f>HYPERLINK("https://creighton-primo.hosted.exlibrisgroup.com/primo-explore/search?tab=default_tab&amp;search_scope=EVERYTHING&amp;vid=01CRU&amp;lang=en_US&amp;offset=0&amp;query=any,contains,991002830319702656","Catalog Record")</f>
        <v/>
      </c>
      <c r="AT810">
        <f>HYPERLINK("http://www.worldcat.org/oclc/37261089","WorldCat Record")</f>
        <v/>
      </c>
      <c r="AU810" t="inlineStr">
        <is>
          <t>614004:eng</t>
        </is>
      </c>
      <c r="AV810" t="inlineStr">
        <is>
          <t>37261089</t>
        </is>
      </c>
      <c r="AW810" t="inlineStr">
        <is>
          <t>991002830319702656</t>
        </is>
      </c>
      <c r="AX810" t="inlineStr">
        <is>
          <t>991002830319702656</t>
        </is>
      </c>
      <c r="AY810" t="inlineStr">
        <is>
          <t>2271765110002656</t>
        </is>
      </c>
      <c r="AZ810" t="inlineStr">
        <is>
          <t>BOOK</t>
        </is>
      </c>
      <c r="BB810" t="inlineStr">
        <is>
          <t>9780805055184</t>
        </is>
      </c>
      <c r="BC810" t="inlineStr">
        <is>
          <t>32285003423232</t>
        </is>
      </c>
      <c r="BD810" t="inlineStr">
        <is>
          <t>893604097</t>
        </is>
      </c>
    </row>
    <row r="811">
      <c r="A811" t="inlineStr">
        <is>
          <t>No</t>
        </is>
      </c>
      <c r="B811" t="inlineStr">
        <is>
          <t>GN496 .P65 1996</t>
        </is>
      </c>
      <c r="C811" t="inlineStr">
        <is>
          <t>0                      GN 0496000P  65          1996</t>
        </is>
      </c>
      <c r="D811" t="inlineStr">
        <is>
          <t>The politics of difference : ethnic premises in a world of power / edited by Edwin N. Wilmsen and Patrick McAllister.</t>
        </is>
      </c>
      <c r="F811" t="inlineStr">
        <is>
          <t>No</t>
        </is>
      </c>
      <c r="G811" t="inlineStr">
        <is>
          <t>1</t>
        </is>
      </c>
      <c r="H811" t="inlineStr">
        <is>
          <t>No</t>
        </is>
      </c>
      <c r="I811" t="inlineStr">
        <is>
          <t>No</t>
        </is>
      </c>
      <c r="J811" t="inlineStr">
        <is>
          <t>0</t>
        </is>
      </c>
      <c r="L811" t="inlineStr">
        <is>
          <t>Chicago : University of Chicago Press, 1996.</t>
        </is>
      </c>
      <c r="M811" t="inlineStr">
        <is>
          <t>1996</t>
        </is>
      </c>
      <c r="O811" t="inlineStr">
        <is>
          <t>eng</t>
        </is>
      </c>
      <c r="P811" t="inlineStr">
        <is>
          <t>ilu</t>
        </is>
      </c>
      <c r="R811" t="inlineStr">
        <is>
          <t xml:space="preserve">GN </t>
        </is>
      </c>
      <c r="S811" t="n">
        <v>8</v>
      </c>
      <c r="T811" t="n">
        <v>8</v>
      </c>
      <c r="U811" t="inlineStr">
        <is>
          <t>2009-11-07</t>
        </is>
      </c>
      <c r="V811" t="inlineStr">
        <is>
          <t>2009-11-07</t>
        </is>
      </c>
      <c r="W811" t="inlineStr">
        <is>
          <t>1996-10-28</t>
        </is>
      </c>
      <c r="X811" t="inlineStr">
        <is>
          <t>1996-10-28</t>
        </is>
      </c>
      <c r="Y811" t="n">
        <v>419</v>
      </c>
      <c r="Z811" t="n">
        <v>290</v>
      </c>
      <c r="AA811" t="n">
        <v>295</v>
      </c>
      <c r="AB811" t="n">
        <v>3</v>
      </c>
      <c r="AC811" t="n">
        <v>3</v>
      </c>
      <c r="AD811" t="n">
        <v>16</v>
      </c>
      <c r="AE811" t="n">
        <v>16</v>
      </c>
      <c r="AF811" t="n">
        <v>3</v>
      </c>
      <c r="AG811" t="n">
        <v>3</v>
      </c>
      <c r="AH811" t="n">
        <v>6</v>
      </c>
      <c r="AI811" t="n">
        <v>6</v>
      </c>
      <c r="AJ811" t="n">
        <v>8</v>
      </c>
      <c r="AK811" t="n">
        <v>8</v>
      </c>
      <c r="AL811" t="n">
        <v>2</v>
      </c>
      <c r="AM811" t="n">
        <v>2</v>
      </c>
      <c r="AN811" t="n">
        <v>1</v>
      </c>
      <c r="AO811" t="n">
        <v>1</v>
      </c>
      <c r="AP811" t="inlineStr">
        <is>
          <t>No</t>
        </is>
      </c>
      <c r="AQ811" t="inlineStr">
        <is>
          <t>No</t>
        </is>
      </c>
      <c r="AS811">
        <f>HYPERLINK("https://creighton-primo.hosted.exlibrisgroup.com/primo-explore/search?tab=default_tab&amp;search_scope=EVERYTHING&amp;vid=01CRU&amp;lang=en_US&amp;offset=0&amp;query=any,contains,991002535259702656","Catalog Record")</f>
        <v/>
      </c>
      <c r="AT811">
        <f>HYPERLINK("http://www.worldcat.org/oclc/32968479","WorldCat Record")</f>
        <v/>
      </c>
      <c r="AU811" t="inlineStr">
        <is>
          <t>890438520:eng</t>
        </is>
      </c>
      <c r="AV811" t="inlineStr">
        <is>
          <t>32968479</t>
        </is>
      </c>
      <c r="AW811" t="inlineStr">
        <is>
          <t>991002535259702656</t>
        </is>
      </c>
      <c r="AX811" t="inlineStr">
        <is>
          <t>991002535259702656</t>
        </is>
      </c>
      <c r="AY811" t="inlineStr">
        <is>
          <t>2262734910002656</t>
        </is>
      </c>
      <c r="AZ811" t="inlineStr">
        <is>
          <t>BOOK</t>
        </is>
      </c>
      <c r="BB811" t="inlineStr">
        <is>
          <t>9780226900162</t>
        </is>
      </c>
      <c r="BC811" t="inlineStr">
        <is>
          <t>32285002369683</t>
        </is>
      </c>
      <c r="BD811" t="inlineStr">
        <is>
          <t>893597572</t>
        </is>
      </c>
    </row>
    <row r="812">
      <c r="A812" t="inlineStr">
        <is>
          <t>No</t>
        </is>
      </c>
      <c r="B812" t="inlineStr">
        <is>
          <t>GN496 .R33 1993</t>
        </is>
      </c>
      <c r="C812" t="inlineStr">
        <is>
          <t>0                      GN 0496000R  33          1993</t>
        </is>
      </c>
      <c r="D812" t="inlineStr">
        <is>
          <t>Race and ethnicity in research methods / John H. Stanfield, II, Rutledge M. Dennis, editors.</t>
        </is>
      </c>
      <c r="F812" t="inlineStr">
        <is>
          <t>No</t>
        </is>
      </c>
      <c r="G812" t="inlineStr">
        <is>
          <t>1</t>
        </is>
      </c>
      <c r="H812" t="inlineStr">
        <is>
          <t>No</t>
        </is>
      </c>
      <c r="I812" t="inlineStr">
        <is>
          <t>No</t>
        </is>
      </c>
      <c r="J812" t="inlineStr">
        <is>
          <t>0</t>
        </is>
      </c>
      <c r="L812" t="inlineStr">
        <is>
          <t>Newbury Park, Calif. : Sage Publications, c1993.</t>
        </is>
      </c>
      <c r="M812" t="inlineStr">
        <is>
          <t>1993</t>
        </is>
      </c>
      <c r="O812" t="inlineStr">
        <is>
          <t>eng</t>
        </is>
      </c>
      <c r="P812" t="inlineStr">
        <is>
          <t>cau</t>
        </is>
      </c>
      <c r="Q812" t="inlineStr">
        <is>
          <t>Sage focus editions ; 157</t>
        </is>
      </c>
      <c r="R812" t="inlineStr">
        <is>
          <t xml:space="preserve">GN </t>
        </is>
      </c>
      <c r="S812" t="n">
        <v>11</v>
      </c>
      <c r="T812" t="n">
        <v>11</v>
      </c>
      <c r="U812" t="inlineStr">
        <is>
          <t>2000-11-15</t>
        </is>
      </c>
      <c r="V812" t="inlineStr">
        <is>
          <t>2000-11-15</t>
        </is>
      </c>
      <c r="W812" t="inlineStr">
        <is>
          <t>1994-11-13</t>
        </is>
      </c>
      <c r="X812" t="inlineStr">
        <is>
          <t>1994-11-13</t>
        </is>
      </c>
      <c r="Y812" t="n">
        <v>560</v>
      </c>
      <c r="Z812" t="n">
        <v>389</v>
      </c>
      <c r="AA812" t="n">
        <v>396</v>
      </c>
      <c r="AB812" t="n">
        <v>4</v>
      </c>
      <c r="AC812" t="n">
        <v>4</v>
      </c>
      <c r="AD812" t="n">
        <v>24</v>
      </c>
      <c r="AE812" t="n">
        <v>24</v>
      </c>
      <c r="AF812" t="n">
        <v>5</v>
      </c>
      <c r="AG812" t="n">
        <v>5</v>
      </c>
      <c r="AH812" t="n">
        <v>5</v>
      </c>
      <c r="AI812" t="n">
        <v>5</v>
      </c>
      <c r="AJ812" t="n">
        <v>16</v>
      </c>
      <c r="AK812" t="n">
        <v>16</v>
      </c>
      <c r="AL812" t="n">
        <v>3</v>
      </c>
      <c r="AM812" t="n">
        <v>3</v>
      </c>
      <c r="AN812" t="n">
        <v>0</v>
      </c>
      <c r="AO812" t="n">
        <v>0</v>
      </c>
      <c r="AP812" t="inlineStr">
        <is>
          <t>No</t>
        </is>
      </c>
      <c r="AQ812" t="inlineStr">
        <is>
          <t>Yes</t>
        </is>
      </c>
      <c r="AR812">
        <f>HYPERLINK("http://catalog.hathitrust.org/Record/002645575","HathiTrust Record")</f>
        <v/>
      </c>
      <c r="AS812">
        <f>HYPERLINK("https://creighton-primo.hosted.exlibrisgroup.com/primo-explore/search?tab=default_tab&amp;search_scope=EVERYTHING&amp;vid=01CRU&amp;lang=en_US&amp;offset=0&amp;query=any,contains,991002137279702656","Catalog Record")</f>
        <v/>
      </c>
      <c r="AT812">
        <f>HYPERLINK("http://www.worldcat.org/oclc/27428443","WorldCat Record")</f>
        <v/>
      </c>
      <c r="AU812" t="inlineStr">
        <is>
          <t>350567162:eng</t>
        </is>
      </c>
      <c r="AV812" t="inlineStr">
        <is>
          <t>27428443</t>
        </is>
      </c>
      <c r="AW812" t="inlineStr">
        <is>
          <t>991002137279702656</t>
        </is>
      </c>
      <c r="AX812" t="inlineStr">
        <is>
          <t>991002137279702656</t>
        </is>
      </c>
      <c r="AY812" t="inlineStr">
        <is>
          <t>2259213830002656</t>
        </is>
      </c>
      <c r="AZ812" t="inlineStr">
        <is>
          <t>BOOK</t>
        </is>
      </c>
      <c r="BB812" t="inlineStr">
        <is>
          <t>9780803950061</t>
        </is>
      </c>
      <c r="BC812" t="inlineStr">
        <is>
          <t>32285001957447</t>
        </is>
      </c>
      <c r="BD812" t="inlineStr">
        <is>
          <t>893716096</t>
        </is>
      </c>
    </row>
    <row r="813">
      <c r="A813" t="inlineStr">
        <is>
          <t>No</t>
        </is>
      </c>
      <c r="B813" t="inlineStr">
        <is>
          <t>GN496 .R44 2000</t>
        </is>
      </c>
      <c r="C813" t="inlineStr">
        <is>
          <t>0                      GN 0496000R  44          2000</t>
        </is>
      </c>
      <c r="D813" t="inlineStr">
        <is>
          <t>Reconcilable differences : turning points in ethnopolitical conflict / Sean Byrne and Cynthia L. Irvin, editors ; Paul Dixon, Brian D. Polkinghorn, and Jessica Senehi, associate editors.</t>
        </is>
      </c>
      <c r="F813" t="inlineStr">
        <is>
          <t>No</t>
        </is>
      </c>
      <c r="G813" t="inlineStr">
        <is>
          <t>1</t>
        </is>
      </c>
      <c r="H813" t="inlineStr">
        <is>
          <t>No</t>
        </is>
      </c>
      <c r="I813" t="inlineStr">
        <is>
          <t>No</t>
        </is>
      </c>
      <c r="J813" t="inlineStr">
        <is>
          <t>0</t>
        </is>
      </c>
      <c r="L813" t="inlineStr">
        <is>
          <t>West Hartford, CT : Kumarian Press, 2000.</t>
        </is>
      </c>
      <c r="M813" t="inlineStr">
        <is>
          <t>2000</t>
        </is>
      </c>
      <c r="O813" t="inlineStr">
        <is>
          <t>eng</t>
        </is>
      </c>
      <c r="P813" t="inlineStr">
        <is>
          <t>ctu</t>
        </is>
      </c>
      <c r="R813" t="inlineStr">
        <is>
          <t xml:space="preserve">GN </t>
        </is>
      </c>
      <c r="S813" t="n">
        <v>2</v>
      </c>
      <c r="T813" t="n">
        <v>2</v>
      </c>
      <c r="U813" t="inlineStr">
        <is>
          <t>2001-02-21</t>
        </is>
      </c>
      <c r="V813" t="inlineStr">
        <is>
          <t>2001-02-21</t>
        </is>
      </c>
      <c r="W813" t="inlineStr">
        <is>
          <t>2000-09-05</t>
        </is>
      </c>
      <c r="X813" t="inlineStr">
        <is>
          <t>2000-09-05</t>
        </is>
      </c>
      <c r="Y813" t="n">
        <v>321</v>
      </c>
      <c r="Z813" t="n">
        <v>247</v>
      </c>
      <c r="AA813" t="n">
        <v>252</v>
      </c>
      <c r="AB813" t="n">
        <v>3</v>
      </c>
      <c r="AC813" t="n">
        <v>3</v>
      </c>
      <c r="AD813" t="n">
        <v>15</v>
      </c>
      <c r="AE813" t="n">
        <v>15</v>
      </c>
      <c r="AF813" t="n">
        <v>3</v>
      </c>
      <c r="AG813" t="n">
        <v>3</v>
      </c>
      <c r="AH813" t="n">
        <v>4</v>
      </c>
      <c r="AI813" t="n">
        <v>4</v>
      </c>
      <c r="AJ813" t="n">
        <v>9</v>
      </c>
      <c r="AK813" t="n">
        <v>9</v>
      </c>
      <c r="AL813" t="n">
        <v>2</v>
      </c>
      <c r="AM813" t="n">
        <v>2</v>
      </c>
      <c r="AN813" t="n">
        <v>0</v>
      </c>
      <c r="AO813" t="n">
        <v>0</v>
      </c>
      <c r="AP813" t="inlineStr">
        <is>
          <t>No</t>
        </is>
      </c>
      <c r="AQ813" t="inlineStr">
        <is>
          <t>Yes</t>
        </is>
      </c>
      <c r="AR813">
        <f>HYPERLINK("http://catalog.hathitrust.org/Record/004090453","HathiTrust Record")</f>
        <v/>
      </c>
      <c r="AS813">
        <f>HYPERLINK("https://creighton-primo.hosted.exlibrisgroup.com/primo-explore/search?tab=default_tab&amp;search_scope=EVERYTHING&amp;vid=01CRU&amp;lang=en_US&amp;offset=0&amp;query=any,contains,991003245769702656","Catalog Record")</f>
        <v/>
      </c>
      <c r="AT813">
        <f>HYPERLINK("http://www.worldcat.org/oclc/42952788","WorldCat Record")</f>
        <v/>
      </c>
      <c r="AU813" t="inlineStr">
        <is>
          <t>323578972:eng</t>
        </is>
      </c>
      <c r="AV813" t="inlineStr">
        <is>
          <t>42952788</t>
        </is>
      </c>
      <c r="AW813" t="inlineStr">
        <is>
          <t>991003245769702656</t>
        </is>
      </c>
      <c r="AX813" t="inlineStr">
        <is>
          <t>991003245769702656</t>
        </is>
      </c>
      <c r="AY813" t="inlineStr">
        <is>
          <t>2260277200002656</t>
        </is>
      </c>
      <c r="AZ813" t="inlineStr">
        <is>
          <t>BOOK</t>
        </is>
      </c>
      <c r="BB813" t="inlineStr">
        <is>
          <t>9781565491083</t>
        </is>
      </c>
      <c r="BC813" t="inlineStr">
        <is>
          <t>32285003749891</t>
        </is>
      </c>
      <c r="BD813" t="inlineStr">
        <is>
          <t>893623297</t>
        </is>
      </c>
    </row>
    <row r="814">
      <c r="A814" t="inlineStr">
        <is>
          <t>No</t>
        </is>
      </c>
      <c r="B814" t="inlineStr">
        <is>
          <t>GN496 .S33 1998</t>
        </is>
      </c>
      <c r="C814" t="inlineStr">
        <is>
          <t>0                      GN 0496000S  33          1998</t>
        </is>
      </c>
      <c r="D814" t="inlineStr">
        <is>
          <t>The myth of global chaos / Yahya Sadowski.</t>
        </is>
      </c>
      <c r="F814" t="inlineStr">
        <is>
          <t>No</t>
        </is>
      </c>
      <c r="G814" t="inlineStr">
        <is>
          <t>1</t>
        </is>
      </c>
      <c r="H814" t="inlineStr">
        <is>
          <t>No</t>
        </is>
      </c>
      <c r="I814" t="inlineStr">
        <is>
          <t>No</t>
        </is>
      </c>
      <c r="J814" t="inlineStr">
        <is>
          <t>0</t>
        </is>
      </c>
      <c r="K814" t="inlineStr">
        <is>
          <t>Sadowski, Yahya M.</t>
        </is>
      </c>
      <c r="L814" t="inlineStr">
        <is>
          <t>Washington, D.C. : Brookings Institution Press, c1998.</t>
        </is>
      </c>
      <c r="M814" t="inlineStr">
        <is>
          <t>1998</t>
        </is>
      </c>
      <c r="O814" t="inlineStr">
        <is>
          <t>eng</t>
        </is>
      </c>
      <c r="P814" t="inlineStr">
        <is>
          <t>dcu</t>
        </is>
      </c>
      <c r="R814" t="inlineStr">
        <is>
          <t xml:space="preserve">GN </t>
        </is>
      </c>
      <c r="S814" t="n">
        <v>7</v>
      </c>
      <c r="T814" t="n">
        <v>7</v>
      </c>
      <c r="U814" t="inlineStr">
        <is>
          <t>1999-06-18</t>
        </is>
      </c>
      <c r="V814" t="inlineStr">
        <is>
          <t>1999-06-18</t>
        </is>
      </c>
      <c r="W814" t="inlineStr">
        <is>
          <t>1999-01-25</t>
        </is>
      </c>
      <c r="X814" t="inlineStr">
        <is>
          <t>1999-01-25</t>
        </is>
      </c>
      <c r="Y814" t="n">
        <v>553</v>
      </c>
      <c r="Z814" t="n">
        <v>459</v>
      </c>
      <c r="AA814" t="n">
        <v>1120</v>
      </c>
      <c r="AB814" t="n">
        <v>3</v>
      </c>
      <c r="AC814" t="n">
        <v>4</v>
      </c>
      <c r="AD814" t="n">
        <v>24</v>
      </c>
      <c r="AE814" t="n">
        <v>27</v>
      </c>
      <c r="AF814" t="n">
        <v>9</v>
      </c>
      <c r="AG814" t="n">
        <v>11</v>
      </c>
      <c r="AH814" t="n">
        <v>6</v>
      </c>
      <c r="AI814" t="n">
        <v>6</v>
      </c>
      <c r="AJ814" t="n">
        <v>12</v>
      </c>
      <c r="AK814" t="n">
        <v>12</v>
      </c>
      <c r="AL814" t="n">
        <v>2</v>
      </c>
      <c r="AM814" t="n">
        <v>3</v>
      </c>
      <c r="AN814" t="n">
        <v>1</v>
      </c>
      <c r="AO814" t="n">
        <v>1</v>
      </c>
      <c r="AP814" t="inlineStr">
        <is>
          <t>No</t>
        </is>
      </c>
      <c r="AQ814" t="inlineStr">
        <is>
          <t>No</t>
        </is>
      </c>
      <c r="AS814">
        <f>HYPERLINK("https://creighton-primo.hosted.exlibrisgroup.com/primo-explore/search?tab=default_tab&amp;search_scope=EVERYTHING&amp;vid=01CRU&amp;lang=en_US&amp;offset=0&amp;query=any,contains,991002908619702656","Catalog Record")</f>
        <v/>
      </c>
      <c r="AT814">
        <f>HYPERLINK("http://www.worldcat.org/oclc/38438400","WorldCat Record")</f>
        <v/>
      </c>
      <c r="AU814" t="inlineStr">
        <is>
          <t>619632:eng</t>
        </is>
      </c>
      <c r="AV814" t="inlineStr">
        <is>
          <t>38438400</t>
        </is>
      </c>
      <c r="AW814" t="inlineStr">
        <is>
          <t>991002908619702656</t>
        </is>
      </c>
      <c r="AX814" t="inlineStr">
        <is>
          <t>991002908619702656</t>
        </is>
      </c>
      <c r="AY814" t="inlineStr">
        <is>
          <t>2267121290002656</t>
        </is>
      </c>
      <c r="AZ814" t="inlineStr">
        <is>
          <t>BOOK</t>
        </is>
      </c>
      <c r="BB814" t="inlineStr">
        <is>
          <t>9780815776642</t>
        </is>
      </c>
      <c r="BC814" t="inlineStr">
        <is>
          <t>32285003515920</t>
        </is>
      </c>
      <c r="BD814" t="inlineStr">
        <is>
          <t>893335884</t>
        </is>
      </c>
    </row>
    <row r="815">
      <c r="A815" t="inlineStr">
        <is>
          <t>No</t>
        </is>
      </c>
      <c r="B815" t="inlineStr">
        <is>
          <t>GN496 .S65 1983</t>
        </is>
      </c>
      <c r="C815" t="inlineStr">
        <is>
          <t>0                      GN 0496000S  65          1983</t>
        </is>
      </c>
      <c r="D815" t="inlineStr">
        <is>
          <t>Before color prejudice : the ancient view of Blacks / Frank M. Snowden, Jr.</t>
        </is>
      </c>
      <c r="F815" t="inlineStr">
        <is>
          <t>No</t>
        </is>
      </c>
      <c r="G815" t="inlineStr">
        <is>
          <t>1</t>
        </is>
      </c>
      <c r="H815" t="inlineStr">
        <is>
          <t>No</t>
        </is>
      </c>
      <c r="I815" t="inlineStr">
        <is>
          <t>No</t>
        </is>
      </c>
      <c r="J815" t="inlineStr">
        <is>
          <t>0</t>
        </is>
      </c>
      <c r="K815" t="inlineStr">
        <is>
          <t>Snowden, Frank M., 1911-2007.</t>
        </is>
      </c>
      <c r="L815" t="inlineStr">
        <is>
          <t>Cambridge, Mass. : Harvard University Press, 1983.</t>
        </is>
      </c>
      <c r="M815" t="inlineStr">
        <is>
          <t>1983</t>
        </is>
      </c>
      <c r="O815" t="inlineStr">
        <is>
          <t>eng</t>
        </is>
      </c>
      <c r="P815" t="inlineStr">
        <is>
          <t>mau</t>
        </is>
      </c>
      <c r="R815" t="inlineStr">
        <is>
          <t xml:space="preserve">GN </t>
        </is>
      </c>
      <c r="S815" t="n">
        <v>6</v>
      </c>
      <c r="T815" t="n">
        <v>6</v>
      </c>
      <c r="U815" t="inlineStr">
        <is>
          <t>2006-04-19</t>
        </is>
      </c>
      <c r="V815" t="inlineStr">
        <is>
          <t>2006-04-19</t>
        </is>
      </c>
      <c r="W815" t="inlineStr">
        <is>
          <t>1990-04-17</t>
        </is>
      </c>
      <c r="X815" t="inlineStr">
        <is>
          <t>1990-04-17</t>
        </is>
      </c>
      <c r="Y815" t="n">
        <v>1196</v>
      </c>
      <c r="Z815" t="n">
        <v>1015</v>
      </c>
      <c r="AA815" t="n">
        <v>1103</v>
      </c>
      <c r="AB815" t="n">
        <v>4</v>
      </c>
      <c r="AC815" t="n">
        <v>4</v>
      </c>
      <c r="AD815" t="n">
        <v>43</v>
      </c>
      <c r="AE815" t="n">
        <v>45</v>
      </c>
      <c r="AF815" t="n">
        <v>22</v>
      </c>
      <c r="AG815" t="n">
        <v>22</v>
      </c>
      <c r="AH815" t="n">
        <v>9</v>
      </c>
      <c r="AI815" t="n">
        <v>9</v>
      </c>
      <c r="AJ815" t="n">
        <v>20</v>
      </c>
      <c r="AK815" t="n">
        <v>22</v>
      </c>
      <c r="AL815" t="n">
        <v>3</v>
      </c>
      <c r="AM815" t="n">
        <v>3</v>
      </c>
      <c r="AN815" t="n">
        <v>1</v>
      </c>
      <c r="AO815" t="n">
        <v>1</v>
      </c>
      <c r="AP815" t="inlineStr">
        <is>
          <t>No</t>
        </is>
      </c>
      <c r="AQ815" t="inlineStr">
        <is>
          <t>Yes</t>
        </is>
      </c>
      <c r="AR815">
        <f>HYPERLINK("http://catalog.hathitrust.org/Record/000769121","HathiTrust Record")</f>
        <v/>
      </c>
      <c r="AS815">
        <f>HYPERLINK("https://creighton-primo.hosted.exlibrisgroup.com/primo-explore/search?tab=default_tab&amp;search_scope=EVERYTHING&amp;vid=01CRU&amp;lang=en_US&amp;offset=0&amp;query=any,contains,991000023949702656","Catalog Record")</f>
        <v/>
      </c>
      <c r="AT815">
        <f>HYPERLINK("http://www.worldcat.org/oclc/8587762","WorldCat Record")</f>
        <v/>
      </c>
      <c r="AU815" t="inlineStr">
        <is>
          <t>235207906:eng</t>
        </is>
      </c>
      <c r="AV815" t="inlineStr">
        <is>
          <t>8587762</t>
        </is>
      </c>
      <c r="AW815" t="inlineStr">
        <is>
          <t>991000023949702656</t>
        </is>
      </c>
      <c r="AX815" t="inlineStr">
        <is>
          <t>991000023949702656</t>
        </is>
      </c>
      <c r="AY815" t="inlineStr">
        <is>
          <t>2259562770002656</t>
        </is>
      </c>
      <c r="AZ815" t="inlineStr">
        <is>
          <t>BOOK</t>
        </is>
      </c>
      <c r="BB815" t="inlineStr">
        <is>
          <t>9780674063808</t>
        </is>
      </c>
      <c r="BC815" t="inlineStr">
        <is>
          <t>32285000122423</t>
        </is>
      </c>
      <c r="BD815" t="inlineStr">
        <is>
          <t>893320745</t>
        </is>
      </c>
    </row>
    <row r="816">
      <c r="A816" t="inlineStr">
        <is>
          <t>No</t>
        </is>
      </c>
      <c r="B816" t="inlineStr">
        <is>
          <t>GN496 .V54 1996</t>
        </is>
      </c>
      <c r="C816" t="inlineStr">
        <is>
          <t>0                      GN 0496000V  54          1996</t>
        </is>
      </c>
      <c r="D816" t="inlineStr">
        <is>
          <t>Vigilance and vengeance : NGOs preventing ethnic conflict in divided societies / Robert I. Rotberg, editor.</t>
        </is>
      </c>
      <c r="F816" t="inlineStr">
        <is>
          <t>No</t>
        </is>
      </c>
      <c r="G816" t="inlineStr">
        <is>
          <t>1</t>
        </is>
      </c>
      <c r="H816" t="inlineStr">
        <is>
          <t>No</t>
        </is>
      </c>
      <c r="I816" t="inlineStr">
        <is>
          <t>No</t>
        </is>
      </c>
      <c r="J816" t="inlineStr">
        <is>
          <t>0</t>
        </is>
      </c>
      <c r="L816" t="inlineStr">
        <is>
          <t>Washington, D.C. : Brooking Institution Press ; Cambridge, Mass. : World Peace Foundation, c1996.</t>
        </is>
      </c>
      <c r="M816" t="inlineStr">
        <is>
          <t>1996</t>
        </is>
      </c>
      <c r="O816" t="inlineStr">
        <is>
          <t>eng</t>
        </is>
      </c>
      <c r="P816" t="inlineStr">
        <is>
          <t>dcu</t>
        </is>
      </c>
      <c r="R816" t="inlineStr">
        <is>
          <t xml:space="preserve">GN </t>
        </is>
      </c>
      <c r="S816" t="n">
        <v>5</v>
      </c>
      <c r="T816" t="n">
        <v>5</v>
      </c>
      <c r="U816" t="inlineStr">
        <is>
          <t>2001-10-01</t>
        </is>
      </c>
      <c r="V816" t="inlineStr">
        <is>
          <t>2001-10-01</t>
        </is>
      </c>
      <c r="W816" t="inlineStr">
        <is>
          <t>1997-03-26</t>
        </is>
      </c>
      <c r="X816" t="inlineStr">
        <is>
          <t>1997-03-26</t>
        </is>
      </c>
      <c r="Y816" t="n">
        <v>488</v>
      </c>
      <c r="Z816" t="n">
        <v>411</v>
      </c>
      <c r="AA816" t="n">
        <v>413</v>
      </c>
      <c r="AB816" t="n">
        <v>5</v>
      </c>
      <c r="AC816" t="n">
        <v>5</v>
      </c>
      <c r="AD816" t="n">
        <v>25</v>
      </c>
      <c r="AE816" t="n">
        <v>25</v>
      </c>
      <c r="AF816" t="n">
        <v>8</v>
      </c>
      <c r="AG816" t="n">
        <v>8</v>
      </c>
      <c r="AH816" t="n">
        <v>5</v>
      </c>
      <c r="AI816" t="n">
        <v>5</v>
      </c>
      <c r="AJ816" t="n">
        <v>13</v>
      </c>
      <c r="AK816" t="n">
        <v>13</v>
      </c>
      <c r="AL816" t="n">
        <v>4</v>
      </c>
      <c r="AM816" t="n">
        <v>4</v>
      </c>
      <c r="AN816" t="n">
        <v>3</v>
      </c>
      <c r="AO816" t="n">
        <v>3</v>
      </c>
      <c r="AP816" t="inlineStr">
        <is>
          <t>No</t>
        </is>
      </c>
      <c r="AQ816" t="inlineStr">
        <is>
          <t>Yes</t>
        </is>
      </c>
      <c r="AR816">
        <f>HYPERLINK("http://catalog.hathitrust.org/Record/003122771","HathiTrust Record")</f>
        <v/>
      </c>
      <c r="AS816">
        <f>HYPERLINK("https://creighton-primo.hosted.exlibrisgroup.com/primo-explore/search?tab=default_tab&amp;search_scope=EVERYTHING&amp;vid=01CRU&amp;lang=en_US&amp;offset=0&amp;query=any,contains,991002689019702656","Catalog Record")</f>
        <v/>
      </c>
      <c r="AT816">
        <f>HYPERLINK("http://www.worldcat.org/oclc/35128052","WorldCat Record")</f>
        <v/>
      </c>
      <c r="AU816" t="inlineStr">
        <is>
          <t>890512736:eng</t>
        </is>
      </c>
      <c r="AV816" t="inlineStr">
        <is>
          <t>35128052</t>
        </is>
      </c>
      <c r="AW816" t="inlineStr">
        <is>
          <t>991002689019702656</t>
        </is>
      </c>
      <c r="AX816" t="inlineStr">
        <is>
          <t>991002689019702656</t>
        </is>
      </c>
      <c r="AY816" t="inlineStr">
        <is>
          <t>2271111440002656</t>
        </is>
      </c>
      <c r="AZ816" t="inlineStr">
        <is>
          <t>BOOK</t>
        </is>
      </c>
      <c r="BB816" t="inlineStr">
        <is>
          <t>9780815775874</t>
        </is>
      </c>
      <c r="BC816" t="inlineStr">
        <is>
          <t>32285002476447</t>
        </is>
      </c>
      <c r="BD816" t="inlineStr">
        <is>
          <t>893873865</t>
        </is>
      </c>
    </row>
    <row r="817">
      <c r="A817" t="inlineStr">
        <is>
          <t>No</t>
        </is>
      </c>
      <c r="B817" t="inlineStr">
        <is>
          <t>GN496 .W43 1994</t>
        </is>
      </c>
      <c r="C817" t="inlineStr">
        <is>
          <t>0                      GN 0496000W  43          1994</t>
        </is>
      </c>
      <c r="D817" t="inlineStr">
        <is>
          <t>Savages and civilization : who will survive? / by Jack Weatherford.</t>
        </is>
      </c>
      <c r="F817" t="inlineStr">
        <is>
          <t>No</t>
        </is>
      </c>
      <c r="G817" t="inlineStr">
        <is>
          <t>1</t>
        </is>
      </c>
      <c r="H817" t="inlineStr">
        <is>
          <t>No</t>
        </is>
      </c>
      <c r="I817" t="inlineStr">
        <is>
          <t>No</t>
        </is>
      </c>
      <c r="J817" t="inlineStr">
        <is>
          <t>0</t>
        </is>
      </c>
      <c r="K817" t="inlineStr">
        <is>
          <t>Weatherford, Jack, 1946-</t>
        </is>
      </c>
      <c r="L817" t="inlineStr">
        <is>
          <t>New York : Crown, c1994.</t>
        </is>
      </c>
      <c r="M817" t="inlineStr">
        <is>
          <t>1994</t>
        </is>
      </c>
      <c r="N817" t="inlineStr">
        <is>
          <t>1st ed.</t>
        </is>
      </c>
      <c r="O817" t="inlineStr">
        <is>
          <t>eng</t>
        </is>
      </c>
      <c r="P817" t="inlineStr">
        <is>
          <t>nyu</t>
        </is>
      </c>
      <c r="R817" t="inlineStr">
        <is>
          <t xml:space="preserve">GN </t>
        </is>
      </c>
      <c r="S817" t="n">
        <v>5</v>
      </c>
      <c r="T817" t="n">
        <v>5</v>
      </c>
      <c r="U817" t="inlineStr">
        <is>
          <t>1998-03-10</t>
        </is>
      </c>
      <c r="V817" t="inlineStr">
        <is>
          <t>1998-03-10</t>
        </is>
      </c>
      <c r="W817" t="inlineStr">
        <is>
          <t>1994-02-08</t>
        </is>
      </c>
      <c r="X817" t="inlineStr">
        <is>
          <t>1994-02-08</t>
        </is>
      </c>
      <c r="Y817" t="n">
        <v>635</v>
      </c>
      <c r="Z817" t="n">
        <v>572</v>
      </c>
      <c r="AA817" t="n">
        <v>659</v>
      </c>
      <c r="AB817" t="n">
        <v>6</v>
      </c>
      <c r="AC817" t="n">
        <v>6</v>
      </c>
      <c r="AD817" t="n">
        <v>22</v>
      </c>
      <c r="AE817" t="n">
        <v>23</v>
      </c>
      <c r="AF817" t="n">
        <v>9</v>
      </c>
      <c r="AG817" t="n">
        <v>9</v>
      </c>
      <c r="AH817" t="n">
        <v>6</v>
      </c>
      <c r="AI817" t="n">
        <v>6</v>
      </c>
      <c r="AJ817" t="n">
        <v>9</v>
      </c>
      <c r="AK817" t="n">
        <v>10</v>
      </c>
      <c r="AL817" t="n">
        <v>4</v>
      </c>
      <c r="AM817" t="n">
        <v>4</v>
      </c>
      <c r="AN817" t="n">
        <v>1</v>
      </c>
      <c r="AO817" t="n">
        <v>1</v>
      </c>
      <c r="AP817" t="inlineStr">
        <is>
          <t>No</t>
        </is>
      </c>
      <c r="AQ817" t="inlineStr">
        <is>
          <t>Yes</t>
        </is>
      </c>
      <c r="AR817">
        <f>HYPERLINK("http://catalog.hathitrust.org/Record/002790152","HathiTrust Record")</f>
        <v/>
      </c>
      <c r="AS817">
        <f>HYPERLINK("https://creighton-primo.hosted.exlibrisgroup.com/primo-explore/search?tab=default_tab&amp;search_scope=EVERYTHING&amp;vid=01CRU&amp;lang=en_US&amp;offset=0&amp;query=any,contains,991002217179702656","Catalog Record")</f>
        <v/>
      </c>
      <c r="AT817">
        <f>HYPERLINK("http://www.worldcat.org/oclc/28549183","WorldCat Record")</f>
        <v/>
      </c>
      <c r="AU817" t="inlineStr">
        <is>
          <t>31076182:eng</t>
        </is>
      </c>
      <c r="AV817" t="inlineStr">
        <is>
          <t>28549183</t>
        </is>
      </c>
      <c r="AW817" t="inlineStr">
        <is>
          <t>991002217179702656</t>
        </is>
      </c>
      <c r="AX817" t="inlineStr">
        <is>
          <t>991002217179702656</t>
        </is>
      </c>
      <c r="AY817" t="inlineStr">
        <is>
          <t>2261336940002656</t>
        </is>
      </c>
      <c r="AZ817" t="inlineStr">
        <is>
          <t>BOOK</t>
        </is>
      </c>
      <c r="BB817" t="inlineStr">
        <is>
          <t>9780517588604</t>
        </is>
      </c>
      <c r="BC817" t="inlineStr">
        <is>
          <t>32285001840825</t>
        </is>
      </c>
      <c r="BD817" t="inlineStr">
        <is>
          <t>893866939</t>
        </is>
      </c>
    </row>
    <row r="818">
      <c r="A818" t="inlineStr">
        <is>
          <t>No</t>
        </is>
      </c>
      <c r="B818" t="inlineStr">
        <is>
          <t>GN496 .Z46 1991</t>
        </is>
      </c>
      <c r="C818" t="inlineStr">
        <is>
          <t>0                      GN 0496000Z  46          1991</t>
        </is>
      </c>
      <c r="D818" t="inlineStr">
        <is>
          <t>Minorities in the middle : a cross-cultural analysis / Walter P. Zenner.</t>
        </is>
      </c>
      <c r="F818" t="inlineStr">
        <is>
          <t>No</t>
        </is>
      </c>
      <c r="G818" t="inlineStr">
        <is>
          <t>1</t>
        </is>
      </c>
      <c r="H818" t="inlineStr">
        <is>
          <t>No</t>
        </is>
      </c>
      <c r="I818" t="inlineStr">
        <is>
          <t>No</t>
        </is>
      </c>
      <c r="J818" t="inlineStr">
        <is>
          <t>0</t>
        </is>
      </c>
      <c r="K818" t="inlineStr">
        <is>
          <t>Zenner, Walter P.</t>
        </is>
      </c>
      <c r="L818" t="inlineStr">
        <is>
          <t>Albany : State University of New York Press, c1991.</t>
        </is>
      </c>
      <c r="M818" t="inlineStr">
        <is>
          <t>1991</t>
        </is>
      </c>
      <c r="O818" t="inlineStr">
        <is>
          <t>eng</t>
        </is>
      </c>
      <c r="P818" t="inlineStr">
        <is>
          <t>nyu</t>
        </is>
      </c>
      <c r="Q818" t="inlineStr">
        <is>
          <t>SUNY series in ethnicity and race in American life</t>
        </is>
      </c>
      <c r="R818" t="inlineStr">
        <is>
          <t xml:space="preserve">GN </t>
        </is>
      </c>
      <c r="S818" t="n">
        <v>3</v>
      </c>
      <c r="T818" t="n">
        <v>3</v>
      </c>
      <c r="U818" t="inlineStr">
        <is>
          <t>1997-04-13</t>
        </is>
      </c>
      <c r="V818" t="inlineStr">
        <is>
          <t>1997-04-13</t>
        </is>
      </c>
      <c r="W818" t="inlineStr">
        <is>
          <t>1992-01-10</t>
        </is>
      </c>
      <c r="X818" t="inlineStr">
        <is>
          <t>1992-01-10</t>
        </is>
      </c>
      <c r="Y818" t="n">
        <v>407</v>
      </c>
      <c r="Z818" t="n">
        <v>347</v>
      </c>
      <c r="AA818" t="n">
        <v>347</v>
      </c>
      <c r="AB818" t="n">
        <v>3</v>
      </c>
      <c r="AC818" t="n">
        <v>3</v>
      </c>
      <c r="AD818" t="n">
        <v>19</v>
      </c>
      <c r="AE818" t="n">
        <v>19</v>
      </c>
      <c r="AF818" t="n">
        <v>6</v>
      </c>
      <c r="AG818" t="n">
        <v>6</v>
      </c>
      <c r="AH818" t="n">
        <v>7</v>
      </c>
      <c r="AI818" t="n">
        <v>7</v>
      </c>
      <c r="AJ818" t="n">
        <v>11</v>
      </c>
      <c r="AK818" t="n">
        <v>11</v>
      </c>
      <c r="AL818" t="n">
        <v>2</v>
      </c>
      <c r="AM818" t="n">
        <v>2</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HYPERLINK("https://creighton-primo.hosted.exlibrisgroup.com/primo-explore/search?tab=default_tab&amp;search_scope=EVERYTHING&amp;vid=01CRU&amp;lang=en_US&amp;offset=0&amp;query=any,contains,991001725849702656","Catalog Record")</f>
        <v/>
      </c>
      <c r="AT818">
        <f>HYPERLINK("http://www.worldcat.org/oclc/21876167","WorldCat Record")</f>
        <v/>
      </c>
      <c r="AU818" t="inlineStr">
        <is>
          <t>1024604597:eng</t>
        </is>
      </c>
      <c r="AV818" t="inlineStr">
        <is>
          <t>21876167</t>
        </is>
      </c>
      <c r="AW818" t="inlineStr">
        <is>
          <t>991001725849702656</t>
        </is>
      </c>
      <c r="AX818" t="inlineStr">
        <is>
          <t>991001725849702656</t>
        </is>
      </c>
      <c r="AY818" t="inlineStr">
        <is>
          <t>2267271050002656</t>
        </is>
      </c>
      <c r="AZ818" t="inlineStr">
        <is>
          <t>BOOK</t>
        </is>
      </c>
      <c r="BB818" t="inlineStr">
        <is>
          <t>9780791406434</t>
        </is>
      </c>
      <c r="BC818" t="inlineStr">
        <is>
          <t>32285000863646</t>
        </is>
      </c>
      <c r="BD818" t="inlineStr">
        <is>
          <t>893609092</t>
        </is>
      </c>
    </row>
    <row r="819">
      <c r="A819" t="inlineStr">
        <is>
          <t>No</t>
        </is>
      </c>
      <c r="B819" t="inlineStr">
        <is>
          <t>GN497 .D57 1973</t>
        </is>
      </c>
      <c r="C819" t="inlineStr">
        <is>
          <t>0                      GN 0497000D  57          1973</t>
        </is>
      </c>
      <c r="D819" t="inlineStr">
        <is>
          <t>Warfare in primitive societies : a bibliography. --</t>
        </is>
      </c>
      <c r="F819" t="inlineStr">
        <is>
          <t>No</t>
        </is>
      </c>
      <c r="G819" t="inlineStr">
        <is>
          <t>1</t>
        </is>
      </c>
      <c r="H819" t="inlineStr">
        <is>
          <t>No</t>
        </is>
      </c>
      <c r="I819" t="inlineStr">
        <is>
          <t>No</t>
        </is>
      </c>
      <c r="J819" t="inlineStr">
        <is>
          <t>0</t>
        </is>
      </c>
      <c r="K819" t="inlineStr">
        <is>
          <t>Divale, William Tulio, 1942-</t>
        </is>
      </c>
      <c r="L819" t="inlineStr">
        <is>
          <t>Santa Barbara, Calif. : ABC-Clio, [c1973]</t>
        </is>
      </c>
      <c r="M819" t="inlineStr">
        <is>
          <t>1973</t>
        </is>
      </c>
      <c r="N819" t="inlineStr">
        <is>
          <t>[Rev. ed.]</t>
        </is>
      </c>
      <c r="O819" t="inlineStr">
        <is>
          <t>eng</t>
        </is>
      </c>
      <c r="P819" t="inlineStr">
        <is>
          <t>cau</t>
        </is>
      </c>
      <c r="Q819" t="inlineStr">
        <is>
          <t>War/peace bibliography series</t>
        </is>
      </c>
      <c r="R819" t="inlineStr">
        <is>
          <t xml:space="preserve">GN </t>
        </is>
      </c>
      <c r="S819" t="n">
        <v>1</v>
      </c>
      <c r="T819" t="n">
        <v>1</v>
      </c>
      <c r="U819" t="inlineStr">
        <is>
          <t>2004-01-05</t>
        </is>
      </c>
      <c r="V819" t="inlineStr">
        <is>
          <t>2004-01-05</t>
        </is>
      </c>
      <c r="W819" t="inlineStr">
        <is>
          <t>1990-09-27</t>
        </is>
      </c>
      <c r="X819" t="inlineStr">
        <is>
          <t>1990-09-27</t>
        </is>
      </c>
      <c r="Y819" t="n">
        <v>372</v>
      </c>
      <c r="Z819" t="n">
        <v>293</v>
      </c>
      <c r="AA819" t="n">
        <v>301</v>
      </c>
      <c r="AB819" t="n">
        <v>3</v>
      </c>
      <c r="AC819" t="n">
        <v>3</v>
      </c>
      <c r="AD819" t="n">
        <v>12</v>
      </c>
      <c r="AE819" t="n">
        <v>12</v>
      </c>
      <c r="AF819" t="n">
        <v>3</v>
      </c>
      <c r="AG819" t="n">
        <v>3</v>
      </c>
      <c r="AH819" t="n">
        <v>4</v>
      </c>
      <c r="AI819" t="n">
        <v>4</v>
      </c>
      <c r="AJ819" t="n">
        <v>6</v>
      </c>
      <c r="AK819" t="n">
        <v>6</v>
      </c>
      <c r="AL819" t="n">
        <v>2</v>
      </c>
      <c r="AM819" t="n">
        <v>2</v>
      </c>
      <c r="AN819" t="n">
        <v>0</v>
      </c>
      <c r="AO819" t="n">
        <v>0</v>
      </c>
      <c r="AP819" t="inlineStr">
        <is>
          <t>No</t>
        </is>
      </c>
      <c r="AQ819" t="inlineStr">
        <is>
          <t>Yes</t>
        </is>
      </c>
      <c r="AR819">
        <f>HYPERLINK("http://catalog.hathitrust.org/Record/001171171","HathiTrust Record")</f>
        <v/>
      </c>
      <c r="AS819">
        <f>HYPERLINK("https://creighton-primo.hosted.exlibrisgroup.com/primo-explore/search?tab=default_tab&amp;search_scope=EVERYTHING&amp;vid=01CRU&amp;lang=en_US&amp;offset=0&amp;query=any,contains,991003352909702656","Catalog Record")</f>
        <v/>
      </c>
      <c r="AT819">
        <f>HYPERLINK("http://www.worldcat.org/oclc/886192","WorldCat Record")</f>
        <v/>
      </c>
      <c r="AU819" t="inlineStr">
        <is>
          <t>66213469:eng</t>
        </is>
      </c>
      <c r="AV819" t="inlineStr">
        <is>
          <t>886192</t>
        </is>
      </c>
      <c r="AW819" t="inlineStr">
        <is>
          <t>991003352909702656</t>
        </is>
      </c>
      <c r="AX819" t="inlineStr">
        <is>
          <t>991003352909702656</t>
        </is>
      </c>
      <c r="AY819" t="inlineStr">
        <is>
          <t>2257253720002656</t>
        </is>
      </c>
      <c r="AZ819" t="inlineStr">
        <is>
          <t>BOOK</t>
        </is>
      </c>
      <c r="BB819" t="inlineStr">
        <is>
          <t>9780874361223</t>
        </is>
      </c>
      <c r="BC819" t="inlineStr">
        <is>
          <t>32285000316892</t>
        </is>
      </c>
      <c r="BD819" t="inlineStr">
        <is>
          <t>893524729</t>
        </is>
      </c>
    </row>
    <row r="820">
      <c r="A820" t="inlineStr">
        <is>
          <t>No</t>
        </is>
      </c>
      <c r="B820" t="inlineStr">
        <is>
          <t>GN502 .C74 1992</t>
        </is>
      </c>
      <c r="C820" t="inlineStr">
        <is>
          <t>0                      GN 0502000C  74          1992</t>
        </is>
      </c>
      <c r="D820" t="inlineStr">
        <is>
          <t>Hermes' dilemma and Hamlet's desire : on the epistemology of interpretation / Vincent Crapanzano.</t>
        </is>
      </c>
      <c r="F820" t="inlineStr">
        <is>
          <t>No</t>
        </is>
      </c>
      <c r="G820" t="inlineStr">
        <is>
          <t>1</t>
        </is>
      </c>
      <c r="H820" t="inlineStr">
        <is>
          <t>No</t>
        </is>
      </c>
      <c r="I820" t="inlineStr">
        <is>
          <t>No</t>
        </is>
      </c>
      <c r="J820" t="inlineStr">
        <is>
          <t>0</t>
        </is>
      </c>
      <c r="K820" t="inlineStr">
        <is>
          <t>Crapanzano, Vincent, 1939-</t>
        </is>
      </c>
      <c r="L820" t="inlineStr">
        <is>
          <t>Cambridge, Mass. : Harvard University Press, 1992.</t>
        </is>
      </c>
      <c r="M820" t="inlineStr">
        <is>
          <t>1992</t>
        </is>
      </c>
      <c r="O820" t="inlineStr">
        <is>
          <t>eng</t>
        </is>
      </c>
      <c r="P820" t="inlineStr">
        <is>
          <t>mau</t>
        </is>
      </c>
      <c r="R820" t="inlineStr">
        <is>
          <t xml:space="preserve">GN </t>
        </is>
      </c>
      <c r="S820" t="n">
        <v>2</v>
      </c>
      <c r="T820" t="n">
        <v>2</v>
      </c>
      <c r="U820" t="inlineStr">
        <is>
          <t>1999-06-18</t>
        </is>
      </c>
      <c r="V820" t="inlineStr">
        <is>
          <t>1999-06-18</t>
        </is>
      </c>
      <c r="W820" t="inlineStr">
        <is>
          <t>1994-04-25</t>
        </is>
      </c>
      <c r="X820" t="inlineStr">
        <is>
          <t>1994-04-25</t>
        </is>
      </c>
      <c r="Y820" t="n">
        <v>379</v>
      </c>
      <c r="Z820" t="n">
        <v>268</v>
      </c>
      <c r="AA820" t="n">
        <v>275</v>
      </c>
      <c r="AB820" t="n">
        <v>3</v>
      </c>
      <c r="AC820" t="n">
        <v>3</v>
      </c>
      <c r="AD820" t="n">
        <v>13</v>
      </c>
      <c r="AE820" t="n">
        <v>13</v>
      </c>
      <c r="AF820" t="n">
        <v>4</v>
      </c>
      <c r="AG820" t="n">
        <v>4</v>
      </c>
      <c r="AH820" t="n">
        <v>4</v>
      </c>
      <c r="AI820" t="n">
        <v>4</v>
      </c>
      <c r="AJ820" t="n">
        <v>8</v>
      </c>
      <c r="AK820" t="n">
        <v>8</v>
      </c>
      <c r="AL820" t="n">
        <v>2</v>
      </c>
      <c r="AM820" t="n">
        <v>2</v>
      </c>
      <c r="AN820" t="n">
        <v>0</v>
      </c>
      <c r="AO820" t="n">
        <v>0</v>
      </c>
      <c r="AP820" t="inlineStr">
        <is>
          <t>No</t>
        </is>
      </c>
      <c r="AQ820" t="inlineStr">
        <is>
          <t>Yes</t>
        </is>
      </c>
      <c r="AR820">
        <f>HYPERLINK("http://catalog.hathitrust.org/Record/002518436","HathiTrust Record")</f>
        <v/>
      </c>
      <c r="AS820">
        <f>HYPERLINK("https://creighton-primo.hosted.exlibrisgroup.com/primo-explore/search?tab=default_tab&amp;search_scope=EVERYTHING&amp;vid=01CRU&amp;lang=en_US&amp;offset=0&amp;query=any,contains,991001868679702656","Catalog Record")</f>
        <v/>
      </c>
      <c r="AT820">
        <f>HYPERLINK("http://www.worldcat.org/oclc/23582736","WorldCat Record")</f>
        <v/>
      </c>
      <c r="AU820" t="inlineStr">
        <is>
          <t>793171092:eng</t>
        </is>
      </c>
      <c r="AV820" t="inlineStr">
        <is>
          <t>23582736</t>
        </is>
      </c>
      <c r="AW820" t="inlineStr">
        <is>
          <t>991001868679702656</t>
        </is>
      </c>
      <c r="AX820" t="inlineStr">
        <is>
          <t>991001868679702656</t>
        </is>
      </c>
      <c r="AY820" t="inlineStr">
        <is>
          <t>2255697320002656</t>
        </is>
      </c>
      <c r="AZ820" t="inlineStr">
        <is>
          <t>BOOK</t>
        </is>
      </c>
      <c r="BB820" t="inlineStr">
        <is>
          <t>9780674389816</t>
        </is>
      </c>
      <c r="BC820" t="inlineStr">
        <is>
          <t>32285001877306</t>
        </is>
      </c>
      <c r="BD820" t="inlineStr">
        <is>
          <t>893250564</t>
        </is>
      </c>
    </row>
    <row r="821">
      <c r="A821" t="inlineStr">
        <is>
          <t>No</t>
        </is>
      </c>
      <c r="B821" t="inlineStr">
        <is>
          <t>GN502 .C76 1992</t>
        </is>
      </c>
      <c r="C821" t="inlineStr">
        <is>
          <t>0                      GN 0502000C  76          1992</t>
        </is>
      </c>
      <c r="D821" t="inlineStr">
        <is>
          <t>Cross-cultural psychology : research and applications / John W. Berry ...[et al.].</t>
        </is>
      </c>
      <c r="F821" t="inlineStr">
        <is>
          <t>No</t>
        </is>
      </c>
      <c r="G821" t="inlineStr">
        <is>
          <t>1</t>
        </is>
      </c>
      <c r="H821" t="inlineStr">
        <is>
          <t>No</t>
        </is>
      </c>
      <c r="I821" t="inlineStr">
        <is>
          <t>No</t>
        </is>
      </c>
      <c r="J821" t="inlineStr">
        <is>
          <t>0</t>
        </is>
      </c>
      <c r="L821" t="inlineStr">
        <is>
          <t>Cambridge [England] ; New York : Cambridge University Press, 1992.</t>
        </is>
      </c>
      <c r="M821" t="inlineStr">
        <is>
          <t>1992</t>
        </is>
      </c>
      <c r="O821" t="inlineStr">
        <is>
          <t>eng</t>
        </is>
      </c>
      <c r="P821" t="inlineStr">
        <is>
          <t>enk</t>
        </is>
      </c>
      <c r="R821" t="inlineStr">
        <is>
          <t xml:space="preserve">GN </t>
        </is>
      </c>
      <c r="S821" t="n">
        <v>12</v>
      </c>
      <c r="T821" t="n">
        <v>12</v>
      </c>
      <c r="U821" t="inlineStr">
        <is>
          <t>1998-03-21</t>
        </is>
      </c>
      <c r="V821" t="inlineStr">
        <is>
          <t>1998-03-21</t>
        </is>
      </c>
      <c r="W821" t="inlineStr">
        <is>
          <t>1994-08-03</t>
        </is>
      </c>
      <c r="X821" t="inlineStr">
        <is>
          <t>1994-08-03</t>
        </is>
      </c>
      <c r="Y821" t="n">
        <v>752</v>
      </c>
      <c r="Z821" t="n">
        <v>564</v>
      </c>
      <c r="AA821" t="n">
        <v>977</v>
      </c>
      <c r="AB821" t="n">
        <v>9</v>
      </c>
      <c r="AC821" t="n">
        <v>33</v>
      </c>
      <c r="AD821" t="n">
        <v>36</v>
      </c>
      <c r="AE821" t="n">
        <v>48</v>
      </c>
      <c r="AF821" t="n">
        <v>15</v>
      </c>
      <c r="AG821" t="n">
        <v>19</v>
      </c>
      <c r="AH821" t="n">
        <v>6</v>
      </c>
      <c r="AI821" t="n">
        <v>6</v>
      </c>
      <c r="AJ821" t="n">
        <v>16</v>
      </c>
      <c r="AK821" t="n">
        <v>18</v>
      </c>
      <c r="AL821" t="n">
        <v>8</v>
      </c>
      <c r="AM821" t="n">
        <v>14</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HYPERLINK("https://creighton-primo.hosted.exlibrisgroup.com/primo-explore/search?tab=default_tab&amp;search_scope=EVERYTHING&amp;vid=01CRU&amp;lang=en_US&amp;offset=0&amp;query=any,contains,991001877439702656","Catalog Record")</f>
        <v/>
      </c>
      <c r="AT821">
        <f>HYPERLINK("http://www.worldcat.org/oclc/23690593","WorldCat Record")</f>
        <v/>
      </c>
      <c r="AU821" t="inlineStr">
        <is>
          <t>793967230:eng</t>
        </is>
      </c>
      <c r="AV821" t="inlineStr">
        <is>
          <t>23690593</t>
        </is>
      </c>
      <c r="AW821" t="inlineStr">
        <is>
          <t>991001877439702656</t>
        </is>
      </c>
      <c r="AX821" t="inlineStr">
        <is>
          <t>991001877439702656</t>
        </is>
      </c>
      <c r="AY821" t="inlineStr">
        <is>
          <t>2261127890002656</t>
        </is>
      </c>
      <c r="AZ821" t="inlineStr">
        <is>
          <t>BOOK</t>
        </is>
      </c>
      <c r="BB821" t="inlineStr">
        <is>
          <t>9780521373876</t>
        </is>
      </c>
      <c r="BC821" t="inlineStr">
        <is>
          <t>32285001941201</t>
        </is>
      </c>
      <c r="BD821" t="inlineStr">
        <is>
          <t>893596800</t>
        </is>
      </c>
    </row>
    <row r="822">
      <c r="A822" t="inlineStr">
        <is>
          <t>No</t>
        </is>
      </c>
      <c r="B822" t="inlineStr">
        <is>
          <t>GN502 .H36</t>
        </is>
      </c>
      <c r="C822" t="inlineStr">
        <is>
          <t>0                      GN 0502000H  36</t>
        </is>
      </c>
      <c r="D822" t="inlineStr">
        <is>
          <t>Handbook of cross-cultural psychology.</t>
        </is>
      </c>
      <c r="E822" t="inlineStr">
        <is>
          <t>V.2</t>
        </is>
      </c>
      <c r="F822" t="inlineStr">
        <is>
          <t>Yes</t>
        </is>
      </c>
      <c r="G822" t="inlineStr">
        <is>
          <t>1</t>
        </is>
      </c>
      <c r="H822" t="inlineStr">
        <is>
          <t>No</t>
        </is>
      </c>
      <c r="I822" t="inlineStr">
        <is>
          <t>No</t>
        </is>
      </c>
      <c r="J822" t="inlineStr">
        <is>
          <t>0</t>
        </is>
      </c>
      <c r="L822" t="inlineStr">
        <is>
          <t>Boston : Allyn and Bacon, c1980-1981.</t>
        </is>
      </c>
      <c r="M822" t="inlineStr">
        <is>
          <t>1980</t>
        </is>
      </c>
      <c r="O822" t="inlineStr">
        <is>
          <t>eng</t>
        </is>
      </c>
      <c r="P822" t="inlineStr">
        <is>
          <t>mau</t>
        </is>
      </c>
      <c r="R822" t="inlineStr">
        <is>
          <t xml:space="preserve">GN </t>
        </is>
      </c>
      <c r="S822" t="n">
        <v>1</v>
      </c>
      <c r="T822" t="n">
        <v>18</v>
      </c>
      <c r="V822" t="inlineStr">
        <is>
          <t>1997-11-08</t>
        </is>
      </c>
      <c r="W822" t="inlineStr">
        <is>
          <t>1990-09-27</t>
        </is>
      </c>
      <c r="X822" t="inlineStr">
        <is>
          <t>1990-09-27</t>
        </is>
      </c>
      <c r="Y822" t="n">
        <v>961</v>
      </c>
      <c r="Z822" t="n">
        <v>809</v>
      </c>
      <c r="AA822" t="n">
        <v>812</v>
      </c>
      <c r="AB822" t="n">
        <v>9</v>
      </c>
      <c r="AC822" t="n">
        <v>9</v>
      </c>
      <c r="AD822" t="n">
        <v>41</v>
      </c>
      <c r="AE822" t="n">
        <v>41</v>
      </c>
      <c r="AF822" t="n">
        <v>18</v>
      </c>
      <c r="AG822" t="n">
        <v>18</v>
      </c>
      <c r="AH822" t="n">
        <v>9</v>
      </c>
      <c r="AI822" t="n">
        <v>9</v>
      </c>
      <c r="AJ822" t="n">
        <v>19</v>
      </c>
      <c r="AK822" t="n">
        <v>19</v>
      </c>
      <c r="AL822" t="n">
        <v>7</v>
      </c>
      <c r="AM822" t="n">
        <v>7</v>
      </c>
      <c r="AN822" t="n">
        <v>0</v>
      </c>
      <c r="AO822" t="n">
        <v>0</v>
      </c>
      <c r="AP822" t="inlineStr">
        <is>
          <t>No</t>
        </is>
      </c>
      <c r="AQ822" t="inlineStr">
        <is>
          <t>Yes</t>
        </is>
      </c>
      <c r="AR822">
        <f>HYPERLINK("http://catalog.hathitrust.org/Record/000734019","HathiTrust Record")</f>
        <v/>
      </c>
      <c r="AS822">
        <f>HYPERLINK("https://creighton-primo.hosted.exlibrisgroup.com/primo-explore/search?tab=default_tab&amp;search_scope=EVERYTHING&amp;vid=01CRU&amp;lang=en_US&amp;offset=0&amp;query=any,contains,991005145659702656","Catalog Record")</f>
        <v/>
      </c>
      <c r="AT822">
        <f>HYPERLINK("http://www.worldcat.org/oclc/5298251","WorldCat Record")</f>
        <v/>
      </c>
      <c r="AU822" t="inlineStr">
        <is>
          <t>3945616111:eng</t>
        </is>
      </c>
      <c r="AV822" t="inlineStr">
        <is>
          <t>5298251</t>
        </is>
      </c>
      <c r="AW822" t="inlineStr">
        <is>
          <t>991005145659702656</t>
        </is>
      </c>
      <c r="AX822" t="inlineStr">
        <is>
          <t>991005145659702656</t>
        </is>
      </c>
      <c r="AY822" t="inlineStr">
        <is>
          <t>2259318600002656</t>
        </is>
      </c>
      <c r="AZ822" t="inlineStr">
        <is>
          <t>BOOK</t>
        </is>
      </c>
      <c r="BB822" t="inlineStr">
        <is>
          <t>9780205064977</t>
        </is>
      </c>
      <c r="BC822" t="inlineStr">
        <is>
          <t>32285000316918</t>
        </is>
      </c>
      <c r="BD822" t="inlineStr">
        <is>
          <t>893350804</t>
        </is>
      </c>
    </row>
    <row r="823">
      <c r="A823" t="inlineStr">
        <is>
          <t>No</t>
        </is>
      </c>
      <c r="B823" t="inlineStr">
        <is>
          <t>GN502 .H36</t>
        </is>
      </c>
      <c r="C823" t="inlineStr">
        <is>
          <t>0                      GN 0502000H  36</t>
        </is>
      </c>
      <c r="D823" t="inlineStr">
        <is>
          <t>Handbook of cross-cultural psychology.</t>
        </is>
      </c>
      <c r="E823" t="inlineStr">
        <is>
          <t>V.3</t>
        </is>
      </c>
      <c r="F823" t="inlineStr">
        <is>
          <t>Yes</t>
        </is>
      </c>
      <c r="G823" t="inlineStr">
        <is>
          <t>1</t>
        </is>
      </c>
      <c r="H823" t="inlineStr">
        <is>
          <t>No</t>
        </is>
      </c>
      <c r="I823" t="inlineStr">
        <is>
          <t>No</t>
        </is>
      </c>
      <c r="J823" t="inlineStr">
        <is>
          <t>0</t>
        </is>
      </c>
      <c r="L823" t="inlineStr">
        <is>
          <t>Boston : Allyn and Bacon, c1980-1981.</t>
        </is>
      </c>
      <c r="M823" t="inlineStr">
        <is>
          <t>1980</t>
        </is>
      </c>
      <c r="O823" t="inlineStr">
        <is>
          <t>eng</t>
        </is>
      </c>
      <c r="P823" t="inlineStr">
        <is>
          <t>mau</t>
        </is>
      </c>
      <c r="R823" t="inlineStr">
        <is>
          <t xml:space="preserve">GN </t>
        </is>
      </c>
      <c r="S823" t="n">
        <v>2</v>
      </c>
      <c r="T823" t="n">
        <v>18</v>
      </c>
      <c r="U823" t="inlineStr">
        <is>
          <t>1994-11-14</t>
        </is>
      </c>
      <c r="V823" t="inlineStr">
        <is>
          <t>1997-11-08</t>
        </is>
      </c>
      <c r="W823" t="inlineStr">
        <is>
          <t>1990-09-27</t>
        </is>
      </c>
      <c r="X823" t="inlineStr">
        <is>
          <t>1990-09-27</t>
        </is>
      </c>
      <c r="Y823" t="n">
        <v>961</v>
      </c>
      <c r="Z823" t="n">
        <v>809</v>
      </c>
      <c r="AA823" t="n">
        <v>812</v>
      </c>
      <c r="AB823" t="n">
        <v>9</v>
      </c>
      <c r="AC823" t="n">
        <v>9</v>
      </c>
      <c r="AD823" t="n">
        <v>41</v>
      </c>
      <c r="AE823" t="n">
        <v>41</v>
      </c>
      <c r="AF823" t="n">
        <v>18</v>
      </c>
      <c r="AG823" t="n">
        <v>18</v>
      </c>
      <c r="AH823" t="n">
        <v>9</v>
      </c>
      <c r="AI823" t="n">
        <v>9</v>
      </c>
      <c r="AJ823" t="n">
        <v>19</v>
      </c>
      <c r="AK823" t="n">
        <v>19</v>
      </c>
      <c r="AL823" t="n">
        <v>7</v>
      </c>
      <c r="AM823" t="n">
        <v>7</v>
      </c>
      <c r="AN823" t="n">
        <v>0</v>
      </c>
      <c r="AO823" t="n">
        <v>0</v>
      </c>
      <c r="AP823" t="inlineStr">
        <is>
          <t>No</t>
        </is>
      </c>
      <c r="AQ823" t="inlineStr">
        <is>
          <t>Yes</t>
        </is>
      </c>
      <c r="AR823">
        <f>HYPERLINK("http://catalog.hathitrust.org/Record/000734019","HathiTrust Record")</f>
        <v/>
      </c>
      <c r="AS823">
        <f>HYPERLINK("https://creighton-primo.hosted.exlibrisgroup.com/primo-explore/search?tab=default_tab&amp;search_scope=EVERYTHING&amp;vid=01CRU&amp;lang=en_US&amp;offset=0&amp;query=any,contains,991005145659702656","Catalog Record")</f>
        <v/>
      </c>
      <c r="AT823">
        <f>HYPERLINK("http://www.worldcat.org/oclc/5298251","WorldCat Record")</f>
        <v/>
      </c>
      <c r="AU823" t="inlineStr">
        <is>
          <t>3945616111:eng</t>
        </is>
      </c>
      <c r="AV823" t="inlineStr">
        <is>
          <t>5298251</t>
        </is>
      </c>
      <c r="AW823" t="inlineStr">
        <is>
          <t>991005145659702656</t>
        </is>
      </c>
      <c r="AX823" t="inlineStr">
        <is>
          <t>991005145659702656</t>
        </is>
      </c>
      <c r="AY823" t="inlineStr">
        <is>
          <t>2259318600002656</t>
        </is>
      </c>
      <c r="AZ823" t="inlineStr">
        <is>
          <t>BOOK</t>
        </is>
      </c>
      <c r="BB823" t="inlineStr">
        <is>
          <t>9780205064977</t>
        </is>
      </c>
      <c r="BC823" t="inlineStr">
        <is>
          <t>32285000316926</t>
        </is>
      </c>
      <c r="BD823" t="inlineStr">
        <is>
          <t>893344714</t>
        </is>
      </c>
    </row>
    <row r="824">
      <c r="A824" t="inlineStr">
        <is>
          <t>No</t>
        </is>
      </c>
      <c r="B824" t="inlineStr">
        <is>
          <t>GN502 .H36</t>
        </is>
      </c>
      <c r="C824" t="inlineStr">
        <is>
          <t>0                      GN 0502000H  36</t>
        </is>
      </c>
      <c r="D824" t="inlineStr">
        <is>
          <t>Handbook of cross-cultural psychology.</t>
        </is>
      </c>
      <c r="E824" t="inlineStr">
        <is>
          <t>V.1</t>
        </is>
      </c>
      <c r="F824" t="inlineStr">
        <is>
          <t>Yes</t>
        </is>
      </c>
      <c r="G824" t="inlineStr">
        <is>
          <t>1</t>
        </is>
      </c>
      <c r="H824" t="inlineStr">
        <is>
          <t>No</t>
        </is>
      </c>
      <c r="I824" t="inlineStr">
        <is>
          <t>No</t>
        </is>
      </c>
      <c r="J824" t="inlineStr">
        <is>
          <t>0</t>
        </is>
      </c>
      <c r="L824" t="inlineStr">
        <is>
          <t>Boston : Allyn and Bacon, c1980-1981.</t>
        </is>
      </c>
      <c r="M824" t="inlineStr">
        <is>
          <t>1980</t>
        </is>
      </c>
      <c r="O824" t="inlineStr">
        <is>
          <t>eng</t>
        </is>
      </c>
      <c r="P824" t="inlineStr">
        <is>
          <t>mau</t>
        </is>
      </c>
      <c r="R824" t="inlineStr">
        <is>
          <t xml:space="preserve">GN </t>
        </is>
      </c>
      <c r="S824" t="n">
        <v>0</v>
      </c>
      <c r="T824" t="n">
        <v>18</v>
      </c>
      <c r="V824" t="inlineStr">
        <is>
          <t>1997-11-08</t>
        </is>
      </c>
      <c r="W824" t="inlineStr">
        <is>
          <t>1990-09-27</t>
        </is>
      </c>
      <c r="X824" t="inlineStr">
        <is>
          <t>1990-09-27</t>
        </is>
      </c>
      <c r="Y824" t="n">
        <v>961</v>
      </c>
      <c r="Z824" t="n">
        <v>809</v>
      </c>
      <c r="AA824" t="n">
        <v>812</v>
      </c>
      <c r="AB824" t="n">
        <v>9</v>
      </c>
      <c r="AC824" t="n">
        <v>9</v>
      </c>
      <c r="AD824" t="n">
        <v>41</v>
      </c>
      <c r="AE824" t="n">
        <v>41</v>
      </c>
      <c r="AF824" t="n">
        <v>18</v>
      </c>
      <c r="AG824" t="n">
        <v>18</v>
      </c>
      <c r="AH824" t="n">
        <v>9</v>
      </c>
      <c r="AI824" t="n">
        <v>9</v>
      </c>
      <c r="AJ824" t="n">
        <v>19</v>
      </c>
      <c r="AK824" t="n">
        <v>19</v>
      </c>
      <c r="AL824" t="n">
        <v>7</v>
      </c>
      <c r="AM824" t="n">
        <v>7</v>
      </c>
      <c r="AN824" t="n">
        <v>0</v>
      </c>
      <c r="AO824" t="n">
        <v>0</v>
      </c>
      <c r="AP824" t="inlineStr">
        <is>
          <t>No</t>
        </is>
      </c>
      <c r="AQ824" t="inlineStr">
        <is>
          <t>Yes</t>
        </is>
      </c>
      <c r="AR824">
        <f>HYPERLINK("http://catalog.hathitrust.org/Record/000734019","HathiTrust Record")</f>
        <v/>
      </c>
      <c r="AS824">
        <f>HYPERLINK("https://creighton-primo.hosted.exlibrisgroup.com/primo-explore/search?tab=default_tab&amp;search_scope=EVERYTHING&amp;vid=01CRU&amp;lang=en_US&amp;offset=0&amp;query=any,contains,991005145659702656","Catalog Record")</f>
        <v/>
      </c>
      <c r="AT824">
        <f>HYPERLINK("http://www.worldcat.org/oclc/5298251","WorldCat Record")</f>
        <v/>
      </c>
      <c r="AU824" t="inlineStr">
        <is>
          <t>3945616111:eng</t>
        </is>
      </c>
      <c r="AV824" t="inlineStr">
        <is>
          <t>5298251</t>
        </is>
      </c>
      <c r="AW824" t="inlineStr">
        <is>
          <t>991005145659702656</t>
        </is>
      </c>
      <c r="AX824" t="inlineStr">
        <is>
          <t>991005145659702656</t>
        </is>
      </c>
      <c r="AY824" t="inlineStr">
        <is>
          <t>2259318600002656</t>
        </is>
      </c>
      <c r="AZ824" t="inlineStr">
        <is>
          <t>BOOK</t>
        </is>
      </c>
      <c r="BB824" t="inlineStr">
        <is>
          <t>9780205064977</t>
        </is>
      </c>
      <c r="BC824" t="inlineStr">
        <is>
          <t>32285000316900</t>
        </is>
      </c>
      <c r="BD824" t="inlineStr">
        <is>
          <t>893350805</t>
        </is>
      </c>
    </row>
    <row r="825">
      <c r="A825" t="inlineStr">
        <is>
          <t>No</t>
        </is>
      </c>
      <c r="B825" t="inlineStr">
        <is>
          <t>GN502 .H36</t>
        </is>
      </c>
      <c r="C825" t="inlineStr">
        <is>
          <t>0                      GN 0502000H  36</t>
        </is>
      </c>
      <c r="D825" t="inlineStr">
        <is>
          <t>Handbook of cross-cultural psychology.</t>
        </is>
      </c>
      <c r="E825" t="inlineStr">
        <is>
          <t>V.4</t>
        </is>
      </c>
      <c r="F825" t="inlineStr">
        <is>
          <t>Yes</t>
        </is>
      </c>
      <c r="G825" t="inlineStr">
        <is>
          <t>1</t>
        </is>
      </c>
      <c r="H825" t="inlineStr">
        <is>
          <t>No</t>
        </is>
      </c>
      <c r="I825" t="inlineStr">
        <is>
          <t>No</t>
        </is>
      </c>
      <c r="J825" t="inlineStr">
        <is>
          <t>0</t>
        </is>
      </c>
      <c r="L825" t="inlineStr">
        <is>
          <t>Boston : Allyn and Bacon, c1980-1981.</t>
        </is>
      </c>
      <c r="M825" t="inlineStr">
        <is>
          <t>1980</t>
        </is>
      </c>
      <c r="O825" t="inlineStr">
        <is>
          <t>eng</t>
        </is>
      </c>
      <c r="P825" t="inlineStr">
        <is>
          <t>mau</t>
        </is>
      </c>
      <c r="R825" t="inlineStr">
        <is>
          <t xml:space="preserve">GN </t>
        </is>
      </c>
      <c r="S825" t="n">
        <v>3</v>
      </c>
      <c r="T825" t="n">
        <v>18</v>
      </c>
      <c r="U825" t="inlineStr">
        <is>
          <t>1997-11-08</t>
        </is>
      </c>
      <c r="V825" t="inlineStr">
        <is>
          <t>1997-11-08</t>
        </is>
      </c>
      <c r="W825" t="inlineStr">
        <is>
          <t>1990-09-27</t>
        </is>
      </c>
      <c r="X825" t="inlineStr">
        <is>
          <t>1990-09-27</t>
        </is>
      </c>
      <c r="Y825" t="n">
        <v>961</v>
      </c>
      <c r="Z825" t="n">
        <v>809</v>
      </c>
      <c r="AA825" t="n">
        <v>812</v>
      </c>
      <c r="AB825" t="n">
        <v>9</v>
      </c>
      <c r="AC825" t="n">
        <v>9</v>
      </c>
      <c r="AD825" t="n">
        <v>41</v>
      </c>
      <c r="AE825" t="n">
        <v>41</v>
      </c>
      <c r="AF825" t="n">
        <v>18</v>
      </c>
      <c r="AG825" t="n">
        <v>18</v>
      </c>
      <c r="AH825" t="n">
        <v>9</v>
      </c>
      <c r="AI825" t="n">
        <v>9</v>
      </c>
      <c r="AJ825" t="n">
        <v>19</v>
      </c>
      <c r="AK825" t="n">
        <v>19</v>
      </c>
      <c r="AL825" t="n">
        <v>7</v>
      </c>
      <c r="AM825" t="n">
        <v>7</v>
      </c>
      <c r="AN825" t="n">
        <v>0</v>
      </c>
      <c r="AO825" t="n">
        <v>0</v>
      </c>
      <c r="AP825" t="inlineStr">
        <is>
          <t>No</t>
        </is>
      </c>
      <c r="AQ825" t="inlineStr">
        <is>
          <t>Yes</t>
        </is>
      </c>
      <c r="AR825">
        <f>HYPERLINK("http://catalog.hathitrust.org/Record/000734019","HathiTrust Record")</f>
        <v/>
      </c>
      <c r="AS825">
        <f>HYPERLINK("https://creighton-primo.hosted.exlibrisgroup.com/primo-explore/search?tab=default_tab&amp;search_scope=EVERYTHING&amp;vid=01CRU&amp;lang=en_US&amp;offset=0&amp;query=any,contains,991005145659702656","Catalog Record")</f>
        <v/>
      </c>
      <c r="AT825">
        <f>HYPERLINK("http://www.worldcat.org/oclc/5298251","WorldCat Record")</f>
        <v/>
      </c>
      <c r="AU825" t="inlineStr">
        <is>
          <t>3945616111:eng</t>
        </is>
      </c>
      <c r="AV825" t="inlineStr">
        <is>
          <t>5298251</t>
        </is>
      </c>
      <c r="AW825" t="inlineStr">
        <is>
          <t>991005145659702656</t>
        </is>
      </c>
      <c r="AX825" t="inlineStr">
        <is>
          <t>991005145659702656</t>
        </is>
      </c>
      <c r="AY825" t="inlineStr">
        <is>
          <t>2259318600002656</t>
        </is>
      </c>
      <c r="AZ825" t="inlineStr">
        <is>
          <t>BOOK</t>
        </is>
      </c>
      <c r="BB825" t="inlineStr">
        <is>
          <t>9780205064977</t>
        </is>
      </c>
      <c r="BC825" t="inlineStr">
        <is>
          <t>32285000316934</t>
        </is>
      </c>
      <c r="BD825" t="inlineStr">
        <is>
          <t>893350806</t>
        </is>
      </c>
    </row>
    <row r="826">
      <c r="A826" t="inlineStr">
        <is>
          <t>No</t>
        </is>
      </c>
      <c r="B826" t="inlineStr">
        <is>
          <t>GN502 .H36</t>
        </is>
      </c>
      <c r="C826" t="inlineStr">
        <is>
          <t>0                      GN 0502000H  36</t>
        </is>
      </c>
      <c r="D826" t="inlineStr">
        <is>
          <t>Handbook of cross-cultural psychology.</t>
        </is>
      </c>
      <c r="E826" t="inlineStr">
        <is>
          <t>V.6</t>
        </is>
      </c>
      <c r="F826" t="inlineStr">
        <is>
          <t>Yes</t>
        </is>
      </c>
      <c r="G826" t="inlineStr">
        <is>
          <t>1</t>
        </is>
      </c>
      <c r="H826" t="inlineStr">
        <is>
          <t>No</t>
        </is>
      </c>
      <c r="I826" t="inlineStr">
        <is>
          <t>No</t>
        </is>
      </c>
      <c r="J826" t="inlineStr">
        <is>
          <t>0</t>
        </is>
      </c>
      <c r="L826" t="inlineStr">
        <is>
          <t>Boston : Allyn and Bacon, c1980-1981.</t>
        </is>
      </c>
      <c r="M826" t="inlineStr">
        <is>
          <t>1980</t>
        </is>
      </c>
      <c r="O826" t="inlineStr">
        <is>
          <t>eng</t>
        </is>
      </c>
      <c r="P826" t="inlineStr">
        <is>
          <t>mau</t>
        </is>
      </c>
      <c r="R826" t="inlineStr">
        <is>
          <t xml:space="preserve">GN </t>
        </is>
      </c>
      <c r="S826" t="n">
        <v>7</v>
      </c>
      <c r="T826" t="n">
        <v>18</v>
      </c>
      <c r="U826" t="inlineStr">
        <is>
          <t>1997-11-05</t>
        </is>
      </c>
      <c r="V826" t="inlineStr">
        <is>
          <t>1997-11-08</t>
        </is>
      </c>
      <c r="W826" t="inlineStr">
        <is>
          <t>1990-09-27</t>
        </is>
      </c>
      <c r="X826" t="inlineStr">
        <is>
          <t>1990-09-27</t>
        </is>
      </c>
      <c r="Y826" t="n">
        <v>961</v>
      </c>
      <c r="Z826" t="n">
        <v>809</v>
      </c>
      <c r="AA826" t="n">
        <v>812</v>
      </c>
      <c r="AB826" t="n">
        <v>9</v>
      </c>
      <c r="AC826" t="n">
        <v>9</v>
      </c>
      <c r="AD826" t="n">
        <v>41</v>
      </c>
      <c r="AE826" t="n">
        <v>41</v>
      </c>
      <c r="AF826" t="n">
        <v>18</v>
      </c>
      <c r="AG826" t="n">
        <v>18</v>
      </c>
      <c r="AH826" t="n">
        <v>9</v>
      </c>
      <c r="AI826" t="n">
        <v>9</v>
      </c>
      <c r="AJ826" t="n">
        <v>19</v>
      </c>
      <c r="AK826" t="n">
        <v>19</v>
      </c>
      <c r="AL826" t="n">
        <v>7</v>
      </c>
      <c r="AM826" t="n">
        <v>7</v>
      </c>
      <c r="AN826" t="n">
        <v>0</v>
      </c>
      <c r="AO826" t="n">
        <v>0</v>
      </c>
      <c r="AP826" t="inlineStr">
        <is>
          <t>No</t>
        </is>
      </c>
      <c r="AQ826" t="inlineStr">
        <is>
          <t>Yes</t>
        </is>
      </c>
      <c r="AR826">
        <f>HYPERLINK("http://catalog.hathitrust.org/Record/000734019","HathiTrust Record")</f>
        <v/>
      </c>
      <c r="AS826">
        <f>HYPERLINK("https://creighton-primo.hosted.exlibrisgroup.com/primo-explore/search?tab=default_tab&amp;search_scope=EVERYTHING&amp;vid=01CRU&amp;lang=en_US&amp;offset=0&amp;query=any,contains,991005145659702656","Catalog Record")</f>
        <v/>
      </c>
      <c r="AT826">
        <f>HYPERLINK("http://www.worldcat.org/oclc/5298251","WorldCat Record")</f>
        <v/>
      </c>
      <c r="AU826" t="inlineStr">
        <is>
          <t>3945616111:eng</t>
        </is>
      </c>
      <c r="AV826" t="inlineStr">
        <is>
          <t>5298251</t>
        </is>
      </c>
      <c r="AW826" t="inlineStr">
        <is>
          <t>991005145659702656</t>
        </is>
      </c>
      <c r="AX826" t="inlineStr">
        <is>
          <t>991005145659702656</t>
        </is>
      </c>
      <c r="AY826" t="inlineStr">
        <is>
          <t>2259318600002656</t>
        </is>
      </c>
      <c r="AZ826" t="inlineStr">
        <is>
          <t>BOOK</t>
        </is>
      </c>
      <c r="BB826" t="inlineStr">
        <is>
          <t>9780205064977</t>
        </is>
      </c>
      <c r="BC826" t="inlineStr">
        <is>
          <t>32285000316959</t>
        </is>
      </c>
      <c r="BD826" t="inlineStr">
        <is>
          <t>893350803</t>
        </is>
      </c>
    </row>
    <row r="827">
      <c r="A827" t="inlineStr">
        <is>
          <t>No</t>
        </is>
      </c>
      <c r="B827" t="inlineStr">
        <is>
          <t>GN502 .H36</t>
        </is>
      </c>
      <c r="C827" t="inlineStr">
        <is>
          <t>0                      GN 0502000H  36</t>
        </is>
      </c>
      <c r="D827" t="inlineStr">
        <is>
          <t>Handbook of cross-cultural psychology.</t>
        </is>
      </c>
      <c r="E827" t="inlineStr">
        <is>
          <t>V.5</t>
        </is>
      </c>
      <c r="F827" t="inlineStr">
        <is>
          <t>Yes</t>
        </is>
      </c>
      <c r="G827" t="inlineStr">
        <is>
          <t>1</t>
        </is>
      </c>
      <c r="H827" t="inlineStr">
        <is>
          <t>No</t>
        </is>
      </c>
      <c r="I827" t="inlineStr">
        <is>
          <t>No</t>
        </is>
      </c>
      <c r="J827" t="inlineStr">
        <is>
          <t>0</t>
        </is>
      </c>
      <c r="L827" t="inlineStr">
        <is>
          <t>Boston : Allyn and Bacon, c1980-1981.</t>
        </is>
      </c>
      <c r="M827" t="inlineStr">
        <is>
          <t>1980</t>
        </is>
      </c>
      <c r="O827" t="inlineStr">
        <is>
          <t>eng</t>
        </is>
      </c>
      <c r="P827" t="inlineStr">
        <is>
          <t>mau</t>
        </is>
      </c>
      <c r="R827" t="inlineStr">
        <is>
          <t xml:space="preserve">GN </t>
        </is>
      </c>
      <c r="S827" t="n">
        <v>5</v>
      </c>
      <c r="T827" t="n">
        <v>18</v>
      </c>
      <c r="U827" t="inlineStr">
        <is>
          <t>1994-12-05</t>
        </is>
      </c>
      <c r="V827" t="inlineStr">
        <is>
          <t>1997-11-08</t>
        </is>
      </c>
      <c r="W827" t="inlineStr">
        <is>
          <t>1990-09-27</t>
        </is>
      </c>
      <c r="X827" t="inlineStr">
        <is>
          <t>1990-09-27</t>
        </is>
      </c>
      <c r="Y827" t="n">
        <v>961</v>
      </c>
      <c r="Z827" t="n">
        <v>809</v>
      </c>
      <c r="AA827" t="n">
        <v>812</v>
      </c>
      <c r="AB827" t="n">
        <v>9</v>
      </c>
      <c r="AC827" t="n">
        <v>9</v>
      </c>
      <c r="AD827" t="n">
        <v>41</v>
      </c>
      <c r="AE827" t="n">
        <v>41</v>
      </c>
      <c r="AF827" t="n">
        <v>18</v>
      </c>
      <c r="AG827" t="n">
        <v>18</v>
      </c>
      <c r="AH827" t="n">
        <v>9</v>
      </c>
      <c r="AI827" t="n">
        <v>9</v>
      </c>
      <c r="AJ827" t="n">
        <v>19</v>
      </c>
      <c r="AK827" t="n">
        <v>19</v>
      </c>
      <c r="AL827" t="n">
        <v>7</v>
      </c>
      <c r="AM827" t="n">
        <v>7</v>
      </c>
      <c r="AN827" t="n">
        <v>0</v>
      </c>
      <c r="AO827" t="n">
        <v>0</v>
      </c>
      <c r="AP827" t="inlineStr">
        <is>
          <t>No</t>
        </is>
      </c>
      <c r="AQ827" t="inlineStr">
        <is>
          <t>Yes</t>
        </is>
      </c>
      <c r="AR827">
        <f>HYPERLINK("http://catalog.hathitrust.org/Record/000734019","HathiTrust Record")</f>
        <v/>
      </c>
      <c r="AS827">
        <f>HYPERLINK("https://creighton-primo.hosted.exlibrisgroup.com/primo-explore/search?tab=default_tab&amp;search_scope=EVERYTHING&amp;vid=01CRU&amp;lang=en_US&amp;offset=0&amp;query=any,contains,991005145659702656","Catalog Record")</f>
        <v/>
      </c>
      <c r="AT827">
        <f>HYPERLINK("http://www.worldcat.org/oclc/5298251","WorldCat Record")</f>
        <v/>
      </c>
      <c r="AU827" t="inlineStr">
        <is>
          <t>3945616111:eng</t>
        </is>
      </c>
      <c r="AV827" t="inlineStr">
        <is>
          <t>5298251</t>
        </is>
      </c>
      <c r="AW827" t="inlineStr">
        <is>
          <t>991005145659702656</t>
        </is>
      </c>
      <c r="AX827" t="inlineStr">
        <is>
          <t>991005145659702656</t>
        </is>
      </c>
      <c r="AY827" t="inlineStr">
        <is>
          <t>2259318600002656</t>
        </is>
      </c>
      <c r="AZ827" t="inlineStr">
        <is>
          <t>BOOK</t>
        </is>
      </c>
      <c r="BB827" t="inlineStr">
        <is>
          <t>9780205064977</t>
        </is>
      </c>
      <c r="BC827" t="inlineStr">
        <is>
          <t>32285000316942</t>
        </is>
      </c>
      <c r="BD827" t="inlineStr">
        <is>
          <t>893338585</t>
        </is>
      </c>
    </row>
    <row r="828">
      <c r="A828" t="inlineStr">
        <is>
          <t>No</t>
        </is>
      </c>
      <c r="B828" t="inlineStr">
        <is>
          <t>GN502 .H63 1984</t>
        </is>
      </c>
      <c r="C828" t="inlineStr">
        <is>
          <t>0                      GN 0502000H  63          1984</t>
        </is>
      </c>
      <c r="D828" t="inlineStr">
        <is>
          <t>Culture's consequences : international differences in work-related values / Geert Hofstede.</t>
        </is>
      </c>
      <c r="F828" t="inlineStr">
        <is>
          <t>No</t>
        </is>
      </c>
      <c r="G828" t="inlineStr">
        <is>
          <t>1</t>
        </is>
      </c>
      <c r="H828" t="inlineStr">
        <is>
          <t>No</t>
        </is>
      </c>
      <c r="I828" t="inlineStr">
        <is>
          <t>No</t>
        </is>
      </c>
      <c r="J828" t="inlineStr">
        <is>
          <t>0</t>
        </is>
      </c>
      <c r="K828" t="inlineStr">
        <is>
          <t>Hofstede, Geert, 1928-</t>
        </is>
      </c>
      <c r="L828" t="inlineStr">
        <is>
          <t>Beverly Hills : Sage Publications, c1984, 1987 printing.</t>
        </is>
      </c>
      <c r="M828" t="inlineStr">
        <is>
          <t>1984</t>
        </is>
      </c>
      <c r="N828" t="inlineStr">
        <is>
          <t>Abridged ed.</t>
        </is>
      </c>
      <c r="O828" t="inlineStr">
        <is>
          <t>eng</t>
        </is>
      </c>
      <c r="P828" t="inlineStr">
        <is>
          <t>cau</t>
        </is>
      </c>
      <c r="Q828" t="inlineStr">
        <is>
          <t>Cross-cultural research and methodology series</t>
        </is>
      </c>
      <c r="R828" t="inlineStr">
        <is>
          <t xml:space="preserve">GN </t>
        </is>
      </c>
      <c r="S828" t="n">
        <v>19</v>
      </c>
      <c r="T828" t="n">
        <v>19</v>
      </c>
      <c r="U828" t="inlineStr">
        <is>
          <t>2007-04-25</t>
        </is>
      </c>
      <c r="V828" t="inlineStr">
        <is>
          <t>2007-04-25</t>
        </is>
      </c>
      <c r="W828" t="inlineStr">
        <is>
          <t>1990-09-27</t>
        </is>
      </c>
      <c r="X828" t="inlineStr">
        <is>
          <t>1990-09-27</t>
        </is>
      </c>
      <c r="Y828" t="n">
        <v>593</v>
      </c>
      <c r="Z828" t="n">
        <v>391</v>
      </c>
      <c r="AA828" t="n">
        <v>731</v>
      </c>
      <c r="AB828" t="n">
        <v>3</v>
      </c>
      <c r="AC828" t="n">
        <v>5</v>
      </c>
      <c r="AD828" t="n">
        <v>19</v>
      </c>
      <c r="AE828" t="n">
        <v>38</v>
      </c>
      <c r="AF828" t="n">
        <v>10</v>
      </c>
      <c r="AG828" t="n">
        <v>18</v>
      </c>
      <c r="AH828" t="n">
        <v>4</v>
      </c>
      <c r="AI828" t="n">
        <v>8</v>
      </c>
      <c r="AJ828" t="n">
        <v>9</v>
      </c>
      <c r="AK828" t="n">
        <v>19</v>
      </c>
      <c r="AL828" t="n">
        <v>2</v>
      </c>
      <c r="AM828" t="n">
        <v>4</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HYPERLINK("https://creighton-primo.hosted.exlibrisgroup.com/primo-explore/search?tab=default_tab&amp;search_scope=EVERYTHING&amp;vid=01CRU&amp;lang=en_US&amp;offset=0&amp;query=any,contains,991000106029702656","Catalog Record")</f>
        <v/>
      </c>
      <c r="AT828">
        <f>HYPERLINK("http://www.worldcat.org/oclc/8975851","WorldCat Record")</f>
        <v/>
      </c>
      <c r="AU828" t="inlineStr">
        <is>
          <t>457127:eng</t>
        </is>
      </c>
      <c r="AV828" t="inlineStr">
        <is>
          <t>8975851</t>
        </is>
      </c>
      <c r="AW828" t="inlineStr">
        <is>
          <t>991000106029702656</t>
        </is>
      </c>
      <c r="AX828" t="inlineStr">
        <is>
          <t>991000106029702656</t>
        </is>
      </c>
      <c r="AY828" t="inlineStr">
        <is>
          <t>2255785830002656</t>
        </is>
      </c>
      <c r="AZ828" t="inlineStr">
        <is>
          <t>BOOK</t>
        </is>
      </c>
      <c r="BB828" t="inlineStr">
        <is>
          <t>9780803913066</t>
        </is>
      </c>
      <c r="BC828" t="inlineStr">
        <is>
          <t>32285000316967</t>
        </is>
      </c>
      <c r="BD828" t="inlineStr">
        <is>
          <t>893255185</t>
        </is>
      </c>
    </row>
    <row r="829">
      <c r="A829" t="inlineStr">
        <is>
          <t>No</t>
        </is>
      </c>
      <c r="B829" t="inlineStr">
        <is>
          <t>GN502 .H86 1990</t>
        </is>
      </c>
      <c r="C829" t="inlineStr">
        <is>
          <t>0                      GN 0502000H  86          1990</t>
        </is>
      </c>
      <c r="D829" t="inlineStr">
        <is>
          <t>Human behavior in global perspective : an introduction to cross-cultural psychology / Marshall H. Segall ... [et al.].</t>
        </is>
      </c>
      <c r="F829" t="inlineStr">
        <is>
          <t>No</t>
        </is>
      </c>
      <c r="G829" t="inlineStr">
        <is>
          <t>1</t>
        </is>
      </c>
      <c r="H829" t="inlineStr">
        <is>
          <t>No</t>
        </is>
      </c>
      <c r="I829" t="inlineStr">
        <is>
          <t>No</t>
        </is>
      </c>
      <c r="J829" t="inlineStr">
        <is>
          <t>0</t>
        </is>
      </c>
      <c r="L829" t="inlineStr">
        <is>
          <t>Boston : Allyn and Bacon, c1990.</t>
        </is>
      </c>
      <c r="M829" t="inlineStr">
        <is>
          <t>1990</t>
        </is>
      </c>
      <c r="O829" t="inlineStr">
        <is>
          <t>eng</t>
        </is>
      </c>
      <c r="P829" t="inlineStr">
        <is>
          <t>nyu</t>
        </is>
      </c>
      <c r="Q829" t="inlineStr">
        <is>
          <t>General psychology series ; 160</t>
        </is>
      </c>
      <c r="R829" t="inlineStr">
        <is>
          <t xml:space="preserve">GN </t>
        </is>
      </c>
      <c r="S829" t="n">
        <v>15</v>
      </c>
      <c r="T829" t="n">
        <v>15</v>
      </c>
      <c r="U829" t="inlineStr">
        <is>
          <t>2001-03-28</t>
        </is>
      </c>
      <c r="V829" t="inlineStr">
        <is>
          <t>2001-03-28</t>
        </is>
      </c>
      <c r="W829" t="inlineStr">
        <is>
          <t>1992-10-07</t>
        </is>
      </c>
      <c r="X829" t="inlineStr">
        <is>
          <t>1992-10-07</t>
        </is>
      </c>
      <c r="Y829" t="n">
        <v>166</v>
      </c>
      <c r="Z829" t="n">
        <v>127</v>
      </c>
      <c r="AA829" t="n">
        <v>664</v>
      </c>
      <c r="AB829" t="n">
        <v>2</v>
      </c>
      <c r="AC829" t="n">
        <v>5</v>
      </c>
      <c r="AD829" t="n">
        <v>7</v>
      </c>
      <c r="AE829" t="n">
        <v>32</v>
      </c>
      <c r="AF829" t="n">
        <v>2</v>
      </c>
      <c r="AG829" t="n">
        <v>10</v>
      </c>
      <c r="AH829" t="n">
        <v>2</v>
      </c>
      <c r="AI829" t="n">
        <v>8</v>
      </c>
      <c r="AJ829" t="n">
        <v>2</v>
      </c>
      <c r="AK829" t="n">
        <v>18</v>
      </c>
      <c r="AL829" t="n">
        <v>1</v>
      </c>
      <c r="AM829" t="n">
        <v>4</v>
      </c>
      <c r="AN829" t="n">
        <v>0</v>
      </c>
      <c r="AO829" t="n">
        <v>0</v>
      </c>
      <c r="AP829" t="inlineStr">
        <is>
          <t>No</t>
        </is>
      </c>
      <c r="AQ829" t="inlineStr">
        <is>
          <t>Yes</t>
        </is>
      </c>
      <c r="AR829">
        <f>HYPERLINK("http://catalog.hathitrust.org/Record/002863328","HathiTrust Record")</f>
        <v/>
      </c>
      <c r="AS829">
        <f>HYPERLINK("https://creighton-primo.hosted.exlibrisgroup.com/primo-explore/search?tab=default_tab&amp;search_scope=EVERYTHING&amp;vid=01CRU&amp;lang=en_US&amp;offset=0&amp;query=any,contains,991002079009702656","Catalog Record")</f>
        <v/>
      </c>
      <c r="AT829">
        <f>HYPERLINK("http://www.worldcat.org/oclc/26663184","WorldCat Record")</f>
        <v/>
      </c>
      <c r="AU829" t="inlineStr">
        <is>
          <t>796481364:eng</t>
        </is>
      </c>
      <c r="AV829" t="inlineStr">
        <is>
          <t>26663184</t>
        </is>
      </c>
      <c r="AW829" t="inlineStr">
        <is>
          <t>991002079009702656</t>
        </is>
      </c>
      <c r="AX829" t="inlineStr">
        <is>
          <t>991002079009702656</t>
        </is>
      </c>
      <c r="AY829" t="inlineStr">
        <is>
          <t>2267306550002656</t>
        </is>
      </c>
      <c r="AZ829" t="inlineStr">
        <is>
          <t>BOOK</t>
        </is>
      </c>
      <c r="BB829" t="inlineStr">
        <is>
          <t>9780205144785</t>
        </is>
      </c>
      <c r="BC829" t="inlineStr">
        <is>
          <t>32285001316057</t>
        </is>
      </c>
      <c r="BD829" t="inlineStr">
        <is>
          <t>893444952</t>
        </is>
      </c>
    </row>
    <row r="830">
      <c r="A830" t="inlineStr">
        <is>
          <t>No</t>
        </is>
      </c>
      <c r="B830" t="inlineStr">
        <is>
          <t>GN502 .M34 1980</t>
        </is>
      </c>
      <c r="C830" t="inlineStr">
        <is>
          <t>0                      GN 0502000M  34          1980</t>
        </is>
      </c>
      <c r="D830" t="inlineStr">
        <is>
          <t>The making of psychological anthropology / edited by George D. Spindler ; contributions by John Whiting ... [et al].</t>
        </is>
      </c>
      <c r="F830" t="inlineStr">
        <is>
          <t>No</t>
        </is>
      </c>
      <c r="G830" t="inlineStr">
        <is>
          <t>1</t>
        </is>
      </c>
      <c r="H830" t="inlineStr">
        <is>
          <t>No</t>
        </is>
      </c>
      <c r="I830" t="inlineStr">
        <is>
          <t>No</t>
        </is>
      </c>
      <c r="J830" t="inlineStr">
        <is>
          <t>0</t>
        </is>
      </c>
      <c r="L830" t="inlineStr">
        <is>
          <t>Berkeley : University of California Press, 1980.</t>
        </is>
      </c>
      <c r="M830" t="inlineStr">
        <is>
          <t>1980</t>
        </is>
      </c>
      <c r="N830" t="inlineStr">
        <is>
          <t>1st pbk. printing.</t>
        </is>
      </c>
      <c r="O830" t="inlineStr">
        <is>
          <t>eng</t>
        </is>
      </c>
      <c r="P830" t="inlineStr">
        <is>
          <t>cau</t>
        </is>
      </c>
      <c r="Q830" t="inlineStr">
        <is>
          <t>Campus ; 239</t>
        </is>
      </c>
      <c r="R830" t="inlineStr">
        <is>
          <t xml:space="preserve">GN </t>
        </is>
      </c>
      <c r="S830" t="n">
        <v>4</v>
      </c>
      <c r="T830" t="n">
        <v>4</v>
      </c>
      <c r="U830" t="inlineStr">
        <is>
          <t>1994-10-28</t>
        </is>
      </c>
      <c r="V830" t="inlineStr">
        <is>
          <t>1994-10-28</t>
        </is>
      </c>
      <c r="W830" t="inlineStr">
        <is>
          <t>1990-09-27</t>
        </is>
      </c>
      <c r="X830" t="inlineStr">
        <is>
          <t>1990-09-27</t>
        </is>
      </c>
      <c r="Y830" t="n">
        <v>67</v>
      </c>
      <c r="Z830" t="n">
        <v>47</v>
      </c>
      <c r="AA830" t="n">
        <v>52</v>
      </c>
      <c r="AB830" t="n">
        <v>3</v>
      </c>
      <c r="AC830" t="n">
        <v>3</v>
      </c>
      <c r="AD830" t="n">
        <v>2</v>
      </c>
      <c r="AE830" t="n">
        <v>2</v>
      </c>
      <c r="AF830" t="n">
        <v>0</v>
      </c>
      <c r="AG830" t="n">
        <v>0</v>
      </c>
      <c r="AH830" t="n">
        <v>0</v>
      </c>
      <c r="AI830" t="n">
        <v>0</v>
      </c>
      <c r="AJ830" t="n">
        <v>0</v>
      </c>
      <c r="AK830" t="n">
        <v>0</v>
      </c>
      <c r="AL830" t="n">
        <v>2</v>
      </c>
      <c r="AM830" t="n">
        <v>2</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HYPERLINK("https://creighton-primo.hosted.exlibrisgroup.com/primo-explore/search?tab=default_tab&amp;search_scope=EVERYTHING&amp;vid=01CRU&amp;lang=en_US&amp;offset=0&amp;query=any,contains,991005077579702656","Catalog Record")</f>
        <v/>
      </c>
      <c r="AT830">
        <f>HYPERLINK("http://www.worldcat.org/oclc/7147477","WorldCat Record")</f>
        <v/>
      </c>
      <c r="AU830" t="inlineStr">
        <is>
          <t>505089652:eng</t>
        </is>
      </c>
      <c r="AV830" t="inlineStr">
        <is>
          <t>7147477</t>
        </is>
      </c>
      <c r="AW830" t="inlineStr">
        <is>
          <t>991005077579702656</t>
        </is>
      </c>
      <c r="AX830" t="inlineStr">
        <is>
          <t>991005077579702656</t>
        </is>
      </c>
      <c r="AY830" t="inlineStr">
        <is>
          <t>2264485410002656</t>
        </is>
      </c>
      <c r="AZ830" t="inlineStr">
        <is>
          <t>BOOK</t>
        </is>
      </c>
      <c r="BB830" t="inlineStr">
        <is>
          <t>9780520039575</t>
        </is>
      </c>
      <c r="BC830" t="inlineStr">
        <is>
          <t>32285000316975</t>
        </is>
      </c>
      <c r="BD830" t="inlineStr">
        <is>
          <t>893628520</t>
        </is>
      </c>
    </row>
    <row r="831">
      <c r="A831" t="inlineStr">
        <is>
          <t>No</t>
        </is>
      </c>
      <c r="B831" t="inlineStr">
        <is>
          <t>GN502 .M38 1994</t>
        </is>
      </c>
      <c r="C831" t="inlineStr">
        <is>
          <t>0                      GN 0502000M  38          1994</t>
        </is>
      </c>
      <c r="D831" t="inlineStr">
        <is>
          <t>People : psychology from a cultural perspective / David Matsumoto.</t>
        </is>
      </c>
      <c r="F831" t="inlineStr">
        <is>
          <t>No</t>
        </is>
      </c>
      <c r="G831" t="inlineStr">
        <is>
          <t>1</t>
        </is>
      </c>
      <c r="H831" t="inlineStr">
        <is>
          <t>No</t>
        </is>
      </c>
      <c r="I831" t="inlineStr">
        <is>
          <t>No</t>
        </is>
      </c>
      <c r="J831" t="inlineStr">
        <is>
          <t>0</t>
        </is>
      </c>
      <c r="K831" t="inlineStr">
        <is>
          <t>Matsumoto, David Ricky.</t>
        </is>
      </c>
      <c r="L831" t="inlineStr">
        <is>
          <t>Pacific Grove, Calif. : Brooks/Cole Pub. Co., c1994.</t>
        </is>
      </c>
      <c r="M831" t="inlineStr">
        <is>
          <t>1994</t>
        </is>
      </c>
      <c r="O831" t="inlineStr">
        <is>
          <t>eng</t>
        </is>
      </c>
      <c r="P831" t="inlineStr">
        <is>
          <t>cau</t>
        </is>
      </c>
      <c r="R831" t="inlineStr">
        <is>
          <t xml:space="preserve">GN </t>
        </is>
      </c>
      <c r="S831" t="n">
        <v>16</v>
      </c>
      <c r="T831" t="n">
        <v>16</v>
      </c>
      <c r="U831" t="inlineStr">
        <is>
          <t>2000-02-29</t>
        </is>
      </c>
      <c r="V831" t="inlineStr">
        <is>
          <t>2000-02-29</t>
        </is>
      </c>
      <c r="W831" t="inlineStr">
        <is>
          <t>1994-08-18</t>
        </is>
      </c>
      <c r="X831" t="inlineStr">
        <is>
          <t>1994-08-18</t>
        </is>
      </c>
      <c r="Y831" t="n">
        <v>247</v>
      </c>
      <c r="Z831" t="n">
        <v>166</v>
      </c>
      <c r="AA831" t="n">
        <v>217</v>
      </c>
      <c r="AB831" t="n">
        <v>2</v>
      </c>
      <c r="AC831" t="n">
        <v>2</v>
      </c>
      <c r="AD831" t="n">
        <v>10</v>
      </c>
      <c r="AE831" t="n">
        <v>10</v>
      </c>
      <c r="AF831" t="n">
        <v>3</v>
      </c>
      <c r="AG831" t="n">
        <v>3</v>
      </c>
      <c r="AH831" t="n">
        <v>2</v>
      </c>
      <c r="AI831" t="n">
        <v>2</v>
      </c>
      <c r="AJ831" t="n">
        <v>7</v>
      </c>
      <c r="AK831" t="n">
        <v>7</v>
      </c>
      <c r="AL831" t="n">
        <v>1</v>
      </c>
      <c r="AM831" t="n">
        <v>1</v>
      </c>
      <c r="AN831" t="n">
        <v>0</v>
      </c>
      <c r="AO831" t="n">
        <v>0</v>
      </c>
      <c r="AP831" t="inlineStr">
        <is>
          <t>No</t>
        </is>
      </c>
      <c r="AQ831" t="inlineStr">
        <is>
          <t>Yes</t>
        </is>
      </c>
      <c r="AR831">
        <f>HYPERLINK("http://catalog.hathitrust.org/Record/007111382","HathiTrust Record")</f>
        <v/>
      </c>
      <c r="AS831">
        <f>HYPERLINK("https://creighton-primo.hosted.exlibrisgroup.com/primo-explore/search?tab=default_tab&amp;search_scope=EVERYTHING&amp;vid=01CRU&amp;lang=en_US&amp;offset=0&amp;query=any,contains,991002189859702656","Catalog Record")</f>
        <v/>
      </c>
      <c r="AT831">
        <f>HYPERLINK("http://www.worldcat.org/oclc/28181645","WorldCat Record")</f>
        <v/>
      </c>
      <c r="AU831" t="inlineStr">
        <is>
          <t>30737543:eng</t>
        </is>
      </c>
      <c r="AV831" t="inlineStr">
        <is>
          <t>28181645</t>
        </is>
      </c>
      <c r="AW831" t="inlineStr">
        <is>
          <t>991002189859702656</t>
        </is>
      </c>
      <c r="AX831" t="inlineStr">
        <is>
          <t>991002189859702656</t>
        </is>
      </c>
      <c r="AY831" t="inlineStr">
        <is>
          <t>2271008170002656</t>
        </is>
      </c>
      <c r="AZ831" t="inlineStr">
        <is>
          <t>BOOK</t>
        </is>
      </c>
      <c r="BB831" t="inlineStr">
        <is>
          <t>9780534193393</t>
        </is>
      </c>
      <c r="BC831" t="inlineStr">
        <is>
          <t>32285001943124</t>
        </is>
      </c>
      <c r="BD831" t="inlineStr">
        <is>
          <t>893898466</t>
        </is>
      </c>
    </row>
    <row r="832">
      <c r="A832" t="inlineStr">
        <is>
          <t>No</t>
        </is>
      </c>
      <c r="B832" t="inlineStr">
        <is>
          <t>GN502 .R374 2002</t>
        </is>
      </c>
      <c r="C832" t="inlineStr">
        <is>
          <t>0                      GN 0502000R  374         2002</t>
        </is>
      </c>
      <c r="D832" t="inlineStr">
        <is>
          <t>Cultural psychology : theory and method / Carl Ratner.</t>
        </is>
      </c>
      <c r="F832" t="inlineStr">
        <is>
          <t>No</t>
        </is>
      </c>
      <c r="G832" t="inlineStr">
        <is>
          <t>1</t>
        </is>
      </c>
      <c r="H832" t="inlineStr">
        <is>
          <t>No</t>
        </is>
      </c>
      <c r="I832" t="inlineStr">
        <is>
          <t>No</t>
        </is>
      </c>
      <c r="J832" t="inlineStr">
        <is>
          <t>0</t>
        </is>
      </c>
      <c r="K832" t="inlineStr">
        <is>
          <t>Ratner, Carl.</t>
        </is>
      </c>
      <c r="L832" t="inlineStr">
        <is>
          <t>New York : Kluwer Academic/Plenum, c2002.</t>
        </is>
      </c>
      <c r="M832" t="inlineStr">
        <is>
          <t>2002</t>
        </is>
      </c>
      <c r="O832" t="inlineStr">
        <is>
          <t>eng</t>
        </is>
      </c>
      <c r="P832" t="inlineStr">
        <is>
          <t>nyu</t>
        </is>
      </c>
      <c r="Q832" t="inlineStr">
        <is>
          <t>PATH in psychology</t>
        </is>
      </c>
      <c r="R832" t="inlineStr">
        <is>
          <t xml:space="preserve">GN </t>
        </is>
      </c>
      <c r="S832" t="n">
        <v>2</v>
      </c>
      <c r="T832" t="n">
        <v>2</v>
      </c>
      <c r="U832" t="inlineStr">
        <is>
          <t>2003-03-19</t>
        </is>
      </c>
      <c r="V832" t="inlineStr">
        <is>
          <t>2003-03-19</t>
        </is>
      </c>
      <c r="W832" t="inlineStr">
        <is>
          <t>2003-03-19</t>
        </is>
      </c>
      <c r="X832" t="inlineStr">
        <is>
          <t>2003-03-19</t>
        </is>
      </c>
      <c r="Y832" t="n">
        <v>247</v>
      </c>
      <c r="Z832" t="n">
        <v>181</v>
      </c>
      <c r="AA832" t="n">
        <v>206</v>
      </c>
      <c r="AB832" t="n">
        <v>3</v>
      </c>
      <c r="AC832" t="n">
        <v>3</v>
      </c>
      <c r="AD832" t="n">
        <v>6</v>
      </c>
      <c r="AE832" t="n">
        <v>9</v>
      </c>
      <c r="AF832" t="n">
        <v>1</v>
      </c>
      <c r="AG832" t="n">
        <v>4</v>
      </c>
      <c r="AH832" t="n">
        <v>2</v>
      </c>
      <c r="AI832" t="n">
        <v>3</v>
      </c>
      <c r="AJ832" t="n">
        <v>3</v>
      </c>
      <c r="AK832" t="n">
        <v>4</v>
      </c>
      <c r="AL832" t="n">
        <v>2</v>
      </c>
      <c r="AM832" t="n">
        <v>2</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HYPERLINK("https://creighton-primo.hosted.exlibrisgroup.com/primo-explore/search?tab=default_tab&amp;search_scope=EVERYTHING&amp;vid=01CRU&amp;lang=en_US&amp;offset=0&amp;query=any,contains,991003989159702656","Catalog Record")</f>
        <v/>
      </c>
      <c r="AT832">
        <f>HYPERLINK("http://www.worldcat.org/oclc/49513676","WorldCat Record")</f>
        <v/>
      </c>
      <c r="AU832" t="inlineStr">
        <is>
          <t>116924677:eng</t>
        </is>
      </c>
      <c r="AV832" t="inlineStr">
        <is>
          <t>49513676</t>
        </is>
      </c>
      <c r="AW832" t="inlineStr">
        <is>
          <t>991003989159702656</t>
        </is>
      </c>
      <c r="AX832" t="inlineStr">
        <is>
          <t>991003989159702656</t>
        </is>
      </c>
      <c r="AY832" t="inlineStr">
        <is>
          <t>2271913310002656</t>
        </is>
      </c>
      <c r="AZ832" t="inlineStr">
        <is>
          <t>BOOK</t>
        </is>
      </c>
      <c r="BB832" t="inlineStr">
        <is>
          <t>9780306466601</t>
        </is>
      </c>
      <c r="BC832" t="inlineStr">
        <is>
          <t>32285004685417</t>
        </is>
      </c>
      <c r="BD832" t="inlineStr">
        <is>
          <t>893875547</t>
        </is>
      </c>
    </row>
    <row r="833">
      <c r="A833" t="inlineStr">
        <is>
          <t>No</t>
        </is>
      </c>
      <c r="B833" t="inlineStr">
        <is>
          <t>GN502 .S59 2003</t>
        </is>
      </c>
      <c r="C833" t="inlineStr">
        <is>
          <t>0                      GN 0502000S  59          2003</t>
        </is>
      </c>
      <c r="D833" t="inlineStr">
        <is>
          <t>Why do men barbecue? : recipes for cultural psychology / Richard A. Shweder.</t>
        </is>
      </c>
      <c r="F833" t="inlineStr">
        <is>
          <t>No</t>
        </is>
      </c>
      <c r="G833" t="inlineStr">
        <is>
          <t>1</t>
        </is>
      </c>
      <c r="H833" t="inlineStr">
        <is>
          <t>No</t>
        </is>
      </c>
      <c r="I833" t="inlineStr">
        <is>
          <t>No</t>
        </is>
      </c>
      <c r="J833" t="inlineStr">
        <is>
          <t>0</t>
        </is>
      </c>
      <c r="K833" t="inlineStr">
        <is>
          <t>Shweder, Richard A.</t>
        </is>
      </c>
      <c r="L833" t="inlineStr">
        <is>
          <t>Cambridge, Mass. : Harvard University Press, 2003.</t>
        </is>
      </c>
      <c r="M833" t="inlineStr">
        <is>
          <t>2003</t>
        </is>
      </c>
      <c r="O833" t="inlineStr">
        <is>
          <t>eng</t>
        </is>
      </c>
      <c r="P833" t="inlineStr">
        <is>
          <t>mau</t>
        </is>
      </c>
      <c r="R833" t="inlineStr">
        <is>
          <t xml:space="preserve">GN </t>
        </is>
      </c>
      <c r="S833" t="n">
        <v>2</v>
      </c>
      <c r="T833" t="n">
        <v>2</v>
      </c>
      <c r="U833" t="inlineStr">
        <is>
          <t>2003-04-24</t>
        </is>
      </c>
      <c r="V833" t="inlineStr">
        <is>
          <t>2003-04-24</t>
        </is>
      </c>
      <c r="W833" t="inlineStr">
        <is>
          <t>2003-04-24</t>
        </is>
      </c>
      <c r="X833" t="inlineStr">
        <is>
          <t>2003-04-24</t>
        </is>
      </c>
      <c r="Y833" t="n">
        <v>608</v>
      </c>
      <c r="Z833" t="n">
        <v>485</v>
      </c>
      <c r="AA833" t="n">
        <v>486</v>
      </c>
      <c r="AB833" t="n">
        <v>4</v>
      </c>
      <c r="AC833" t="n">
        <v>4</v>
      </c>
      <c r="AD833" t="n">
        <v>24</v>
      </c>
      <c r="AE833" t="n">
        <v>24</v>
      </c>
      <c r="AF833" t="n">
        <v>9</v>
      </c>
      <c r="AG833" t="n">
        <v>9</v>
      </c>
      <c r="AH833" t="n">
        <v>5</v>
      </c>
      <c r="AI833" t="n">
        <v>5</v>
      </c>
      <c r="AJ833" t="n">
        <v>12</v>
      </c>
      <c r="AK833" t="n">
        <v>12</v>
      </c>
      <c r="AL833" t="n">
        <v>3</v>
      </c>
      <c r="AM833" t="n">
        <v>3</v>
      </c>
      <c r="AN833" t="n">
        <v>0</v>
      </c>
      <c r="AO833" t="n">
        <v>0</v>
      </c>
      <c r="AP833" t="inlineStr">
        <is>
          <t>No</t>
        </is>
      </c>
      <c r="AQ833" t="inlineStr">
        <is>
          <t>Yes</t>
        </is>
      </c>
      <c r="AR833">
        <f>HYPERLINK("http://catalog.hathitrust.org/Record/004318313","HathiTrust Record")</f>
        <v/>
      </c>
      <c r="AS833">
        <f>HYPERLINK("https://creighton-primo.hosted.exlibrisgroup.com/primo-explore/search?tab=default_tab&amp;search_scope=EVERYTHING&amp;vid=01CRU&amp;lang=en_US&amp;offset=0&amp;query=any,contains,991003979299702656","Catalog Record")</f>
        <v/>
      </c>
      <c r="AT833">
        <f>HYPERLINK("http://www.worldcat.org/oclc/50912588","WorldCat Record")</f>
        <v/>
      </c>
      <c r="AU833" t="inlineStr">
        <is>
          <t>839272367:eng</t>
        </is>
      </c>
      <c r="AV833" t="inlineStr">
        <is>
          <t>50912588</t>
        </is>
      </c>
      <c r="AW833" t="inlineStr">
        <is>
          <t>991003979299702656</t>
        </is>
      </c>
      <c r="AX833" t="inlineStr">
        <is>
          <t>991003979299702656</t>
        </is>
      </c>
      <c r="AY833" t="inlineStr">
        <is>
          <t>2272685370002656</t>
        </is>
      </c>
      <c r="AZ833" t="inlineStr">
        <is>
          <t>BOOK</t>
        </is>
      </c>
      <c r="BB833" t="inlineStr">
        <is>
          <t>9780674010574</t>
        </is>
      </c>
      <c r="BC833" t="inlineStr">
        <is>
          <t>32285004743794</t>
        </is>
      </c>
      <c r="BD833" t="inlineStr">
        <is>
          <t>893435726</t>
        </is>
      </c>
    </row>
    <row r="834">
      <c r="A834" t="inlineStr">
        <is>
          <t>No</t>
        </is>
      </c>
      <c r="B834" t="inlineStr">
        <is>
          <t>GN502 .V44 1982</t>
        </is>
      </c>
      <c r="C834" t="inlineStr">
        <is>
          <t>0                      GN 0502000V  44          1982</t>
        </is>
      </c>
      <c r="D834" t="inlineStr">
        <is>
          <t>Mankind in amnesia / Immanuel Velikovsky.</t>
        </is>
      </c>
      <c r="F834" t="inlineStr">
        <is>
          <t>No</t>
        </is>
      </c>
      <c r="G834" t="inlineStr">
        <is>
          <t>1</t>
        </is>
      </c>
      <c r="H834" t="inlineStr">
        <is>
          <t>No</t>
        </is>
      </c>
      <c r="I834" t="inlineStr">
        <is>
          <t>No</t>
        </is>
      </c>
      <c r="J834" t="inlineStr">
        <is>
          <t>0</t>
        </is>
      </c>
      <c r="K834" t="inlineStr">
        <is>
          <t>Velikovsky, Immanuel, 1895-1979.</t>
        </is>
      </c>
      <c r="L834" t="inlineStr">
        <is>
          <t>New York : Doubleday, 1982.</t>
        </is>
      </c>
      <c r="M834" t="inlineStr">
        <is>
          <t>1982</t>
        </is>
      </c>
      <c r="N834" t="inlineStr">
        <is>
          <t>1st ed.</t>
        </is>
      </c>
      <c r="O834" t="inlineStr">
        <is>
          <t>eng</t>
        </is>
      </c>
      <c r="P834" t="inlineStr">
        <is>
          <t>nyu</t>
        </is>
      </c>
      <c r="R834" t="inlineStr">
        <is>
          <t xml:space="preserve">GN </t>
        </is>
      </c>
      <c r="S834" t="n">
        <v>2</v>
      </c>
      <c r="T834" t="n">
        <v>2</v>
      </c>
      <c r="U834" t="inlineStr">
        <is>
          <t>1999-10-26</t>
        </is>
      </c>
      <c r="V834" t="inlineStr">
        <is>
          <t>1999-10-26</t>
        </is>
      </c>
      <c r="W834" t="inlineStr">
        <is>
          <t>1990-09-27</t>
        </is>
      </c>
      <c r="X834" t="inlineStr">
        <is>
          <t>1990-09-27</t>
        </is>
      </c>
      <c r="Y834" t="n">
        <v>506</v>
      </c>
      <c r="Z834" t="n">
        <v>473</v>
      </c>
      <c r="AA834" t="n">
        <v>485</v>
      </c>
      <c r="AB834" t="n">
        <v>4</v>
      </c>
      <c r="AC834" t="n">
        <v>4</v>
      </c>
      <c r="AD834" t="n">
        <v>7</v>
      </c>
      <c r="AE834" t="n">
        <v>7</v>
      </c>
      <c r="AF834" t="n">
        <v>5</v>
      </c>
      <c r="AG834" t="n">
        <v>5</v>
      </c>
      <c r="AH834" t="n">
        <v>1</v>
      </c>
      <c r="AI834" t="n">
        <v>1</v>
      </c>
      <c r="AJ834" t="n">
        <v>3</v>
      </c>
      <c r="AK834" t="n">
        <v>3</v>
      </c>
      <c r="AL834" t="n">
        <v>1</v>
      </c>
      <c r="AM834" t="n">
        <v>1</v>
      </c>
      <c r="AN834" t="n">
        <v>0</v>
      </c>
      <c r="AO834" t="n">
        <v>0</v>
      </c>
      <c r="AP834" t="inlineStr">
        <is>
          <t>No</t>
        </is>
      </c>
      <c r="AQ834" t="inlineStr">
        <is>
          <t>Yes</t>
        </is>
      </c>
      <c r="AR834">
        <f>HYPERLINK("http://catalog.hathitrust.org/Record/000186175","HathiTrust Record")</f>
        <v/>
      </c>
      <c r="AS834">
        <f>HYPERLINK("https://creighton-primo.hosted.exlibrisgroup.com/primo-explore/search?tab=default_tab&amp;search_scope=EVERYTHING&amp;vid=01CRU&amp;lang=en_US&amp;offset=0&amp;query=any,contains,991005114049702656","Catalog Record")</f>
        <v/>
      </c>
      <c r="AT834">
        <f>HYPERLINK("http://www.worldcat.org/oclc/7460522","WorldCat Record")</f>
        <v/>
      </c>
      <c r="AU834" t="inlineStr">
        <is>
          <t>57497824:eng</t>
        </is>
      </c>
      <c r="AV834" t="inlineStr">
        <is>
          <t>7460522</t>
        </is>
      </c>
      <c r="AW834" t="inlineStr">
        <is>
          <t>991005114049702656</t>
        </is>
      </c>
      <c r="AX834" t="inlineStr">
        <is>
          <t>991005114049702656</t>
        </is>
      </c>
      <c r="AY834" t="inlineStr">
        <is>
          <t>2264475390002656</t>
        </is>
      </c>
      <c r="AZ834" t="inlineStr">
        <is>
          <t>BOOK</t>
        </is>
      </c>
      <c r="BB834" t="inlineStr">
        <is>
          <t>9780385033930</t>
        </is>
      </c>
      <c r="BC834" t="inlineStr">
        <is>
          <t>32285000316991</t>
        </is>
      </c>
      <c r="BD834" t="inlineStr">
        <is>
          <t>893430872</t>
        </is>
      </c>
    </row>
    <row r="835">
      <c r="A835" t="inlineStr">
        <is>
          <t>No</t>
        </is>
      </c>
      <c r="B835" t="inlineStr">
        <is>
          <t>GN504 .H86 1967</t>
        </is>
      </c>
      <c r="C835" t="inlineStr">
        <is>
          <t>0                      GN 0504000H  86          1967</t>
        </is>
      </c>
      <c r="D835" t="inlineStr">
        <is>
          <t>Personalities and cultures : readings in psychological anthropology / edited by Robert Hunt.</t>
        </is>
      </c>
      <c r="F835" t="inlineStr">
        <is>
          <t>No</t>
        </is>
      </c>
      <c r="G835" t="inlineStr">
        <is>
          <t>1</t>
        </is>
      </c>
      <c r="H835" t="inlineStr">
        <is>
          <t>No</t>
        </is>
      </c>
      <c r="I835" t="inlineStr">
        <is>
          <t>No</t>
        </is>
      </c>
      <c r="J835" t="inlineStr">
        <is>
          <t>0</t>
        </is>
      </c>
      <c r="K835" t="inlineStr">
        <is>
          <t>Hunt, Robert Cushman, editor.</t>
        </is>
      </c>
      <c r="L835" t="inlineStr">
        <is>
          <t>Austin : University of Texas Press, [1977] c1967.</t>
        </is>
      </c>
      <c r="M835" t="inlineStr">
        <is>
          <t>1977</t>
        </is>
      </c>
      <c r="O835" t="inlineStr">
        <is>
          <t>eng</t>
        </is>
      </c>
      <c r="P835" t="inlineStr">
        <is>
          <t>txu</t>
        </is>
      </c>
      <c r="Q835" t="inlineStr">
        <is>
          <t>Texas Press sourcebooks in anthropology ; 3</t>
        </is>
      </c>
      <c r="R835" t="inlineStr">
        <is>
          <t xml:space="preserve">GN </t>
        </is>
      </c>
      <c r="S835" t="n">
        <v>5</v>
      </c>
      <c r="T835" t="n">
        <v>5</v>
      </c>
      <c r="U835" t="inlineStr">
        <is>
          <t>1994-10-28</t>
        </is>
      </c>
      <c r="V835" t="inlineStr">
        <is>
          <t>1994-10-28</t>
        </is>
      </c>
      <c r="W835" t="inlineStr">
        <is>
          <t>1990-09-27</t>
        </is>
      </c>
      <c r="X835" t="inlineStr">
        <is>
          <t>1990-09-27</t>
        </is>
      </c>
      <c r="Y835" t="n">
        <v>158</v>
      </c>
      <c r="Z835" t="n">
        <v>138</v>
      </c>
      <c r="AA835" t="n">
        <v>941</v>
      </c>
      <c r="AB835" t="n">
        <v>2</v>
      </c>
      <c r="AC835" t="n">
        <v>8</v>
      </c>
      <c r="AD835" t="n">
        <v>7</v>
      </c>
      <c r="AE835" t="n">
        <v>41</v>
      </c>
      <c r="AF835" t="n">
        <v>4</v>
      </c>
      <c r="AG835" t="n">
        <v>20</v>
      </c>
      <c r="AH835" t="n">
        <v>0</v>
      </c>
      <c r="AI835" t="n">
        <v>8</v>
      </c>
      <c r="AJ835" t="n">
        <v>3</v>
      </c>
      <c r="AK835" t="n">
        <v>19</v>
      </c>
      <c r="AL835" t="n">
        <v>1</v>
      </c>
      <c r="AM835" t="n">
        <v>6</v>
      </c>
      <c r="AN835" t="n">
        <v>0</v>
      </c>
      <c r="AO835" t="n">
        <v>0</v>
      </c>
      <c r="AP835" t="inlineStr">
        <is>
          <t>No</t>
        </is>
      </c>
      <c r="AQ835" t="inlineStr">
        <is>
          <t>Yes</t>
        </is>
      </c>
      <c r="AR835">
        <f>HYPERLINK("http://catalog.hathitrust.org/Record/000628773","HathiTrust Record")</f>
        <v/>
      </c>
      <c r="AS835">
        <f>HYPERLINK("https://creighton-primo.hosted.exlibrisgroup.com/primo-explore/search?tab=default_tab&amp;search_scope=EVERYTHING&amp;vid=01CRU&amp;lang=en_US&amp;offset=0&amp;query=any,contains,991003968889702656","Catalog Record")</f>
        <v/>
      </c>
      <c r="AT835">
        <f>HYPERLINK("http://www.worldcat.org/oclc/1991142","WorldCat Record")</f>
        <v/>
      </c>
      <c r="AU835" t="inlineStr">
        <is>
          <t>794157930:eng</t>
        </is>
      </c>
      <c r="AV835" t="inlineStr">
        <is>
          <t>1991142</t>
        </is>
      </c>
      <c r="AW835" t="inlineStr">
        <is>
          <t>991003968889702656</t>
        </is>
      </c>
      <c r="AX835" t="inlineStr">
        <is>
          <t>991003968889702656</t>
        </is>
      </c>
      <c r="AY835" t="inlineStr">
        <is>
          <t>2264065580002656</t>
        </is>
      </c>
      <c r="AZ835" t="inlineStr">
        <is>
          <t>BOOK</t>
        </is>
      </c>
      <c r="BB835" t="inlineStr">
        <is>
          <t>9780292764293</t>
        </is>
      </c>
      <c r="BC835" t="inlineStr">
        <is>
          <t>32285000317007</t>
        </is>
      </c>
      <c r="BD835" t="inlineStr">
        <is>
          <t>893800423</t>
        </is>
      </c>
    </row>
    <row r="836">
      <c r="A836" t="inlineStr">
        <is>
          <t>No</t>
        </is>
      </c>
      <c r="B836" t="inlineStr">
        <is>
          <t>GN504 .L44</t>
        </is>
      </c>
      <c r="C836" t="inlineStr">
        <is>
          <t>0                      GN 0504000L  44</t>
        </is>
      </c>
      <c r="D836" t="inlineStr">
        <is>
          <t>Valuing the self : what we can learn from other cultures / Dorothy Lee.</t>
        </is>
      </c>
      <c r="F836" t="inlineStr">
        <is>
          <t>No</t>
        </is>
      </c>
      <c r="G836" t="inlineStr">
        <is>
          <t>1</t>
        </is>
      </c>
      <c r="H836" t="inlineStr">
        <is>
          <t>No</t>
        </is>
      </c>
      <c r="I836" t="inlineStr">
        <is>
          <t>No</t>
        </is>
      </c>
      <c r="J836" t="inlineStr">
        <is>
          <t>0</t>
        </is>
      </c>
      <c r="K836" t="inlineStr">
        <is>
          <t>Lee, Dorothy (Dorothy D.)</t>
        </is>
      </c>
      <c r="L836" t="inlineStr">
        <is>
          <t>Englewood Cliffs, N.J. : Prentice-Hall, c1976.</t>
        </is>
      </c>
      <c r="M836" t="inlineStr">
        <is>
          <t>1976</t>
        </is>
      </c>
      <c r="O836" t="inlineStr">
        <is>
          <t>eng</t>
        </is>
      </c>
      <c r="P836" t="inlineStr">
        <is>
          <t>nju</t>
        </is>
      </c>
      <c r="Q836" t="inlineStr">
        <is>
          <t>A Spectrum book</t>
        </is>
      </c>
      <c r="R836" t="inlineStr">
        <is>
          <t xml:space="preserve">GN </t>
        </is>
      </c>
      <c r="S836" t="n">
        <v>7</v>
      </c>
      <c r="T836" t="n">
        <v>7</v>
      </c>
      <c r="U836" t="inlineStr">
        <is>
          <t>1996-09-28</t>
        </is>
      </c>
      <c r="V836" t="inlineStr">
        <is>
          <t>1996-09-28</t>
        </is>
      </c>
      <c r="W836" t="inlineStr">
        <is>
          <t>1993-12-02</t>
        </is>
      </c>
      <c r="X836" t="inlineStr">
        <is>
          <t>1993-12-02</t>
        </is>
      </c>
      <c r="Y836" t="n">
        <v>312</v>
      </c>
      <c r="Z836" t="n">
        <v>255</v>
      </c>
      <c r="AA836" t="n">
        <v>448</v>
      </c>
      <c r="AB836" t="n">
        <v>2</v>
      </c>
      <c r="AC836" t="n">
        <v>2</v>
      </c>
      <c r="AD836" t="n">
        <v>11</v>
      </c>
      <c r="AE836" t="n">
        <v>15</v>
      </c>
      <c r="AF836" t="n">
        <v>4</v>
      </c>
      <c r="AG836" t="n">
        <v>6</v>
      </c>
      <c r="AH836" t="n">
        <v>1</v>
      </c>
      <c r="AI836" t="n">
        <v>1</v>
      </c>
      <c r="AJ836" t="n">
        <v>7</v>
      </c>
      <c r="AK836" t="n">
        <v>9</v>
      </c>
      <c r="AL836" t="n">
        <v>1</v>
      </c>
      <c r="AM836" t="n">
        <v>1</v>
      </c>
      <c r="AN836" t="n">
        <v>0</v>
      </c>
      <c r="AO836" t="n">
        <v>0</v>
      </c>
      <c r="AP836" t="inlineStr">
        <is>
          <t>No</t>
        </is>
      </c>
      <c r="AQ836" t="inlineStr">
        <is>
          <t>Yes</t>
        </is>
      </c>
      <c r="AR836">
        <f>HYPERLINK("http://catalog.hathitrust.org/Record/000039039","HathiTrust Record")</f>
        <v/>
      </c>
      <c r="AS836">
        <f>HYPERLINK("https://creighton-primo.hosted.exlibrisgroup.com/primo-explore/search?tab=default_tab&amp;search_scope=EVERYTHING&amp;vid=01CRU&amp;lang=en_US&amp;offset=0&amp;query=any,contains,991003884549702656","Catalog Record")</f>
        <v/>
      </c>
      <c r="AT836">
        <f>HYPERLINK("http://www.worldcat.org/oclc/1733685","WorldCat Record")</f>
        <v/>
      </c>
      <c r="AU836" t="inlineStr">
        <is>
          <t>2708375:eng</t>
        </is>
      </c>
      <c r="AV836" t="inlineStr">
        <is>
          <t>1733685</t>
        </is>
      </c>
      <c r="AW836" t="inlineStr">
        <is>
          <t>991003884549702656</t>
        </is>
      </c>
      <c r="AX836" t="inlineStr">
        <is>
          <t>991003884549702656</t>
        </is>
      </c>
      <c r="AY836" t="inlineStr">
        <is>
          <t>2256700450002656</t>
        </is>
      </c>
      <c r="AZ836" t="inlineStr">
        <is>
          <t>BOOK</t>
        </is>
      </c>
      <c r="BB836" t="inlineStr">
        <is>
          <t>9780139401145</t>
        </is>
      </c>
      <c r="BC836" t="inlineStr">
        <is>
          <t>32285001805570</t>
        </is>
      </c>
      <c r="BD836" t="inlineStr">
        <is>
          <t>893775333</t>
        </is>
      </c>
    </row>
    <row r="837">
      <c r="A837" t="inlineStr">
        <is>
          <t>No</t>
        </is>
      </c>
      <c r="B837" t="inlineStr">
        <is>
          <t>GN504 .M36 1988</t>
        </is>
      </c>
      <c r="C837" t="inlineStr">
        <is>
          <t>0                      GN 0504000M  36          1988</t>
        </is>
      </c>
      <c r="D837" t="inlineStr">
        <is>
          <t>The psychodynamics of culture : Abram Kardiner and neo-Freudian anthropology / William C. Manson.</t>
        </is>
      </c>
      <c r="F837" t="inlineStr">
        <is>
          <t>No</t>
        </is>
      </c>
      <c r="G837" t="inlineStr">
        <is>
          <t>1</t>
        </is>
      </c>
      <c r="H837" t="inlineStr">
        <is>
          <t>No</t>
        </is>
      </c>
      <c r="I837" t="inlineStr">
        <is>
          <t>No</t>
        </is>
      </c>
      <c r="J837" t="inlineStr">
        <is>
          <t>0</t>
        </is>
      </c>
      <c r="K837" t="inlineStr">
        <is>
          <t>Manson, William C.</t>
        </is>
      </c>
      <c r="L837" t="inlineStr">
        <is>
          <t>New York : Greenwood Press, 1988.</t>
        </is>
      </c>
      <c r="M837" t="inlineStr">
        <is>
          <t>1988</t>
        </is>
      </c>
      <c r="O837" t="inlineStr">
        <is>
          <t>eng</t>
        </is>
      </c>
      <c r="P837" t="inlineStr">
        <is>
          <t>nyu</t>
        </is>
      </c>
      <c r="Q837" t="inlineStr">
        <is>
          <t>Contributions to the study of anthropology, 0890-9377 ; no. 3</t>
        </is>
      </c>
      <c r="R837" t="inlineStr">
        <is>
          <t xml:space="preserve">GN </t>
        </is>
      </c>
      <c r="S837" t="n">
        <v>3</v>
      </c>
      <c r="T837" t="n">
        <v>3</v>
      </c>
      <c r="U837" t="inlineStr">
        <is>
          <t>2000-02-29</t>
        </is>
      </c>
      <c r="V837" t="inlineStr">
        <is>
          <t>2000-02-29</t>
        </is>
      </c>
      <c r="W837" t="inlineStr">
        <is>
          <t>1991-01-31</t>
        </is>
      </c>
      <c r="X837" t="inlineStr">
        <is>
          <t>1991-01-31</t>
        </is>
      </c>
      <c r="Y837" t="n">
        <v>249</v>
      </c>
      <c r="Z837" t="n">
        <v>192</v>
      </c>
      <c r="AA837" t="n">
        <v>194</v>
      </c>
      <c r="AB837" t="n">
        <v>2</v>
      </c>
      <c r="AC837" t="n">
        <v>2</v>
      </c>
      <c r="AD837" t="n">
        <v>7</v>
      </c>
      <c r="AE837" t="n">
        <v>7</v>
      </c>
      <c r="AF837" t="n">
        <v>1</v>
      </c>
      <c r="AG837" t="n">
        <v>1</v>
      </c>
      <c r="AH837" t="n">
        <v>3</v>
      </c>
      <c r="AI837" t="n">
        <v>3</v>
      </c>
      <c r="AJ837" t="n">
        <v>5</v>
      </c>
      <c r="AK837" t="n">
        <v>5</v>
      </c>
      <c r="AL837" t="n">
        <v>1</v>
      </c>
      <c r="AM837" t="n">
        <v>1</v>
      </c>
      <c r="AN837" t="n">
        <v>0</v>
      </c>
      <c r="AO837" t="n">
        <v>0</v>
      </c>
      <c r="AP837" t="inlineStr">
        <is>
          <t>No</t>
        </is>
      </c>
      <c r="AQ837" t="inlineStr">
        <is>
          <t>Yes</t>
        </is>
      </c>
      <c r="AR837">
        <f>HYPERLINK("http://catalog.hathitrust.org/Record/001085634","HathiTrust Record")</f>
        <v/>
      </c>
      <c r="AS837">
        <f>HYPERLINK("https://creighton-primo.hosted.exlibrisgroup.com/primo-explore/search?tab=default_tab&amp;search_scope=EVERYTHING&amp;vid=01CRU&amp;lang=en_US&amp;offset=0&amp;query=any,contains,991001302289702656","Catalog Record")</f>
        <v/>
      </c>
      <c r="AT837">
        <f>HYPERLINK("http://www.worldcat.org/oclc/18071215","WorldCat Record")</f>
        <v/>
      </c>
      <c r="AU837" t="inlineStr">
        <is>
          <t>836705291:eng</t>
        </is>
      </c>
      <c r="AV837" t="inlineStr">
        <is>
          <t>18071215</t>
        </is>
      </c>
      <c r="AW837" t="inlineStr">
        <is>
          <t>991001302289702656</t>
        </is>
      </c>
      <c r="AX837" t="inlineStr">
        <is>
          <t>991001302289702656</t>
        </is>
      </c>
      <c r="AY837" t="inlineStr">
        <is>
          <t>2270008760002656</t>
        </is>
      </c>
      <c r="AZ837" t="inlineStr">
        <is>
          <t>BOOK</t>
        </is>
      </c>
      <c r="BB837" t="inlineStr">
        <is>
          <t>9780313262678</t>
        </is>
      </c>
      <c r="BC837" t="inlineStr">
        <is>
          <t>32285000462829</t>
        </is>
      </c>
      <c r="BD837" t="inlineStr">
        <is>
          <t>893614965</t>
        </is>
      </c>
    </row>
    <row r="838">
      <c r="A838" t="inlineStr">
        <is>
          <t>No</t>
        </is>
      </c>
      <c r="B838" t="inlineStr">
        <is>
          <t>GN506 .B46 1989</t>
        </is>
      </c>
      <c r="C838" t="inlineStr">
        <is>
          <t>0                      GN 0506000B  46          1989</t>
        </is>
      </c>
      <c r="D838" t="inlineStr">
        <is>
          <t>Patterns of culture / Ruth Benedict ; with a new foreword by Mary Catherine Bateson ; and a preface by Margaret Mead.</t>
        </is>
      </c>
      <c r="F838" t="inlineStr">
        <is>
          <t>No</t>
        </is>
      </c>
      <c r="G838" t="inlineStr">
        <is>
          <t>1</t>
        </is>
      </c>
      <c r="H838" t="inlineStr">
        <is>
          <t>No</t>
        </is>
      </c>
      <c r="I838" t="inlineStr">
        <is>
          <t>No</t>
        </is>
      </c>
      <c r="J838" t="inlineStr">
        <is>
          <t>0</t>
        </is>
      </c>
      <c r="K838" t="inlineStr">
        <is>
          <t>Benedict, Ruth, 1887-1948.</t>
        </is>
      </c>
      <c r="L838" t="inlineStr">
        <is>
          <t>Boston : Houghton Mifflin, [1989], c1934.</t>
        </is>
      </c>
      <c r="M838" t="inlineStr">
        <is>
          <t>1989</t>
        </is>
      </c>
      <c r="O838" t="inlineStr">
        <is>
          <t>eng</t>
        </is>
      </c>
      <c r="P838" t="inlineStr">
        <is>
          <t>mau</t>
        </is>
      </c>
      <c r="R838" t="inlineStr">
        <is>
          <t xml:space="preserve">GN </t>
        </is>
      </c>
      <c r="S838" t="n">
        <v>4</v>
      </c>
      <c r="T838" t="n">
        <v>4</v>
      </c>
      <c r="U838" t="inlineStr">
        <is>
          <t>2010-11-01</t>
        </is>
      </c>
      <c r="V838" t="inlineStr">
        <is>
          <t>2010-11-01</t>
        </is>
      </c>
      <c r="W838" t="inlineStr">
        <is>
          <t>2003-09-30</t>
        </is>
      </c>
      <c r="X838" t="inlineStr">
        <is>
          <t>2003-09-30</t>
        </is>
      </c>
      <c r="Y838" t="n">
        <v>430</v>
      </c>
      <c r="Z838" t="n">
        <v>340</v>
      </c>
      <c r="AA838" t="n">
        <v>2532</v>
      </c>
      <c r="AB838" t="n">
        <v>1</v>
      </c>
      <c r="AC838" t="n">
        <v>16</v>
      </c>
      <c r="AD838" t="n">
        <v>4</v>
      </c>
      <c r="AE838" t="n">
        <v>63</v>
      </c>
      <c r="AF838" t="n">
        <v>0</v>
      </c>
      <c r="AG838" t="n">
        <v>25</v>
      </c>
      <c r="AH838" t="n">
        <v>1</v>
      </c>
      <c r="AI838" t="n">
        <v>11</v>
      </c>
      <c r="AJ838" t="n">
        <v>2</v>
      </c>
      <c r="AK838" t="n">
        <v>25</v>
      </c>
      <c r="AL838" t="n">
        <v>0</v>
      </c>
      <c r="AM838" t="n">
        <v>12</v>
      </c>
      <c r="AN838" t="n">
        <v>1</v>
      </c>
      <c r="AO838" t="n">
        <v>3</v>
      </c>
      <c r="AP838" t="inlineStr">
        <is>
          <t>No</t>
        </is>
      </c>
      <c r="AQ838" t="inlineStr">
        <is>
          <t>No</t>
        </is>
      </c>
      <c r="AS838">
        <f>HYPERLINK("https://creighton-primo.hosted.exlibrisgroup.com/primo-explore/search?tab=default_tab&amp;search_scope=EVERYTHING&amp;vid=01CRU&amp;lang=en_US&amp;offset=0&amp;query=any,contains,991004124709702656","Catalog Record")</f>
        <v/>
      </c>
      <c r="AT838">
        <f>HYPERLINK("http://www.worldcat.org/oclc/19519034","WorldCat Record")</f>
        <v/>
      </c>
      <c r="AU838" t="inlineStr">
        <is>
          <t>573577:eng</t>
        </is>
      </c>
      <c r="AV838" t="inlineStr">
        <is>
          <t>19519034</t>
        </is>
      </c>
      <c r="AW838" t="inlineStr">
        <is>
          <t>991004124709702656</t>
        </is>
      </c>
      <c r="AX838" t="inlineStr">
        <is>
          <t>991004124709702656</t>
        </is>
      </c>
      <c r="AY838" t="inlineStr">
        <is>
          <t>2264179280002656</t>
        </is>
      </c>
      <c r="AZ838" t="inlineStr">
        <is>
          <t>BOOK</t>
        </is>
      </c>
      <c r="BB838" t="inlineStr">
        <is>
          <t>9780395500880</t>
        </is>
      </c>
      <c r="BC838" t="inlineStr">
        <is>
          <t>32285004786033</t>
        </is>
      </c>
      <c r="BD838" t="inlineStr">
        <is>
          <t>893228956</t>
        </is>
      </c>
    </row>
    <row r="839">
      <c r="A839" t="inlineStr">
        <is>
          <t>No</t>
        </is>
      </c>
      <c r="B839" t="inlineStr">
        <is>
          <t>GN508 .B3 1980</t>
        </is>
      </c>
      <c r="C839" t="inlineStr">
        <is>
          <t>0                      GN 0508000B  3           1980</t>
        </is>
      </c>
      <c r="D839" t="inlineStr">
        <is>
          <t>The psychoanalysis of culture / C. R. Badcock.</t>
        </is>
      </c>
      <c r="F839" t="inlineStr">
        <is>
          <t>No</t>
        </is>
      </c>
      <c r="G839" t="inlineStr">
        <is>
          <t>1</t>
        </is>
      </c>
      <c r="H839" t="inlineStr">
        <is>
          <t>No</t>
        </is>
      </c>
      <c r="I839" t="inlineStr">
        <is>
          <t>No</t>
        </is>
      </c>
      <c r="J839" t="inlineStr">
        <is>
          <t>0</t>
        </is>
      </c>
      <c r="K839" t="inlineStr">
        <is>
          <t>Badcock, C. R.</t>
        </is>
      </c>
      <c r="L839" t="inlineStr">
        <is>
          <t>Oxford : B. Blackwell, 1980.</t>
        </is>
      </c>
      <c r="M839" t="inlineStr">
        <is>
          <t>1980</t>
        </is>
      </c>
      <c r="O839" t="inlineStr">
        <is>
          <t>eng</t>
        </is>
      </c>
      <c r="P839" t="inlineStr">
        <is>
          <t>enk</t>
        </is>
      </c>
      <c r="R839" t="inlineStr">
        <is>
          <t xml:space="preserve">GN </t>
        </is>
      </c>
      <c r="S839" t="n">
        <v>11</v>
      </c>
      <c r="T839" t="n">
        <v>11</v>
      </c>
      <c r="U839" t="inlineStr">
        <is>
          <t>2000-02-29</t>
        </is>
      </c>
      <c r="V839" t="inlineStr">
        <is>
          <t>2000-02-29</t>
        </is>
      </c>
      <c r="W839" t="inlineStr">
        <is>
          <t>1990-09-27</t>
        </is>
      </c>
      <c r="X839" t="inlineStr">
        <is>
          <t>1990-09-27</t>
        </is>
      </c>
      <c r="Y839" t="n">
        <v>440</v>
      </c>
      <c r="Z839" t="n">
        <v>275</v>
      </c>
      <c r="AA839" t="n">
        <v>278</v>
      </c>
      <c r="AB839" t="n">
        <v>4</v>
      </c>
      <c r="AC839" t="n">
        <v>4</v>
      </c>
      <c r="AD839" t="n">
        <v>11</v>
      </c>
      <c r="AE839" t="n">
        <v>11</v>
      </c>
      <c r="AF839" t="n">
        <v>3</v>
      </c>
      <c r="AG839" t="n">
        <v>3</v>
      </c>
      <c r="AH839" t="n">
        <v>2</v>
      </c>
      <c r="AI839" t="n">
        <v>2</v>
      </c>
      <c r="AJ839" t="n">
        <v>6</v>
      </c>
      <c r="AK839" t="n">
        <v>6</v>
      </c>
      <c r="AL839" t="n">
        <v>3</v>
      </c>
      <c r="AM839" t="n">
        <v>3</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HYPERLINK("https://creighton-primo.hosted.exlibrisgroup.com/primo-explore/search?tab=default_tab&amp;search_scope=EVERYTHING&amp;vid=01CRU&amp;lang=en_US&amp;offset=0&amp;query=any,contains,991005034719702656","Catalog Record")</f>
        <v/>
      </c>
      <c r="AT839">
        <f>HYPERLINK("http://www.worldcat.org/oclc/6742853","WorldCat Record")</f>
        <v/>
      </c>
      <c r="AU839" t="inlineStr">
        <is>
          <t>513238:eng</t>
        </is>
      </c>
      <c r="AV839" t="inlineStr">
        <is>
          <t>6742853</t>
        </is>
      </c>
      <c r="AW839" t="inlineStr">
        <is>
          <t>991005034719702656</t>
        </is>
      </c>
      <c r="AX839" t="inlineStr">
        <is>
          <t>991005034719702656</t>
        </is>
      </c>
      <c r="AY839" t="inlineStr">
        <is>
          <t>2264910350002656</t>
        </is>
      </c>
      <c r="AZ839" t="inlineStr">
        <is>
          <t>BOOK</t>
        </is>
      </c>
      <c r="BB839" t="inlineStr">
        <is>
          <t>9780631117018</t>
        </is>
      </c>
      <c r="BC839" t="inlineStr">
        <is>
          <t>32285000317023</t>
        </is>
      </c>
      <c r="BD839" t="inlineStr">
        <is>
          <t>893606725</t>
        </is>
      </c>
    </row>
    <row r="840">
      <c r="A840" t="inlineStr">
        <is>
          <t>No</t>
        </is>
      </c>
      <c r="B840" t="inlineStr">
        <is>
          <t>GN547 .E34 1994</t>
        </is>
      </c>
      <c r="C840" t="inlineStr">
        <is>
          <t>0                      GN 0547000E  34          1994</t>
        </is>
      </c>
      <c r="D840" t="inlineStr">
        <is>
          <t>Defenders of the race : Jewish doctors and race science in fin-de-siècle Europe / John M. Efron.</t>
        </is>
      </c>
      <c r="F840" t="inlineStr">
        <is>
          <t>No</t>
        </is>
      </c>
      <c r="G840" t="inlineStr">
        <is>
          <t>1</t>
        </is>
      </c>
      <c r="H840" t="inlineStr">
        <is>
          <t>No</t>
        </is>
      </c>
      <c r="I840" t="inlineStr">
        <is>
          <t>No</t>
        </is>
      </c>
      <c r="J840" t="inlineStr">
        <is>
          <t>0</t>
        </is>
      </c>
      <c r="K840" t="inlineStr">
        <is>
          <t>Efron, John M.</t>
        </is>
      </c>
      <c r="L840" t="inlineStr">
        <is>
          <t>New Haven : Yale University Press, c1994.</t>
        </is>
      </c>
      <c r="M840" t="inlineStr">
        <is>
          <t>1994</t>
        </is>
      </c>
      <c r="O840" t="inlineStr">
        <is>
          <t>eng</t>
        </is>
      </c>
      <c r="P840" t="inlineStr">
        <is>
          <t>ctu</t>
        </is>
      </c>
      <c r="R840" t="inlineStr">
        <is>
          <t xml:space="preserve">GN </t>
        </is>
      </c>
      <c r="S840" t="n">
        <v>2</v>
      </c>
      <c r="T840" t="n">
        <v>2</v>
      </c>
      <c r="U840" t="inlineStr">
        <is>
          <t>2003-11-09</t>
        </is>
      </c>
      <c r="V840" t="inlineStr">
        <is>
          <t>2003-11-09</t>
        </is>
      </c>
      <c r="W840" t="inlineStr">
        <is>
          <t>1995-09-27</t>
        </is>
      </c>
      <c r="X840" t="inlineStr">
        <is>
          <t>1995-09-27</t>
        </is>
      </c>
      <c r="Y840" t="n">
        <v>429</v>
      </c>
      <c r="Z840" t="n">
        <v>335</v>
      </c>
      <c r="AA840" t="n">
        <v>506</v>
      </c>
      <c r="AB840" t="n">
        <v>2</v>
      </c>
      <c r="AC840" t="n">
        <v>2</v>
      </c>
      <c r="AD840" t="n">
        <v>13</v>
      </c>
      <c r="AE840" t="n">
        <v>22</v>
      </c>
      <c r="AF840" t="n">
        <v>3</v>
      </c>
      <c r="AG840" t="n">
        <v>9</v>
      </c>
      <c r="AH840" t="n">
        <v>5</v>
      </c>
      <c r="AI840" t="n">
        <v>8</v>
      </c>
      <c r="AJ840" t="n">
        <v>9</v>
      </c>
      <c r="AK840" t="n">
        <v>12</v>
      </c>
      <c r="AL840" t="n">
        <v>1</v>
      </c>
      <c r="AM840" t="n">
        <v>1</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HYPERLINK("https://creighton-primo.hosted.exlibrisgroup.com/primo-explore/search?tab=default_tab&amp;search_scope=EVERYTHING&amp;vid=01CRU&amp;lang=en_US&amp;offset=0&amp;query=any,contains,991002320869702656","Catalog Record")</f>
        <v/>
      </c>
      <c r="AT840">
        <f>HYPERLINK("http://www.worldcat.org/oclc/30109632","WorldCat Record")</f>
        <v/>
      </c>
      <c r="AU840" t="inlineStr">
        <is>
          <t>836831959:eng</t>
        </is>
      </c>
      <c r="AV840" t="inlineStr">
        <is>
          <t>30109632</t>
        </is>
      </c>
      <c r="AW840" t="inlineStr">
        <is>
          <t>991002320869702656</t>
        </is>
      </c>
      <c r="AX840" t="inlineStr">
        <is>
          <t>991002320869702656</t>
        </is>
      </c>
      <c r="AY840" t="inlineStr">
        <is>
          <t>2263777410002656</t>
        </is>
      </c>
      <c r="AZ840" t="inlineStr">
        <is>
          <t>BOOK</t>
        </is>
      </c>
      <c r="BB840" t="inlineStr">
        <is>
          <t>9780300054408</t>
        </is>
      </c>
      <c r="BC840" t="inlineStr">
        <is>
          <t>32285002094729</t>
        </is>
      </c>
      <c r="BD840" t="inlineStr">
        <is>
          <t>893421197</t>
        </is>
      </c>
    </row>
    <row r="841">
      <c r="A841" t="inlineStr">
        <is>
          <t>No</t>
        </is>
      </c>
      <c r="B841" t="inlineStr">
        <is>
          <t>GN547 .M56 1973</t>
        </is>
      </c>
      <c r="C841" t="inlineStr">
        <is>
          <t>0                      GN 0547000M  56          1973</t>
        </is>
      </c>
      <c r="D841" t="inlineStr">
        <is>
          <t>Rites of birth, marriage, death and kindred occasions among the Semites / by Julian Morgenstern.</t>
        </is>
      </c>
      <c r="F841" t="inlineStr">
        <is>
          <t>No</t>
        </is>
      </c>
      <c r="G841" t="inlineStr">
        <is>
          <t>1</t>
        </is>
      </c>
      <c r="H841" t="inlineStr">
        <is>
          <t>No</t>
        </is>
      </c>
      <c r="I841" t="inlineStr">
        <is>
          <t>No</t>
        </is>
      </c>
      <c r="J841" t="inlineStr">
        <is>
          <t>0</t>
        </is>
      </c>
      <c r="K841" t="inlineStr">
        <is>
          <t>Morgenstern, Julian, 1881-1976.</t>
        </is>
      </c>
      <c r="L841" t="inlineStr">
        <is>
          <t>New York : Ktav Pub. House, 1973 [i.e. 1974, c1966]</t>
        </is>
      </c>
      <c r="M841" t="inlineStr">
        <is>
          <t>1974</t>
        </is>
      </c>
      <c r="O841" t="inlineStr">
        <is>
          <t>eng</t>
        </is>
      </c>
      <c r="P841" t="inlineStr">
        <is>
          <t>nyu</t>
        </is>
      </c>
      <c r="R841" t="inlineStr">
        <is>
          <t xml:space="preserve">GN </t>
        </is>
      </c>
      <c r="S841" t="n">
        <v>4</v>
      </c>
      <c r="T841" t="n">
        <v>4</v>
      </c>
      <c r="U841" t="inlineStr">
        <is>
          <t>1995-03-16</t>
        </is>
      </c>
      <c r="V841" t="inlineStr">
        <is>
          <t>1995-03-16</t>
        </is>
      </c>
      <c r="W841" t="inlineStr">
        <is>
          <t>1990-09-27</t>
        </is>
      </c>
      <c r="X841" t="inlineStr">
        <is>
          <t>1990-09-27</t>
        </is>
      </c>
      <c r="Y841" t="n">
        <v>96</v>
      </c>
      <c r="Z841" t="n">
        <v>86</v>
      </c>
      <c r="AA841" t="n">
        <v>460</v>
      </c>
      <c r="AB841" t="n">
        <v>2</v>
      </c>
      <c r="AC841" t="n">
        <v>3</v>
      </c>
      <c r="AD841" t="n">
        <v>4</v>
      </c>
      <c r="AE841" t="n">
        <v>24</v>
      </c>
      <c r="AF841" t="n">
        <v>1</v>
      </c>
      <c r="AG841" t="n">
        <v>10</v>
      </c>
      <c r="AH841" t="n">
        <v>2</v>
      </c>
      <c r="AI841" t="n">
        <v>4</v>
      </c>
      <c r="AJ841" t="n">
        <v>0</v>
      </c>
      <c r="AK841" t="n">
        <v>14</v>
      </c>
      <c r="AL841" t="n">
        <v>1</v>
      </c>
      <c r="AM841" t="n">
        <v>2</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HYPERLINK("https://creighton-primo.hosted.exlibrisgroup.com/primo-explore/search?tab=default_tab&amp;search_scope=EVERYTHING&amp;vid=01CRU&amp;lang=en_US&amp;offset=0&amp;query=any,contains,991003171919702656","Catalog Record")</f>
        <v/>
      </c>
      <c r="AT841">
        <f>HYPERLINK("http://www.worldcat.org/oclc/707425","WorldCat Record")</f>
        <v/>
      </c>
      <c r="AU841" t="inlineStr">
        <is>
          <t>1404359:eng</t>
        </is>
      </c>
      <c r="AV841" t="inlineStr">
        <is>
          <t>707425</t>
        </is>
      </c>
      <c r="AW841" t="inlineStr">
        <is>
          <t>991003171919702656</t>
        </is>
      </c>
      <c r="AX841" t="inlineStr">
        <is>
          <t>991003171919702656</t>
        </is>
      </c>
      <c r="AY841" t="inlineStr">
        <is>
          <t>2270837560002656</t>
        </is>
      </c>
      <c r="AZ841" t="inlineStr">
        <is>
          <t>BOOK</t>
        </is>
      </c>
      <c r="BB841" t="inlineStr">
        <is>
          <t>9780870682308</t>
        </is>
      </c>
      <c r="BC841" t="inlineStr">
        <is>
          <t>32285000317049</t>
        </is>
      </c>
      <c r="BD841" t="inlineStr">
        <is>
          <t>893627483</t>
        </is>
      </c>
    </row>
    <row r="842">
      <c r="A842" t="inlineStr">
        <is>
          <t>No</t>
        </is>
      </c>
      <c r="B842" t="inlineStr">
        <is>
          <t>GN547.K63 H4</t>
        </is>
      </c>
      <c r="C842" t="inlineStr">
        <is>
          <t>0                      GN 0547000K  63                 H  4</t>
        </is>
      </c>
      <c r="D842" t="inlineStr">
        <is>
          <t>Hebrew man : lectures delivered at the invitation of the University of Tübingen, December 1-16, 1952 / with an appendix on Justice in the gate, by Ludwig Köhler. Translated by Peter R. Ackroyd.</t>
        </is>
      </c>
      <c r="F842" t="inlineStr">
        <is>
          <t>No</t>
        </is>
      </c>
      <c r="G842" t="inlineStr">
        <is>
          <t>1</t>
        </is>
      </c>
      <c r="H842" t="inlineStr">
        <is>
          <t>No</t>
        </is>
      </c>
      <c r="I842" t="inlineStr">
        <is>
          <t>No</t>
        </is>
      </c>
      <c r="J842" t="inlineStr">
        <is>
          <t>0</t>
        </is>
      </c>
      <c r="K842" t="inlineStr">
        <is>
          <t>Köhler, Ludwig, 1880-1956.</t>
        </is>
      </c>
      <c r="L842" t="inlineStr">
        <is>
          <t>London : SCM Press, [1956]</t>
        </is>
      </c>
      <c r="M842" t="inlineStr">
        <is>
          <t>1956</t>
        </is>
      </c>
      <c r="O842" t="inlineStr">
        <is>
          <t>eng</t>
        </is>
      </c>
      <c r="P842" t="inlineStr">
        <is>
          <t>enk</t>
        </is>
      </c>
      <c r="R842" t="inlineStr">
        <is>
          <t xml:space="preserve">GN </t>
        </is>
      </c>
      <c r="S842" t="n">
        <v>1</v>
      </c>
      <c r="T842" t="n">
        <v>1</v>
      </c>
      <c r="U842" t="inlineStr">
        <is>
          <t>2003-11-09</t>
        </is>
      </c>
      <c r="V842" t="inlineStr">
        <is>
          <t>2003-11-09</t>
        </is>
      </c>
      <c r="W842" t="inlineStr">
        <is>
          <t>1990-09-21</t>
        </is>
      </c>
      <c r="X842" t="inlineStr">
        <is>
          <t>1990-09-21</t>
        </is>
      </c>
      <c r="Y842" t="n">
        <v>174</v>
      </c>
      <c r="Z842" t="n">
        <v>120</v>
      </c>
      <c r="AA842" t="n">
        <v>509</v>
      </c>
      <c r="AB842" t="n">
        <v>1</v>
      </c>
      <c r="AC842" t="n">
        <v>6</v>
      </c>
      <c r="AD842" t="n">
        <v>7</v>
      </c>
      <c r="AE842" t="n">
        <v>31</v>
      </c>
      <c r="AF842" t="n">
        <v>1</v>
      </c>
      <c r="AG842" t="n">
        <v>14</v>
      </c>
      <c r="AH842" t="n">
        <v>2</v>
      </c>
      <c r="AI842" t="n">
        <v>5</v>
      </c>
      <c r="AJ842" t="n">
        <v>6</v>
      </c>
      <c r="AK842" t="n">
        <v>17</v>
      </c>
      <c r="AL842" t="n">
        <v>0</v>
      </c>
      <c r="AM842" t="n">
        <v>3</v>
      </c>
      <c r="AN842" t="n">
        <v>0</v>
      </c>
      <c r="AO842" t="n">
        <v>0</v>
      </c>
      <c r="AP842" t="inlineStr">
        <is>
          <t>No</t>
        </is>
      </c>
      <c r="AQ842" t="inlineStr">
        <is>
          <t>Yes</t>
        </is>
      </c>
      <c r="AR842">
        <f>HYPERLINK("http://catalog.hathitrust.org/Record/001409500","HathiTrust Record")</f>
        <v/>
      </c>
      <c r="AS842">
        <f>HYPERLINK("https://creighton-primo.hosted.exlibrisgroup.com/primo-explore/search?tab=default_tab&amp;search_scope=EVERYTHING&amp;vid=01CRU&amp;lang=en_US&amp;offset=0&amp;query=any,contains,991003383289702656","Catalog Record")</f>
        <v/>
      </c>
      <c r="AT842">
        <f>HYPERLINK("http://www.worldcat.org/oclc/920661","WorldCat Record")</f>
        <v/>
      </c>
      <c r="AU842" t="inlineStr">
        <is>
          <t>365371585:eng</t>
        </is>
      </c>
      <c r="AV842" t="inlineStr">
        <is>
          <t>920661</t>
        </is>
      </c>
      <c r="AW842" t="inlineStr">
        <is>
          <t>991003383289702656</t>
        </is>
      </c>
      <c r="AX842" t="inlineStr">
        <is>
          <t>991003383289702656</t>
        </is>
      </c>
      <c r="AY842" t="inlineStr">
        <is>
          <t>2272185040002656</t>
        </is>
      </c>
      <c r="AZ842" t="inlineStr">
        <is>
          <t>BOOK</t>
        </is>
      </c>
      <c r="BC842" t="inlineStr">
        <is>
          <t>32285000305911</t>
        </is>
      </c>
      <c r="BD842" t="inlineStr">
        <is>
          <t>893887424</t>
        </is>
      </c>
    </row>
    <row r="843">
      <c r="A843" t="inlineStr">
        <is>
          <t>No</t>
        </is>
      </c>
      <c r="B843" t="inlineStr">
        <is>
          <t>GN549.C3 C48 1992</t>
        </is>
      </c>
      <c r="C843" t="inlineStr">
        <is>
          <t>0                      GN 0549000C  3                  C  48          1992</t>
        </is>
      </c>
      <c r="D843" t="inlineStr">
        <is>
          <t>The Celts : the construction of a myth / Malcolm Chapman.</t>
        </is>
      </c>
      <c r="F843" t="inlineStr">
        <is>
          <t>No</t>
        </is>
      </c>
      <c r="G843" t="inlineStr">
        <is>
          <t>1</t>
        </is>
      </c>
      <c r="H843" t="inlineStr">
        <is>
          <t>No</t>
        </is>
      </c>
      <c r="I843" t="inlineStr">
        <is>
          <t>No</t>
        </is>
      </c>
      <c r="J843" t="inlineStr">
        <is>
          <t>0</t>
        </is>
      </c>
      <c r="K843" t="inlineStr">
        <is>
          <t>Chapman, Malcolm, 1951-</t>
        </is>
      </c>
      <c r="L843" t="inlineStr">
        <is>
          <t>New York : St. Martin's Press, 1992.</t>
        </is>
      </c>
      <c r="M843" t="inlineStr">
        <is>
          <t>1992</t>
        </is>
      </c>
      <c r="O843" t="inlineStr">
        <is>
          <t>eng</t>
        </is>
      </c>
      <c r="P843" t="inlineStr">
        <is>
          <t>nyu</t>
        </is>
      </c>
      <c r="R843" t="inlineStr">
        <is>
          <t xml:space="preserve">GN </t>
        </is>
      </c>
      <c r="S843" t="n">
        <v>4</v>
      </c>
      <c r="T843" t="n">
        <v>4</v>
      </c>
      <c r="U843" t="inlineStr">
        <is>
          <t>2002-02-07</t>
        </is>
      </c>
      <c r="V843" t="inlineStr">
        <is>
          <t>2002-02-07</t>
        </is>
      </c>
      <c r="W843" t="inlineStr">
        <is>
          <t>1993-12-06</t>
        </is>
      </c>
      <c r="X843" t="inlineStr">
        <is>
          <t>1993-12-06</t>
        </is>
      </c>
      <c r="Y843" t="n">
        <v>281</v>
      </c>
      <c r="Z843" t="n">
        <v>209</v>
      </c>
      <c r="AA843" t="n">
        <v>238</v>
      </c>
      <c r="AB843" t="n">
        <v>1</v>
      </c>
      <c r="AC843" t="n">
        <v>1</v>
      </c>
      <c r="AD843" t="n">
        <v>7</v>
      </c>
      <c r="AE843" t="n">
        <v>9</v>
      </c>
      <c r="AF843" t="n">
        <v>2</v>
      </c>
      <c r="AG843" t="n">
        <v>3</v>
      </c>
      <c r="AH843" t="n">
        <v>3</v>
      </c>
      <c r="AI843" t="n">
        <v>4</v>
      </c>
      <c r="AJ843" t="n">
        <v>5</v>
      </c>
      <c r="AK843" t="n">
        <v>6</v>
      </c>
      <c r="AL843" t="n">
        <v>0</v>
      </c>
      <c r="AM843" t="n">
        <v>0</v>
      </c>
      <c r="AN843" t="n">
        <v>0</v>
      </c>
      <c r="AO843" t="n">
        <v>0</v>
      </c>
      <c r="AP843" t="inlineStr">
        <is>
          <t>No</t>
        </is>
      </c>
      <c r="AQ843" t="inlineStr">
        <is>
          <t>Yes</t>
        </is>
      </c>
      <c r="AR843">
        <f>HYPERLINK("http://catalog.hathitrust.org/Record/002725955","HathiTrust Record")</f>
        <v/>
      </c>
      <c r="AS843">
        <f>HYPERLINK("https://creighton-primo.hosted.exlibrisgroup.com/primo-explore/search?tab=default_tab&amp;search_scope=EVERYTHING&amp;vid=01CRU&amp;lang=en_US&amp;offset=0&amp;query=any,contains,991001976929702656","Catalog Record")</f>
        <v/>
      </c>
      <c r="AT843">
        <f>HYPERLINK("http://www.worldcat.org/oclc/25051197","WorldCat Record")</f>
        <v/>
      </c>
      <c r="AU843" t="inlineStr">
        <is>
          <t>196422024:eng</t>
        </is>
      </c>
      <c r="AV843" t="inlineStr">
        <is>
          <t>25051197</t>
        </is>
      </c>
      <c r="AW843" t="inlineStr">
        <is>
          <t>991001976929702656</t>
        </is>
      </c>
      <c r="AX843" t="inlineStr">
        <is>
          <t>991001976929702656</t>
        </is>
      </c>
      <c r="AY843" t="inlineStr">
        <is>
          <t>2269033640002656</t>
        </is>
      </c>
      <c r="AZ843" t="inlineStr">
        <is>
          <t>BOOK</t>
        </is>
      </c>
      <c r="BB843" t="inlineStr">
        <is>
          <t>9780312079383</t>
        </is>
      </c>
      <c r="BC843" t="inlineStr">
        <is>
          <t>32285001814549</t>
        </is>
      </c>
      <c r="BD843" t="inlineStr">
        <is>
          <t>893703523</t>
        </is>
      </c>
    </row>
    <row r="844">
      <c r="A844" t="inlineStr">
        <is>
          <t>No</t>
        </is>
      </c>
      <c r="B844" t="inlineStr">
        <is>
          <t>GN549.C3 G74 1992</t>
        </is>
      </c>
      <c r="C844" t="inlineStr">
        <is>
          <t>0                      GN 0549000C  3                  G  74          1992</t>
        </is>
      </c>
      <c r="D844" t="inlineStr">
        <is>
          <t>Animals in Celtic life and myth / Miranda Green.</t>
        </is>
      </c>
      <c r="F844" t="inlineStr">
        <is>
          <t>No</t>
        </is>
      </c>
      <c r="G844" t="inlineStr">
        <is>
          <t>1</t>
        </is>
      </c>
      <c r="H844" t="inlineStr">
        <is>
          <t>No</t>
        </is>
      </c>
      <c r="I844" t="inlineStr">
        <is>
          <t>No</t>
        </is>
      </c>
      <c r="J844" t="inlineStr">
        <is>
          <t>0</t>
        </is>
      </c>
      <c r="K844" t="inlineStr">
        <is>
          <t>Aldhouse-Green, Miranda J. (Miranda Jane)</t>
        </is>
      </c>
      <c r="L844" t="inlineStr">
        <is>
          <t>London ; New York : Routledge, 1992.</t>
        </is>
      </c>
      <c r="M844" t="inlineStr">
        <is>
          <t>1992</t>
        </is>
      </c>
      <c r="O844" t="inlineStr">
        <is>
          <t>eng</t>
        </is>
      </c>
      <c r="P844" t="inlineStr">
        <is>
          <t>enk</t>
        </is>
      </c>
      <c r="R844" t="inlineStr">
        <is>
          <t xml:space="preserve">GN </t>
        </is>
      </c>
      <c r="S844" t="n">
        <v>10</v>
      </c>
      <c r="T844" t="n">
        <v>10</v>
      </c>
      <c r="U844" t="inlineStr">
        <is>
          <t>1999-09-09</t>
        </is>
      </c>
      <c r="V844" t="inlineStr">
        <is>
          <t>1999-09-09</t>
        </is>
      </c>
      <c r="W844" t="inlineStr">
        <is>
          <t>1994-01-07</t>
        </is>
      </c>
      <c r="X844" t="inlineStr">
        <is>
          <t>1994-01-07</t>
        </is>
      </c>
      <c r="Y844" t="n">
        <v>331</v>
      </c>
      <c r="Z844" t="n">
        <v>222</v>
      </c>
      <c r="AA844" t="n">
        <v>1383</v>
      </c>
      <c r="AB844" t="n">
        <v>2</v>
      </c>
      <c r="AC844" t="n">
        <v>13</v>
      </c>
      <c r="AD844" t="n">
        <v>13</v>
      </c>
      <c r="AE844" t="n">
        <v>41</v>
      </c>
      <c r="AF844" t="n">
        <v>4</v>
      </c>
      <c r="AG844" t="n">
        <v>14</v>
      </c>
      <c r="AH844" t="n">
        <v>5</v>
      </c>
      <c r="AI844" t="n">
        <v>8</v>
      </c>
      <c r="AJ844" t="n">
        <v>6</v>
      </c>
      <c r="AK844" t="n">
        <v>15</v>
      </c>
      <c r="AL844" t="n">
        <v>1</v>
      </c>
      <c r="AM844" t="n">
        <v>11</v>
      </c>
      <c r="AN844" t="n">
        <v>0</v>
      </c>
      <c r="AO844" t="n">
        <v>1</v>
      </c>
      <c r="AP844" t="inlineStr">
        <is>
          <t>No</t>
        </is>
      </c>
      <c r="AQ844" t="inlineStr">
        <is>
          <t>No</t>
        </is>
      </c>
      <c r="AS844">
        <f>HYPERLINK("https://creighton-primo.hosted.exlibrisgroup.com/primo-explore/search?tab=default_tab&amp;search_scope=EVERYTHING&amp;vid=01CRU&amp;lang=en_US&amp;offset=0&amp;query=any,contains,991001993379702656","Catalog Record")</f>
        <v/>
      </c>
      <c r="AT844">
        <f>HYPERLINK("http://www.worldcat.org/oclc/25316898","WorldCat Record")</f>
        <v/>
      </c>
      <c r="AU844" t="inlineStr">
        <is>
          <t>6322838:eng</t>
        </is>
      </c>
      <c r="AV844" t="inlineStr">
        <is>
          <t>25316898</t>
        </is>
      </c>
      <c r="AW844" t="inlineStr">
        <is>
          <t>991001993379702656</t>
        </is>
      </c>
      <c r="AX844" t="inlineStr">
        <is>
          <t>991001993379702656</t>
        </is>
      </c>
      <c r="AY844" t="inlineStr">
        <is>
          <t>2268133480002656</t>
        </is>
      </c>
      <c r="AZ844" t="inlineStr">
        <is>
          <t>BOOK</t>
        </is>
      </c>
      <c r="BB844" t="inlineStr">
        <is>
          <t>9780415050302</t>
        </is>
      </c>
      <c r="BC844" t="inlineStr">
        <is>
          <t>32285001830347</t>
        </is>
      </c>
      <c r="BD844" t="inlineStr">
        <is>
          <t>893892012</t>
        </is>
      </c>
    </row>
    <row r="845">
      <c r="A845" t="inlineStr">
        <is>
          <t>No</t>
        </is>
      </c>
      <c r="B845" t="inlineStr">
        <is>
          <t>GN560.M6 C76 2004</t>
        </is>
      </c>
      <c r="C845" t="inlineStr">
        <is>
          <t>0                      GN 0560000M  6                  C  76          2004</t>
        </is>
      </c>
      <c r="D845" t="inlineStr">
        <is>
          <t>Mexicans &amp; Americans : cracking the cultural code / Ned Crouch.</t>
        </is>
      </c>
      <c r="F845" t="inlineStr">
        <is>
          <t>No</t>
        </is>
      </c>
      <c r="G845" t="inlineStr">
        <is>
          <t>1</t>
        </is>
      </c>
      <c r="H845" t="inlineStr">
        <is>
          <t>No</t>
        </is>
      </c>
      <c r="I845" t="inlineStr">
        <is>
          <t>No</t>
        </is>
      </c>
      <c r="J845" t="inlineStr">
        <is>
          <t>0</t>
        </is>
      </c>
      <c r="K845" t="inlineStr">
        <is>
          <t>Crouch, Ned.</t>
        </is>
      </c>
      <c r="L845" t="inlineStr">
        <is>
          <t>London ; Yarmouth, Me. : Nicholas Brealey Pub., c2004.</t>
        </is>
      </c>
      <c r="M845" t="inlineStr">
        <is>
          <t>2004</t>
        </is>
      </c>
      <c r="O845" t="inlineStr">
        <is>
          <t>eng</t>
        </is>
      </c>
      <c r="P845" t="inlineStr">
        <is>
          <t>enk</t>
        </is>
      </c>
      <c r="R845" t="inlineStr">
        <is>
          <t xml:space="preserve">GN </t>
        </is>
      </c>
      <c r="S845" t="n">
        <v>2</v>
      </c>
      <c r="T845" t="n">
        <v>2</v>
      </c>
      <c r="U845" t="inlineStr">
        <is>
          <t>2006-12-07</t>
        </is>
      </c>
      <c r="V845" t="inlineStr">
        <is>
          <t>2006-12-07</t>
        </is>
      </c>
      <c r="W845" t="inlineStr">
        <is>
          <t>2004-08-30</t>
        </is>
      </c>
      <c r="X845" t="inlineStr">
        <is>
          <t>2004-08-30</t>
        </is>
      </c>
      <c r="Y845" t="n">
        <v>524</v>
      </c>
      <c r="Z845" t="n">
        <v>500</v>
      </c>
      <c r="AA845" t="n">
        <v>1334</v>
      </c>
      <c r="AB845" t="n">
        <v>5</v>
      </c>
      <c r="AC845" t="n">
        <v>32</v>
      </c>
      <c r="AD845" t="n">
        <v>23</v>
      </c>
      <c r="AE845" t="n">
        <v>41</v>
      </c>
      <c r="AF845" t="n">
        <v>8</v>
      </c>
      <c r="AG845" t="n">
        <v>14</v>
      </c>
      <c r="AH845" t="n">
        <v>4</v>
      </c>
      <c r="AI845" t="n">
        <v>5</v>
      </c>
      <c r="AJ845" t="n">
        <v>10</v>
      </c>
      <c r="AK845" t="n">
        <v>14</v>
      </c>
      <c r="AL845" t="n">
        <v>4</v>
      </c>
      <c r="AM845" t="n">
        <v>13</v>
      </c>
      <c r="AN845" t="n">
        <v>0</v>
      </c>
      <c r="AO845" t="n">
        <v>0</v>
      </c>
      <c r="AP845" t="inlineStr">
        <is>
          <t>No</t>
        </is>
      </c>
      <c r="AQ845" t="inlineStr">
        <is>
          <t>Yes</t>
        </is>
      </c>
      <c r="AR845">
        <f>HYPERLINK("http://catalog.hathitrust.org/Record/004733709","HathiTrust Record")</f>
        <v/>
      </c>
      <c r="AS845">
        <f>HYPERLINK("https://creighton-primo.hosted.exlibrisgroup.com/primo-explore/search?tab=default_tab&amp;search_scope=EVERYTHING&amp;vid=01CRU&amp;lang=en_US&amp;offset=0&amp;query=any,contains,991004328659702656","Catalog Record")</f>
        <v/>
      </c>
      <c r="AT845">
        <f>HYPERLINK("http://www.worldcat.org/oclc/54989171","WorldCat Record")</f>
        <v/>
      </c>
      <c r="AU845" t="inlineStr">
        <is>
          <t>14361057:eng</t>
        </is>
      </c>
      <c r="AV845" t="inlineStr">
        <is>
          <t>54989171</t>
        </is>
      </c>
      <c r="AW845" t="inlineStr">
        <is>
          <t>991004328659702656</t>
        </is>
      </c>
      <c r="AX845" t="inlineStr">
        <is>
          <t>991004328659702656</t>
        </is>
      </c>
      <c r="AY845" t="inlineStr">
        <is>
          <t>2264320210002656</t>
        </is>
      </c>
      <c r="AZ845" t="inlineStr">
        <is>
          <t>BOOK</t>
        </is>
      </c>
      <c r="BB845" t="inlineStr">
        <is>
          <t>9781857883428</t>
        </is>
      </c>
      <c r="BC845" t="inlineStr">
        <is>
          <t>32285004984208</t>
        </is>
      </c>
      <c r="BD845" t="inlineStr">
        <is>
          <t>893599704</t>
        </is>
      </c>
    </row>
    <row r="846">
      <c r="A846" t="inlineStr">
        <is>
          <t>No</t>
        </is>
      </c>
      <c r="B846" t="inlineStr">
        <is>
          <t>GN564.C37 E84 2005</t>
        </is>
      </c>
      <c r="C846" t="inlineStr">
        <is>
          <t>0                      GN 0564000C  37                 E  84          2005</t>
        </is>
      </c>
      <c r="D846" t="inlineStr">
        <is>
          <t>Ethnicity, class, and nationalism : Caribbean and extra-Caribbean dimensions / edited by Anton L. Allahar.</t>
        </is>
      </c>
      <c r="F846" t="inlineStr">
        <is>
          <t>No</t>
        </is>
      </c>
      <c r="G846" t="inlineStr">
        <is>
          <t>1</t>
        </is>
      </c>
      <c r="H846" t="inlineStr">
        <is>
          <t>No</t>
        </is>
      </c>
      <c r="I846" t="inlineStr">
        <is>
          <t>No</t>
        </is>
      </c>
      <c r="J846" t="inlineStr">
        <is>
          <t>0</t>
        </is>
      </c>
      <c r="L846" t="inlineStr">
        <is>
          <t>Lanham : Lexington Books, c2005.</t>
        </is>
      </c>
      <c r="M846" t="inlineStr">
        <is>
          <t>2005</t>
        </is>
      </c>
      <c r="O846" t="inlineStr">
        <is>
          <t>eng</t>
        </is>
      </c>
      <c r="P846" t="inlineStr">
        <is>
          <t>mdu</t>
        </is>
      </c>
      <c r="Q846" t="inlineStr">
        <is>
          <t>Caribbean studies</t>
        </is>
      </c>
      <c r="R846" t="inlineStr">
        <is>
          <t xml:space="preserve">GN </t>
        </is>
      </c>
      <c r="S846" t="n">
        <v>4</v>
      </c>
      <c r="T846" t="n">
        <v>4</v>
      </c>
      <c r="U846" t="inlineStr">
        <is>
          <t>2007-09-28</t>
        </is>
      </c>
      <c r="V846" t="inlineStr">
        <is>
          <t>2007-09-28</t>
        </is>
      </c>
      <c r="W846" t="inlineStr">
        <is>
          <t>2005-07-19</t>
        </is>
      </c>
      <c r="X846" t="inlineStr">
        <is>
          <t>2005-07-19</t>
        </is>
      </c>
      <c r="Y846" t="n">
        <v>218</v>
      </c>
      <c r="Z846" t="n">
        <v>169</v>
      </c>
      <c r="AA846" t="n">
        <v>189</v>
      </c>
      <c r="AB846" t="n">
        <v>4</v>
      </c>
      <c r="AC846" t="n">
        <v>4</v>
      </c>
      <c r="AD846" t="n">
        <v>9</v>
      </c>
      <c r="AE846" t="n">
        <v>10</v>
      </c>
      <c r="AF846" t="n">
        <v>0</v>
      </c>
      <c r="AG846" t="n">
        <v>1</v>
      </c>
      <c r="AH846" t="n">
        <v>5</v>
      </c>
      <c r="AI846" t="n">
        <v>6</v>
      </c>
      <c r="AJ846" t="n">
        <v>3</v>
      </c>
      <c r="AK846" t="n">
        <v>3</v>
      </c>
      <c r="AL846" t="n">
        <v>3</v>
      </c>
      <c r="AM846" t="n">
        <v>3</v>
      </c>
      <c r="AN846" t="n">
        <v>0</v>
      </c>
      <c r="AO846" t="n">
        <v>0</v>
      </c>
      <c r="AP846" t="inlineStr">
        <is>
          <t>No</t>
        </is>
      </c>
      <c r="AQ846" t="inlineStr">
        <is>
          <t>Yes</t>
        </is>
      </c>
      <c r="AR846">
        <f>HYPERLINK("http://catalog.hathitrust.org/Record/005043447","HathiTrust Record")</f>
        <v/>
      </c>
      <c r="AS846">
        <f>HYPERLINK("https://creighton-primo.hosted.exlibrisgroup.com/primo-explore/search?tab=default_tab&amp;search_scope=EVERYTHING&amp;vid=01CRU&amp;lang=en_US&amp;offset=0&amp;query=any,contains,991004502239702656","Catalog Record")</f>
        <v/>
      </c>
      <c r="AT846">
        <f>HYPERLINK("http://www.worldcat.org/oclc/56904988","WorldCat Record")</f>
        <v/>
      </c>
      <c r="AU846" t="inlineStr">
        <is>
          <t>957047607:eng</t>
        </is>
      </c>
      <c r="AV846" t="inlineStr">
        <is>
          <t>56904988</t>
        </is>
      </c>
      <c r="AW846" t="inlineStr">
        <is>
          <t>991004502239702656</t>
        </is>
      </c>
      <c r="AX846" t="inlineStr">
        <is>
          <t>991004502239702656</t>
        </is>
      </c>
      <c r="AY846" t="inlineStr">
        <is>
          <t>2268542040002656</t>
        </is>
      </c>
      <c r="AZ846" t="inlineStr">
        <is>
          <t>BOOK</t>
        </is>
      </c>
      <c r="BB846" t="inlineStr">
        <is>
          <t>9780739108871</t>
        </is>
      </c>
      <c r="BC846" t="inlineStr">
        <is>
          <t>32285005096903</t>
        </is>
      </c>
      <c r="BD846" t="inlineStr">
        <is>
          <t>893519729</t>
        </is>
      </c>
    </row>
    <row r="847">
      <c r="A847" t="inlineStr">
        <is>
          <t>No</t>
        </is>
      </c>
      <c r="B847" t="inlineStr">
        <is>
          <t>GN575 .C6 1972</t>
        </is>
      </c>
      <c r="C847" t="inlineStr">
        <is>
          <t>0                      GN 0575000C  6           1972</t>
        </is>
      </c>
      <c r="D847" t="inlineStr">
        <is>
          <t>The races of Europe.</t>
        </is>
      </c>
      <c r="F847" t="inlineStr">
        <is>
          <t>No</t>
        </is>
      </c>
      <c r="G847" t="inlineStr">
        <is>
          <t>1</t>
        </is>
      </c>
      <c r="H847" t="inlineStr">
        <is>
          <t>No</t>
        </is>
      </c>
      <c r="I847" t="inlineStr">
        <is>
          <t>No</t>
        </is>
      </c>
      <c r="J847" t="inlineStr">
        <is>
          <t>0</t>
        </is>
      </c>
      <c r="K847" t="inlineStr">
        <is>
          <t>Coon, Carleton S. (Carleton Stevens), 1904-1981.</t>
        </is>
      </c>
      <c r="L847" t="inlineStr">
        <is>
          <t>Westport, Conn. : Greenwood Press, [1972, c1939]</t>
        </is>
      </c>
      <c r="M847" t="inlineStr">
        <is>
          <t>1972</t>
        </is>
      </c>
      <c r="O847" t="inlineStr">
        <is>
          <t>eng</t>
        </is>
      </c>
      <c r="P847" t="inlineStr">
        <is>
          <t>ctu</t>
        </is>
      </c>
      <c r="R847" t="inlineStr">
        <is>
          <t xml:space="preserve">GN </t>
        </is>
      </c>
      <c r="S847" t="n">
        <v>4</v>
      </c>
      <c r="T847" t="n">
        <v>4</v>
      </c>
      <c r="U847" t="inlineStr">
        <is>
          <t>2003-11-09</t>
        </is>
      </c>
      <c r="V847" t="inlineStr">
        <is>
          <t>2003-11-09</t>
        </is>
      </c>
      <c r="W847" t="inlineStr">
        <is>
          <t>1990-09-20</t>
        </is>
      </c>
      <c r="X847" t="inlineStr">
        <is>
          <t>1990-09-20</t>
        </is>
      </c>
      <c r="Y847" t="n">
        <v>130</v>
      </c>
      <c r="Z847" t="n">
        <v>108</v>
      </c>
      <c r="AA847" t="n">
        <v>624</v>
      </c>
      <c r="AB847" t="n">
        <v>1</v>
      </c>
      <c r="AC847" t="n">
        <v>5</v>
      </c>
      <c r="AD847" t="n">
        <v>2</v>
      </c>
      <c r="AE847" t="n">
        <v>29</v>
      </c>
      <c r="AF847" t="n">
        <v>1</v>
      </c>
      <c r="AG847" t="n">
        <v>11</v>
      </c>
      <c r="AH847" t="n">
        <v>1</v>
      </c>
      <c r="AI847" t="n">
        <v>7</v>
      </c>
      <c r="AJ847" t="n">
        <v>1</v>
      </c>
      <c r="AK847" t="n">
        <v>17</v>
      </c>
      <c r="AL847" t="n">
        <v>0</v>
      </c>
      <c r="AM847" t="n">
        <v>4</v>
      </c>
      <c r="AN847" t="n">
        <v>0</v>
      </c>
      <c r="AO847" t="n">
        <v>0</v>
      </c>
      <c r="AP847" t="inlineStr">
        <is>
          <t>No</t>
        </is>
      </c>
      <c r="AQ847" t="inlineStr">
        <is>
          <t>Yes</t>
        </is>
      </c>
      <c r="AR847">
        <f>HYPERLINK("http://catalog.hathitrust.org/Record/102071114","HathiTrust Record")</f>
        <v/>
      </c>
      <c r="AS847">
        <f>HYPERLINK("https://creighton-primo.hosted.exlibrisgroup.com/primo-explore/search?tab=default_tab&amp;search_scope=EVERYTHING&amp;vid=01CRU&amp;lang=en_US&amp;offset=0&amp;query=any,contains,991002414329702656","Catalog Record")</f>
        <v/>
      </c>
      <c r="AT847">
        <f>HYPERLINK("http://www.worldcat.org/oclc/341119","WorldCat Record")</f>
        <v/>
      </c>
      <c r="AU847" t="inlineStr">
        <is>
          <t>136926650:eng</t>
        </is>
      </c>
      <c r="AV847" t="inlineStr">
        <is>
          <t>341119</t>
        </is>
      </c>
      <c r="AW847" t="inlineStr">
        <is>
          <t>991002414329702656</t>
        </is>
      </c>
      <c r="AX847" t="inlineStr">
        <is>
          <t>991002414329702656</t>
        </is>
      </c>
      <c r="AY847" t="inlineStr">
        <is>
          <t>2265843930002656</t>
        </is>
      </c>
      <c r="AZ847" t="inlineStr">
        <is>
          <t>BOOK</t>
        </is>
      </c>
      <c r="BB847" t="inlineStr">
        <is>
          <t>9780837163284</t>
        </is>
      </c>
      <c r="BC847" t="inlineStr">
        <is>
          <t>32285000305937</t>
        </is>
      </c>
      <c r="BD847" t="inlineStr">
        <is>
          <t>893433848</t>
        </is>
      </c>
    </row>
    <row r="848">
      <c r="A848" t="inlineStr">
        <is>
          <t>No</t>
        </is>
      </c>
      <c r="B848" t="inlineStr">
        <is>
          <t>GN575 N15 2001</t>
        </is>
      </c>
      <c r="C848" t="inlineStr">
        <is>
          <t>0                      GN 0575000N  15          2001</t>
        </is>
      </c>
      <c r="D848" t="inlineStr">
        <is>
          <t>Fires of hatred : ethnic cleansing in twentieth-century Europe / Norman M. Naimark.</t>
        </is>
      </c>
      <c r="F848" t="inlineStr">
        <is>
          <t>No</t>
        </is>
      </c>
      <c r="G848" t="inlineStr">
        <is>
          <t>1</t>
        </is>
      </c>
      <c r="H848" t="inlineStr">
        <is>
          <t>No</t>
        </is>
      </c>
      <c r="I848" t="inlineStr">
        <is>
          <t>No</t>
        </is>
      </c>
      <c r="J848" t="inlineStr">
        <is>
          <t>0</t>
        </is>
      </c>
      <c r="K848" t="inlineStr">
        <is>
          <t>Naimark, Norman M.</t>
        </is>
      </c>
      <c r="L848" t="inlineStr">
        <is>
          <t>Cambridge, Mass. : Harvard University Press, 2001.</t>
        </is>
      </c>
      <c r="M848" t="inlineStr">
        <is>
          <t>2001</t>
        </is>
      </c>
      <c r="O848" t="inlineStr">
        <is>
          <t>eng</t>
        </is>
      </c>
      <c r="P848" t="inlineStr">
        <is>
          <t>mau</t>
        </is>
      </c>
      <c r="R848" t="inlineStr">
        <is>
          <t xml:space="preserve">GN </t>
        </is>
      </c>
      <c r="S848" t="n">
        <v>2</v>
      </c>
      <c r="T848" t="n">
        <v>2</v>
      </c>
      <c r="U848" t="inlineStr">
        <is>
          <t>2001-04-18</t>
        </is>
      </c>
      <c r="V848" t="inlineStr">
        <is>
          <t>2001-04-18</t>
        </is>
      </c>
      <c r="W848" t="inlineStr">
        <is>
          <t>2001-03-26</t>
        </is>
      </c>
      <c r="X848" t="inlineStr">
        <is>
          <t>2001-03-26</t>
        </is>
      </c>
      <c r="Y848" t="n">
        <v>1390</v>
      </c>
      <c r="Z848" t="n">
        <v>1161</v>
      </c>
      <c r="AA848" t="n">
        <v>1242</v>
      </c>
      <c r="AB848" t="n">
        <v>8</v>
      </c>
      <c r="AC848" t="n">
        <v>9</v>
      </c>
      <c r="AD848" t="n">
        <v>44</v>
      </c>
      <c r="AE848" t="n">
        <v>45</v>
      </c>
      <c r="AF848" t="n">
        <v>20</v>
      </c>
      <c r="AG848" t="n">
        <v>20</v>
      </c>
      <c r="AH848" t="n">
        <v>9</v>
      </c>
      <c r="AI848" t="n">
        <v>9</v>
      </c>
      <c r="AJ848" t="n">
        <v>19</v>
      </c>
      <c r="AK848" t="n">
        <v>19</v>
      </c>
      <c r="AL848" t="n">
        <v>6</v>
      </c>
      <c r="AM848" t="n">
        <v>7</v>
      </c>
      <c r="AN848" t="n">
        <v>2</v>
      </c>
      <c r="AO848" t="n">
        <v>2</v>
      </c>
      <c r="AP848" t="inlineStr">
        <is>
          <t>No</t>
        </is>
      </c>
      <c r="AQ848" t="inlineStr">
        <is>
          <t>Yes</t>
        </is>
      </c>
      <c r="AR848">
        <f>HYPERLINK("http://catalog.hathitrust.org/Record/004138473","HathiTrust Record")</f>
        <v/>
      </c>
      <c r="AS848">
        <f>HYPERLINK("https://creighton-primo.hosted.exlibrisgroup.com/primo-explore/search?tab=default_tab&amp;search_scope=EVERYTHING&amp;vid=01CRU&amp;lang=en_US&amp;offset=0&amp;query=any,contains,991003496159702656","Catalog Record")</f>
        <v/>
      </c>
      <c r="AT848">
        <f>HYPERLINK("http://www.worldcat.org/oclc/44550545","WorldCat Record")</f>
        <v/>
      </c>
      <c r="AU848" t="inlineStr">
        <is>
          <t>56575843:eng</t>
        </is>
      </c>
      <c r="AV848" t="inlineStr">
        <is>
          <t>44550545</t>
        </is>
      </c>
      <c r="AW848" t="inlineStr">
        <is>
          <t>991003496159702656</t>
        </is>
      </c>
      <c r="AX848" t="inlineStr">
        <is>
          <t>991003496159702656</t>
        </is>
      </c>
      <c r="AY848" t="inlineStr">
        <is>
          <t>2272195690002656</t>
        </is>
      </c>
      <c r="AZ848" t="inlineStr">
        <is>
          <t>BOOK</t>
        </is>
      </c>
      <c r="BB848" t="inlineStr">
        <is>
          <t>9780674003132</t>
        </is>
      </c>
      <c r="BC848" t="inlineStr">
        <is>
          <t>32285004306857</t>
        </is>
      </c>
      <c r="BD848" t="inlineStr">
        <is>
          <t>893228097</t>
        </is>
      </c>
    </row>
    <row r="849">
      <c r="A849" t="inlineStr">
        <is>
          <t>No</t>
        </is>
      </c>
      <c r="B849" t="inlineStr">
        <is>
          <t>GN58.I82 S45 2002</t>
        </is>
      </c>
      <c r="C849" t="inlineStr">
        <is>
          <t>0                      GN 0058000I  82                 S  45          2002</t>
        </is>
      </c>
      <c r="D849" t="inlineStr">
        <is>
          <t>Seianti Hanunia Tlesnasa : the story of an Etruscan noblewoman / edited by Judith Swaddling and John Prag.</t>
        </is>
      </c>
      <c r="F849" t="inlineStr">
        <is>
          <t>No</t>
        </is>
      </c>
      <c r="G849" t="inlineStr">
        <is>
          <t>1</t>
        </is>
      </c>
      <c r="H849" t="inlineStr">
        <is>
          <t>No</t>
        </is>
      </c>
      <c r="I849" t="inlineStr">
        <is>
          <t>No</t>
        </is>
      </c>
      <c r="J849" t="inlineStr">
        <is>
          <t>0</t>
        </is>
      </c>
      <c r="L849" t="inlineStr">
        <is>
          <t>London : British Museum, c2002.</t>
        </is>
      </c>
      <c r="M849" t="inlineStr">
        <is>
          <t>2002</t>
        </is>
      </c>
      <c r="O849" t="inlineStr">
        <is>
          <t>eng</t>
        </is>
      </c>
      <c r="P849" t="inlineStr">
        <is>
          <t>enk</t>
        </is>
      </c>
      <c r="Q849" t="inlineStr">
        <is>
          <t>British Museum occasional paper 0142-4815 ; no. 100</t>
        </is>
      </c>
      <c r="R849" t="inlineStr">
        <is>
          <t xml:space="preserve">GN </t>
        </is>
      </c>
      <c r="S849" t="n">
        <v>1</v>
      </c>
      <c r="T849" t="n">
        <v>1</v>
      </c>
      <c r="U849" t="inlineStr">
        <is>
          <t>2008-03-20</t>
        </is>
      </c>
      <c r="V849" t="inlineStr">
        <is>
          <t>2008-03-20</t>
        </is>
      </c>
      <c r="W849" t="inlineStr">
        <is>
          <t>2003-09-17</t>
        </is>
      </c>
      <c r="X849" t="inlineStr">
        <is>
          <t>2003-09-17</t>
        </is>
      </c>
      <c r="Y849" t="n">
        <v>123</v>
      </c>
      <c r="Z849" t="n">
        <v>78</v>
      </c>
      <c r="AA849" t="n">
        <v>82</v>
      </c>
      <c r="AB849" t="n">
        <v>1</v>
      </c>
      <c r="AC849" t="n">
        <v>1</v>
      </c>
      <c r="AD849" t="n">
        <v>3</v>
      </c>
      <c r="AE849" t="n">
        <v>3</v>
      </c>
      <c r="AF849" t="n">
        <v>1</v>
      </c>
      <c r="AG849" t="n">
        <v>1</v>
      </c>
      <c r="AH849" t="n">
        <v>0</v>
      </c>
      <c r="AI849" t="n">
        <v>0</v>
      </c>
      <c r="AJ849" t="n">
        <v>3</v>
      </c>
      <c r="AK849" t="n">
        <v>3</v>
      </c>
      <c r="AL849" t="n">
        <v>0</v>
      </c>
      <c r="AM849" t="n">
        <v>0</v>
      </c>
      <c r="AN849" t="n">
        <v>0</v>
      </c>
      <c r="AO849" t="n">
        <v>0</v>
      </c>
      <c r="AP849" t="inlineStr">
        <is>
          <t>No</t>
        </is>
      </c>
      <c r="AQ849" t="inlineStr">
        <is>
          <t>Yes</t>
        </is>
      </c>
      <c r="AR849">
        <f>HYPERLINK("http://catalog.hathitrust.org/Record/004929337","HathiTrust Record")</f>
        <v/>
      </c>
      <c r="AS849">
        <f>HYPERLINK("https://creighton-primo.hosted.exlibrisgroup.com/primo-explore/search?tab=default_tab&amp;search_scope=EVERYTHING&amp;vid=01CRU&amp;lang=en_US&amp;offset=0&amp;query=any,contains,991004107529702656","Catalog Record")</f>
        <v/>
      </c>
      <c r="AT849">
        <f>HYPERLINK("http://www.worldcat.org/oclc/51623140","WorldCat Record")</f>
        <v/>
      </c>
      <c r="AU849" t="inlineStr">
        <is>
          <t>837250129:eng</t>
        </is>
      </c>
      <c r="AV849" t="inlineStr">
        <is>
          <t>51623140</t>
        </is>
      </c>
      <c r="AW849" t="inlineStr">
        <is>
          <t>991004107529702656</t>
        </is>
      </c>
      <c r="AX849" t="inlineStr">
        <is>
          <t>991004107529702656</t>
        </is>
      </c>
      <c r="AY849" t="inlineStr">
        <is>
          <t>2267376440002656</t>
        </is>
      </c>
      <c r="AZ849" t="inlineStr">
        <is>
          <t>BOOK</t>
        </is>
      </c>
      <c r="BB849" t="inlineStr">
        <is>
          <t>9780861591008</t>
        </is>
      </c>
      <c r="BC849" t="inlineStr">
        <is>
          <t>32285004781497</t>
        </is>
      </c>
      <c r="BD849" t="inlineStr">
        <is>
          <t>893512815</t>
        </is>
      </c>
    </row>
    <row r="850">
      <c r="A850" t="inlineStr">
        <is>
          <t>No</t>
        </is>
      </c>
      <c r="B850" t="inlineStr">
        <is>
          <t>GN58.O34 H68 1996</t>
        </is>
      </c>
      <c r="C850" t="inlineStr">
        <is>
          <t>0                      GN 0058000O  34                 H  68          1996</t>
        </is>
      </c>
      <c r="D850" t="inlineStr">
        <is>
          <t>People of the great ocean : aspects of human biology of the early Pacific / Philip Houghton.</t>
        </is>
      </c>
      <c r="F850" t="inlineStr">
        <is>
          <t>No</t>
        </is>
      </c>
      <c r="G850" t="inlineStr">
        <is>
          <t>1</t>
        </is>
      </c>
      <c r="H850" t="inlineStr">
        <is>
          <t>No</t>
        </is>
      </c>
      <c r="I850" t="inlineStr">
        <is>
          <t>No</t>
        </is>
      </c>
      <c r="J850" t="inlineStr">
        <is>
          <t>0</t>
        </is>
      </c>
      <c r="K850" t="inlineStr">
        <is>
          <t>Houghton, Philip.</t>
        </is>
      </c>
      <c r="L850" t="inlineStr">
        <is>
          <t>Cambridge ; New York, NY, USA : Cambridge University Press, 1996.</t>
        </is>
      </c>
      <c r="M850" t="inlineStr">
        <is>
          <t>1996</t>
        </is>
      </c>
      <c r="O850" t="inlineStr">
        <is>
          <t>eng</t>
        </is>
      </c>
      <c r="P850" t="inlineStr">
        <is>
          <t>enk</t>
        </is>
      </c>
      <c r="R850" t="inlineStr">
        <is>
          <t xml:space="preserve">GN </t>
        </is>
      </c>
      <c r="S850" t="n">
        <v>3</v>
      </c>
      <c r="T850" t="n">
        <v>3</v>
      </c>
      <c r="U850" t="inlineStr">
        <is>
          <t>1997-07-26</t>
        </is>
      </c>
      <c r="V850" t="inlineStr">
        <is>
          <t>1997-07-26</t>
        </is>
      </c>
      <c r="W850" t="inlineStr">
        <is>
          <t>1996-10-03</t>
        </is>
      </c>
      <c r="X850" t="inlineStr">
        <is>
          <t>1996-10-03</t>
        </is>
      </c>
      <c r="Y850" t="n">
        <v>281</v>
      </c>
      <c r="Z850" t="n">
        <v>179</v>
      </c>
      <c r="AA850" t="n">
        <v>189</v>
      </c>
      <c r="AB850" t="n">
        <v>2</v>
      </c>
      <c r="AC850" t="n">
        <v>2</v>
      </c>
      <c r="AD850" t="n">
        <v>6</v>
      </c>
      <c r="AE850" t="n">
        <v>6</v>
      </c>
      <c r="AF850" t="n">
        <v>0</v>
      </c>
      <c r="AG850" t="n">
        <v>0</v>
      </c>
      <c r="AH850" t="n">
        <v>2</v>
      </c>
      <c r="AI850" t="n">
        <v>2</v>
      </c>
      <c r="AJ850" t="n">
        <v>4</v>
      </c>
      <c r="AK850" t="n">
        <v>4</v>
      </c>
      <c r="AL850" t="n">
        <v>1</v>
      </c>
      <c r="AM850" t="n">
        <v>1</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HYPERLINK("https://creighton-primo.hosted.exlibrisgroup.com/primo-explore/search?tab=default_tab&amp;search_scope=EVERYTHING&amp;vid=01CRU&amp;lang=en_US&amp;offset=0&amp;query=any,contains,991002523859702656","Catalog Record")</f>
        <v/>
      </c>
      <c r="AT850">
        <f>HYPERLINK("http://www.worldcat.org/oclc/32820533","WorldCat Record")</f>
        <v/>
      </c>
      <c r="AU850" t="inlineStr">
        <is>
          <t>289901521:eng</t>
        </is>
      </c>
      <c r="AV850" t="inlineStr">
        <is>
          <t>32820533</t>
        </is>
      </c>
      <c r="AW850" t="inlineStr">
        <is>
          <t>991002523859702656</t>
        </is>
      </c>
      <c r="AX850" t="inlineStr">
        <is>
          <t>991002523859702656</t>
        </is>
      </c>
      <c r="AY850" t="inlineStr">
        <is>
          <t>2260816480002656</t>
        </is>
      </c>
      <c r="AZ850" t="inlineStr">
        <is>
          <t>BOOK</t>
        </is>
      </c>
      <c r="BB850" t="inlineStr">
        <is>
          <t>9780521471664</t>
        </is>
      </c>
      <c r="BC850" t="inlineStr">
        <is>
          <t>32285002322641</t>
        </is>
      </c>
      <c r="BD850" t="inlineStr">
        <is>
          <t>893316934</t>
        </is>
      </c>
    </row>
    <row r="851">
      <c r="A851" t="inlineStr">
        <is>
          <t>No</t>
        </is>
      </c>
      <c r="B851" t="inlineStr">
        <is>
          <t>GN585.G85 D52 1971</t>
        </is>
      </c>
      <c r="C851" t="inlineStr">
        <is>
          <t>0                      GN 0585000G  85                 D  52          1971</t>
        </is>
      </c>
      <c r="D851" t="inlineStr">
        <is>
          <t>Race mixture among the Greeks before Alexander.</t>
        </is>
      </c>
      <c r="F851" t="inlineStr">
        <is>
          <t>No</t>
        </is>
      </c>
      <c r="G851" t="inlineStr">
        <is>
          <t>1</t>
        </is>
      </c>
      <c r="H851" t="inlineStr">
        <is>
          <t>No</t>
        </is>
      </c>
      <c r="I851" t="inlineStr">
        <is>
          <t>No</t>
        </is>
      </c>
      <c r="J851" t="inlineStr">
        <is>
          <t>0</t>
        </is>
      </c>
      <c r="K851" t="inlineStr">
        <is>
          <t>Diller, Aubrey, 1903-</t>
        </is>
      </c>
      <c r="L851" t="inlineStr">
        <is>
          <t>Westport, Conn., Greenwood Press [1971]</t>
        </is>
      </c>
      <c r="M851" t="inlineStr">
        <is>
          <t>1971</t>
        </is>
      </c>
      <c r="O851" t="inlineStr">
        <is>
          <t>eng</t>
        </is>
      </c>
      <c r="P851" t="inlineStr">
        <is>
          <t>ctu</t>
        </is>
      </c>
      <c r="R851" t="inlineStr">
        <is>
          <t xml:space="preserve">GN </t>
        </is>
      </c>
      <c r="S851" t="n">
        <v>2</v>
      </c>
      <c r="T851" t="n">
        <v>2</v>
      </c>
      <c r="U851" t="inlineStr">
        <is>
          <t>2010-10-07</t>
        </is>
      </c>
      <c r="V851" t="inlineStr">
        <is>
          <t>2010-10-07</t>
        </is>
      </c>
      <c r="W851" t="inlineStr">
        <is>
          <t>1997-05-29</t>
        </is>
      </c>
      <c r="X851" t="inlineStr">
        <is>
          <t>1997-05-29</t>
        </is>
      </c>
      <c r="Y851" t="n">
        <v>180</v>
      </c>
      <c r="Z851" t="n">
        <v>138</v>
      </c>
      <c r="AA851" t="n">
        <v>249</v>
      </c>
      <c r="AB851" t="n">
        <v>1</v>
      </c>
      <c r="AC851" t="n">
        <v>2</v>
      </c>
      <c r="AD851" t="n">
        <v>6</v>
      </c>
      <c r="AE851" t="n">
        <v>9</v>
      </c>
      <c r="AF851" t="n">
        <v>1</v>
      </c>
      <c r="AG851" t="n">
        <v>2</v>
      </c>
      <c r="AH851" t="n">
        <v>2</v>
      </c>
      <c r="AI851" t="n">
        <v>3</v>
      </c>
      <c r="AJ851" t="n">
        <v>5</v>
      </c>
      <c r="AK851" t="n">
        <v>6</v>
      </c>
      <c r="AL851" t="n">
        <v>0</v>
      </c>
      <c r="AM851" t="n">
        <v>1</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HYPERLINK("https://creighton-primo.hosted.exlibrisgroup.com/primo-explore/search?tab=default_tab&amp;search_scope=EVERYTHING&amp;vid=01CRU&amp;lang=en_US&amp;offset=0&amp;query=any,contains,991000797789702656","Catalog Record")</f>
        <v/>
      </c>
      <c r="AT851">
        <f>HYPERLINK("http://www.worldcat.org/oclc/137821","WorldCat Record")</f>
        <v/>
      </c>
      <c r="AU851" t="inlineStr">
        <is>
          <t>1291666:eng</t>
        </is>
      </c>
      <c r="AV851" t="inlineStr">
        <is>
          <t>137821</t>
        </is>
      </c>
      <c r="AW851" t="inlineStr">
        <is>
          <t>991000797789702656</t>
        </is>
      </c>
      <c r="AX851" t="inlineStr">
        <is>
          <t>991000797789702656</t>
        </is>
      </c>
      <c r="AY851" t="inlineStr">
        <is>
          <t>2262086430002656</t>
        </is>
      </c>
      <c r="AZ851" t="inlineStr">
        <is>
          <t>BOOK</t>
        </is>
      </c>
      <c r="BB851" t="inlineStr">
        <is>
          <t>9780837130866</t>
        </is>
      </c>
      <c r="BC851" t="inlineStr">
        <is>
          <t>32285002696911</t>
        </is>
      </c>
      <c r="BD851" t="inlineStr">
        <is>
          <t>893345989</t>
        </is>
      </c>
    </row>
    <row r="852">
      <c r="A852" t="inlineStr">
        <is>
          <t>No</t>
        </is>
      </c>
      <c r="B852" t="inlineStr">
        <is>
          <t>GN585.G85 J66 1999</t>
        </is>
      </c>
      <c r="C852" t="inlineStr">
        <is>
          <t>0                      GN 0585000G  85                 J  66          1999</t>
        </is>
      </c>
      <c r="D852" t="inlineStr">
        <is>
          <t>Kinship diplomacy in the ancient world / Christopher P. Jones.</t>
        </is>
      </c>
      <c r="F852" t="inlineStr">
        <is>
          <t>No</t>
        </is>
      </c>
      <c r="G852" t="inlineStr">
        <is>
          <t>1</t>
        </is>
      </c>
      <c r="H852" t="inlineStr">
        <is>
          <t>No</t>
        </is>
      </c>
      <c r="I852" t="inlineStr">
        <is>
          <t>No</t>
        </is>
      </c>
      <c r="J852" t="inlineStr">
        <is>
          <t>0</t>
        </is>
      </c>
      <c r="K852" t="inlineStr">
        <is>
          <t>Jones, C. P. (Christopher Prestige), 1940-</t>
        </is>
      </c>
      <c r="L852" t="inlineStr">
        <is>
          <t>Cambridge, Mass. : Harvard University Press, 1999.</t>
        </is>
      </c>
      <c r="M852" t="inlineStr">
        <is>
          <t>1999</t>
        </is>
      </c>
      <c r="O852" t="inlineStr">
        <is>
          <t>eng</t>
        </is>
      </c>
      <c r="P852" t="inlineStr">
        <is>
          <t>mau</t>
        </is>
      </c>
      <c r="Q852" t="inlineStr">
        <is>
          <t>Revealing antiquity ; 12</t>
        </is>
      </c>
      <c r="R852" t="inlineStr">
        <is>
          <t xml:space="preserve">GN </t>
        </is>
      </c>
      <c r="S852" t="n">
        <v>3</v>
      </c>
      <c r="T852" t="n">
        <v>3</v>
      </c>
      <c r="U852" t="inlineStr">
        <is>
          <t>2005-08-23</t>
        </is>
      </c>
      <c r="V852" t="inlineStr">
        <is>
          <t>2005-08-23</t>
        </is>
      </c>
      <c r="W852" t="inlineStr">
        <is>
          <t>2000-09-27</t>
        </is>
      </c>
      <c r="X852" t="inlineStr">
        <is>
          <t>2000-09-27</t>
        </is>
      </c>
      <c r="Y852" t="n">
        <v>477</v>
      </c>
      <c r="Z852" t="n">
        <v>368</v>
      </c>
      <c r="AA852" t="n">
        <v>370</v>
      </c>
      <c r="AB852" t="n">
        <v>2</v>
      </c>
      <c r="AC852" t="n">
        <v>2</v>
      </c>
      <c r="AD852" t="n">
        <v>26</v>
      </c>
      <c r="AE852" t="n">
        <v>26</v>
      </c>
      <c r="AF852" t="n">
        <v>10</v>
      </c>
      <c r="AG852" t="n">
        <v>10</v>
      </c>
      <c r="AH852" t="n">
        <v>6</v>
      </c>
      <c r="AI852" t="n">
        <v>6</v>
      </c>
      <c r="AJ852" t="n">
        <v>14</v>
      </c>
      <c r="AK852" t="n">
        <v>14</v>
      </c>
      <c r="AL852" t="n">
        <v>1</v>
      </c>
      <c r="AM852" t="n">
        <v>1</v>
      </c>
      <c r="AN852" t="n">
        <v>0</v>
      </c>
      <c r="AO852" t="n">
        <v>0</v>
      </c>
      <c r="AP852" t="inlineStr">
        <is>
          <t>No</t>
        </is>
      </c>
      <c r="AQ852" t="inlineStr">
        <is>
          <t>Yes</t>
        </is>
      </c>
      <c r="AR852">
        <f>HYPERLINK("http://catalog.hathitrust.org/Record/004043029","HathiTrust Record")</f>
        <v/>
      </c>
      <c r="AS852">
        <f>HYPERLINK("https://creighton-primo.hosted.exlibrisgroup.com/primo-explore/search?tab=default_tab&amp;search_scope=EVERYTHING&amp;vid=01CRU&amp;lang=en_US&amp;offset=0&amp;query=any,contains,991003257869702656","Catalog Record")</f>
        <v/>
      </c>
      <c r="AT852">
        <f>HYPERLINK("http://www.worldcat.org/oclc/39887123","WorldCat Record")</f>
        <v/>
      </c>
      <c r="AU852" t="inlineStr">
        <is>
          <t>2681327:eng</t>
        </is>
      </c>
      <c r="AV852" t="inlineStr">
        <is>
          <t>39887123</t>
        </is>
      </c>
      <c r="AW852" t="inlineStr">
        <is>
          <t>991003257869702656</t>
        </is>
      </c>
      <c r="AX852" t="inlineStr">
        <is>
          <t>991003257869702656</t>
        </is>
      </c>
      <c r="AY852" t="inlineStr">
        <is>
          <t>2265567690002656</t>
        </is>
      </c>
      <c r="AZ852" t="inlineStr">
        <is>
          <t>BOOK</t>
        </is>
      </c>
      <c r="BB852" t="inlineStr">
        <is>
          <t>9780674505278</t>
        </is>
      </c>
      <c r="BC852" t="inlineStr">
        <is>
          <t>32285003765186</t>
        </is>
      </c>
      <c r="BD852" t="inlineStr">
        <is>
          <t>893780772</t>
        </is>
      </c>
    </row>
    <row r="853">
      <c r="A853" t="inlineStr">
        <is>
          <t>No</t>
        </is>
      </c>
      <c r="B853" t="inlineStr">
        <is>
          <t>GN585.I7 A69 1968</t>
        </is>
      </c>
      <c r="C853" t="inlineStr">
        <is>
          <t>0                      GN 0585000I  7                  A  69          1968</t>
        </is>
      </c>
      <c r="D853" t="inlineStr">
        <is>
          <t>Family and community in Ireland [by] Conrad M. Arensberg [and] Solon T. Kimball.</t>
        </is>
      </c>
      <c r="F853" t="inlineStr">
        <is>
          <t>No</t>
        </is>
      </c>
      <c r="G853" t="inlineStr">
        <is>
          <t>1</t>
        </is>
      </c>
      <c r="H853" t="inlineStr">
        <is>
          <t>No</t>
        </is>
      </c>
      <c r="I853" t="inlineStr">
        <is>
          <t>No</t>
        </is>
      </c>
      <c r="J853" t="inlineStr">
        <is>
          <t>0</t>
        </is>
      </c>
      <c r="K853" t="inlineStr">
        <is>
          <t>Arensberg, Conrad M. (Conrad Maynadier), 1910-1997.</t>
        </is>
      </c>
      <c r="L853" t="inlineStr">
        <is>
          <t>Cambridge, Harvard University Press, 1968.</t>
        </is>
      </c>
      <c r="M853" t="inlineStr">
        <is>
          <t>1968</t>
        </is>
      </c>
      <c r="N853" t="inlineStr">
        <is>
          <t>2d ed.</t>
        </is>
      </c>
      <c r="O853" t="inlineStr">
        <is>
          <t>eng</t>
        </is>
      </c>
      <c r="P853" t="inlineStr">
        <is>
          <t>mau</t>
        </is>
      </c>
      <c r="R853" t="inlineStr">
        <is>
          <t xml:space="preserve">GN </t>
        </is>
      </c>
      <c r="S853" t="n">
        <v>1</v>
      </c>
      <c r="T853" t="n">
        <v>1</v>
      </c>
      <c r="U853" t="inlineStr">
        <is>
          <t>2003-11-21</t>
        </is>
      </c>
      <c r="V853" t="inlineStr">
        <is>
          <t>2003-11-21</t>
        </is>
      </c>
      <c r="W853" t="inlineStr">
        <is>
          <t>1997-05-29</t>
        </is>
      </c>
      <c r="X853" t="inlineStr">
        <is>
          <t>1997-05-29</t>
        </is>
      </c>
      <c r="Y853" t="n">
        <v>729</v>
      </c>
      <c r="Z853" t="n">
        <v>592</v>
      </c>
      <c r="AA853" t="n">
        <v>842</v>
      </c>
      <c r="AB853" t="n">
        <v>5</v>
      </c>
      <c r="AC853" t="n">
        <v>6</v>
      </c>
      <c r="AD853" t="n">
        <v>30</v>
      </c>
      <c r="AE853" t="n">
        <v>45</v>
      </c>
      <c r="AF853" t="n">
        <v>12</v>
      </c>
      <c r="AG853" t="n">
        <v>19</v>
      </c>
      <c r="AH853" t="n">
        <v>4</v>
      </c>
      <c r="AI853" t="n">
        <v>8</v>
      </c>
      <c r="AJ853" t="n">
        <v>15</v>
      </c>
      <c r="AK853" t="n">
        <v>25</v>
      </c>
      <c r="AL853" t="n">
        <v>4</v>
      </c>
      <c r="AM853" t="n">
        <v>5</v>
      </c>
      <c r="AN853" t="n">
        <v>0</v>
      </c>
      <c r="AO853" t="n">
        <v>0</v>
      </c>
      <c r="AP853" t="inlineStr">
        <is>
          <t>No</t>
        </is>
      </c>
      <c r="AQ853" t="inlineStr">
        <is>
          <t>Yes</t>
        </is>
      </c>
      <c r="AR853">
        <f>HYPERLINK("http://catalog.hathitrust.org/Record/001286710","HathiTrust Record")</f>
        <v/>
      </c>
      <c r="AS853">
        <f>HYPERLINK("https://creighton-primo.hosted.exlibrisgroup.com/primo-explore/search?tab=default_tab&amp;search_scope=EVERYTHING&amp;vid=01CRU&amp;lang=en_US&amp;offset=0&amp;query=any,contains,991003432619702656","Catalog Record")</f>
        <v/>
      </c>
      <c r="AT853">
        <f>HYPERLINK("http://www.worldcat.org/oclc/967670","WorldCat Record")</f>
        <v/>
      </c>
      <c r="AU853" t="inlineStr">
        <is>
          <t>347562997:eng</t>
        </is>
      </c>
      <c r="AV853" t="inlineStr">
        <is>
          <t>967670</t>
        </is>
      </c>
      <c r="AW853" t="inlineStr">
        <is>
          <t>991003432619702656</t>
        </is>
      </c>
      <c r="AX853" t="inlineStr">
        <is>
          <t>991003432619702656</t>
        </is>
      </c>
      <c r="AY853" t="inlineStr">
        <is>
          <t>2264124030002656</t>
        </is>
      </c>
      <c r="AZ853" t="inlineStr">
        <is>
          <t>BOOK</t>
        </is>
      </c>
      <c r="BC853" t="inlineStr">
        <is>
          <t>32285002696937</t>
        </is>
      </c>
      <c r="BD853" t="inlineStr">
        <is>
          <t>893252357</t>
        </is>
      </c>
    </row>
    <row r="854">
      <c r="A854" t="inlineStr">
        <is>
          <t>No</t>
        </is>
      </c>
      <c r="B854" t="inlineStr">
        <is>
          <t>GN585.I7 P38 1994</t>
        </is>
      </c>
      <c r="C854" t="inlineStr">
        <is>
          <t>0                      GN 0585000I  7                  P  38          1994</t>
        </is>
      </c>
      <c r="D854" t="inlineStr">
        <is>
          <t>Cattle-lords and clansmen : the social structure of early Ireland / Nerys Thomas Patterson.</t>
        </is>
      </c>
      <c r="F854" t="inlineStr">
        <is>
          <t>No</t>
        </is>
      </c>
      <c r="G854" t="inlineStr">
        <is>
          <t>1</t>
        </is>
      </c>
      <c r="H854" t="inlineStr">
        <is>
          <t>No</t>
        </is>
      </c>
      <c r="I854" t="inlineStr">
        <is>
          <t>No</t>
        </is>
      </c>
      <c r="J854" t="inlineStr">
        <is>
          <t>0</t>
        </is>
      </c>
      <c r="K854" t="inlineStr">
        <is>
          <t>Patterson, Nerys Thomas.</t>
        </is>
      </c>
      <c r="L854" t="inlineStr">
        <is>
          <t>Notre Dame : University of Notre Dame Press, c1994.</t>
        </is>
      </c>
      <c r="M854" t="inlineStr">
        <is>
          <t>1994</t>
        </is>
      </c>
      <c r="N854" t="inlineStr">
        <is>
          <t>2nd ed.</t>
        </is>
      </c>
      <c r="O854" t="inlineStr">
        <is>
          <t>eng</t>
        </is>
      </c>
      <c r="P854" t="inlineStr">
        <is>
          <t>inu</t>
        </is>
      </c>
      <c r="R854" t="inlineStr">
        <is>
          <t xml:space="preserve">GN </t>
        </is>
      </c>
      <c r="S854" t="n">
        <v>1</v>
      </c>
      <c r="T854" t="n">
        <v>1</v>
      </c>
      <c r="U854" t="inlineStr">
        <is>
          <t>2000-06-27</t>
        </is>
      </c>
      <c r="V854" t="inlineStr">
        <is>
          <t>2000-06-27</t>
        </is>
      </c>
      <c r="W854" t="inlineStr">
        <is>
          <t>1994-11-10</t>
        </is>
      </c>
      <c r="X854" t="inlineStr">
        <is>
          <t>1994-11-10</t>
        </is>
      </c>
      <c r="Y854" t="n">
        <v>228</v>
      </c>
      <c r="Z854" t="n">
        <v>168</v>
      </c>
      <c r="AA854" t="n">
        <v>375</v>
      </c>
      <c r="AB854" t="n">
        <v>3</v>
      </c>
      <c r="AC854" t="n">
        <v>3</v>
      </c>
      <c r="AD854" t="n">
        <v>14</v>
      </c>
      <c r="AE854" t="n">
        <v>24</v>
      </c>
      <c r="AF854" t="n">
        <v>4</v>
      </c>
      <c r="AG854" t="n">
        <v>10</v>
      </c>
      <c r="AH854" t="n">
        <v>2</v>
      </c>
      <c r="AI854" t="n">
        <v>6</v>
      </c>
      <c r="AJ854" t="n">
        <v>9</v>
      </c>
      <c r="AK854" t="n">
        <v>13</v>
      </c>
      <c r="AL854" t="n">
        <v>2</v>
      </c>
      <c r="AM854" t="n">
        <v>2</v>
      </c>
      <c r="AN854" t="n">
        <v>0</v>
      </c>
      <c r="AO854" t="n">
        <v>0</v>
      </c>
      <c r="AP854" t="inlineStr">
        <is>
          <t>No</t>
        </is>
      </c>
      <c r="AQ854" t="inlineStr">
        <is>
          <t>Yes</t>
        </is>
      </c>
      <c r="AR854">
        <f>HYPERLINK("http://catalog.hathitrust.org/Record/002891719","HathiTrust Record")</f>
        <v/>
      </c>
      <c r="AS854">
        <f>HYPERLINK("https://creighton-primo.hosted.exlibrisgroup.com/primo-explore/search?tab=default_tab&amp;search_scope=EVERYTHING&amp;vid=01CRU&amp;lang=en_US&amp;offset=0&amp;query=any,contains,991005418189702656","Catalog Record")</f>
        <v/>
      </c>
      <c r="AT854">
        <f>HYPERLINK("http://www.worldcat.org/oclc/29549159","WorldCat Record")</f>
        <v/>
      </c>
      <c r="AU854" t="inlineStr">
        <is>
          <t>31916353:eng</t>
        </is>
      </c>
      <c r="AV854" t="inlineStr">
        <is>
          <t>29549159</t>
        </is>
      </c>
      <c r="AW854" t="inlineStr">
        <is>
          <t>991005418189702656</t>
        </is>
      </c>
      <c r="AX854" t="inlineStr">
        <is>
          <t>991005418189702656</t>
        </is>
      </c>
      <c r="AY854" t="inlineStr">
        <is>
          <t>2270489550002656</t>
        </is>
      </c>
      <c r="AZ854" t="inlineStr">
        <is>
          <t>BOOK</t>
        </is>
      </c>
      <c r="BB854" t="inlineStr">
        <is>
          <t>9780268008000</t>
        </is>
      </c>
      <c r="BC854" t="inlineStr">
        <is>
          <t>32285001957116</t>
        </is>
      </c>
      <c r="BD854" t="inlineStr">
        <is>
          <t>893619972</t>
        </is>
      </c>
    </row>
    <row r="855">
      <c r="A855" t="inlineStr">
        <is>
          <t>No</t>
        </is>
      </c>
      <c r="B855" t="inlineStr">
        <is>
          <t>GN588 .D38</t>
        </is>
      </c>
      <c r="C855" t="inlineStr">
        <is>
          <t>0                      GN 0588000D  38</t>
        </is>
      </c>
      <c r="D855" t="inlineStr">
        <is>
          <t>People of the Mediterranean : an essay in comparative social anthropology / J. Davis. --</t>
        </is>
      </c>
      <c r="F855" t="inlineStr">
        <is>
          <t>No</t>
        </is>
      </c>
      <c r="G855" t="inlineStr">
        <is>
          <t>1</t>
        </is>
      </c>
      <c r="H855" t="inlineStr">
        <is>
          <t>No</t>
        </is>
      </c>
      <c r="I855" t="inlineStr">
        <is>
          <t>No</t>
        </is>
      </c>
      <c r="J855" t="inlineStr">
        <is>
          <t>0</t>
        </is>
      </c>
      <c r="K855" t="inlineStr">
        <is>
          <t>Davis, J. (John), 1938-</t>
        </is>
      </c>
      <c r="L855" t="inlineStr">
        <is>
          <t>London : Routledge &amp; K. Paul, 1977.</t>
        </is>
      </c>
      <c r="M855" t="inlineStr">
        <is>
          <t>1977</t>
        </is>
      </c>
      <c r="O855" t="inlineStr">
        <is>
          <t>eng</t>
        </is>
      </c>
      <c r="P855" t="inlineStr">
        <is>
          <t>enk</t>
        </is>
      </c>
      <c r="Q855" t="inlineStr">
        <is>
          <t>Library of man</t>
        </is>
      </c>
      <c r="R855" t="inlineStr">
        <is>
          <t xml:space="preserve">GN </t>
        </is>
      </c>
      <c r="S855" t="n">
        <v>13</v>
      </c>
      <c r="T855" t="n">
        <v>13</v>
      </c>
      <c r="U855" t="inlineStr">
        <is>
          <t>2003-09-05</t>
        </is>
      </c>
      <c r="V855" t="inlineStr">
        <is>
          <t>2003-09-05</t>
        </is>
      </c>
      <c r="W855" t="inlineStr">
        <is>
          <t>1990-06-12</t>
        </is>
      </c>
      <c r="X855" t="inlineStr">
        <is>
          <t>1990-06-12</t>
        </is>
      </c>
      <c r="Y855" t="n">
        <v>487</v>
      </c>
      <c r="Z855" t="n">
        <v>320</v>
      </c>
      <c r="AA855" t="n">
        <v>361</v>
      </c>
      <c r="AB855" t="n">
        <v>3</v>
      </c>
      <c r="AC855" t="n">
        <v>3</v>
      </c>
      <c r="AD855" t="n">
        <v>9</v>
      </c>
      <c r="AE855" t="n">
        <v>9</v>
      </c>
      <c r="AF855" t="n">
        <v>1</v>
      </c>
      <c r="AG855" t="n">
        <v>1</v>
      </c>
      <c r="AH855" t="n">
        <v>3</v>
      </c>
      <c r="AI855" t="n">
        <v>3</v>
      </c>
      <c r="AJ855" t="n">
        <v>5</v>
      </c>
      <c r="AK855" t="n">
        <v>5</v>
      </c>
      <c r="AL855" t="n">
        <v>2</v>
      </c>
      <c r="AM855" t="n">
        <v>2</v>
      </c>
      <c r="AN855" t="n">
        <v>0</v>
      </c>
      <c r="AO855" t="n">
        <v>0</v>
      </c>
      <c r="AP855" t="inlineStr">
        <is>
          <t>No</t>
        </is>
      </c>
      <c r="AQ855" t="inlineStr">
        <is>
          <t>Yes</t>
        </is>
      </c>
      <c r="AR855">
        <f>HYPERLINK("http://catalog.hathitrust.org/Record/000172924","HathiTrust Record")</f>
        <v/>
      </c>
      <c r="AS855">
        <f>HYPERLINK("https://creighton-primo.hosted.exlibrisgroup.com/primo-explore/search?tab=default_tab&amp;search_scope=EVERYTHING&amp;vid=01CRU&amp;lang=en_US&amp;offset=0&amp;query=any,contains,991005370189702656","Catalog Record")</f>
        <v/>
      </c>
      <c r="AT855">
        <f>HYPERLINK("http://www.worldcat.org/oclc/2790417","WorldCat Record")</f>
        <v/>
      </c>
      <c r="AU855" t="inlineStr">
        <is>
          <t>865276392:eng</t>
        </is>
      </c>
      <c r="AV855" t="inlineStr">
        <is>
          <t>2790417</t>
        </is>
      </c>
      <c r="AW855" t="inlineStr">
        <is>
          <t>991005370189702656</t>
        </is>
      </c>
      <c r="AX855" t="inlineStr">
        <is>
          <t>991005370189702656</t>
        </is>
      </c>
      <c r="AY855" t="inlineStr">
        <is>
          <t>2266514230002656</t>
        </is>
      </c>
      <c r="AZ855" t="inlineStr">
        <is>
          <t>BOOK</t>
        </is>
      </c>
      <c r="BB855" t="inlineStr">
        <is>
          <t>9780710084125</t>
        </is>
      </c>
      <c r="BC855" t="inlineStr">
        <is>
          <t>32285000190149</t>
        </is>
      </c>
      <c r="BD855" t="inlineStr">
        <is>
          <t>893871082</t>
        </is>
      </c>
    </row>
    <row r="856">
      <c r="A856" t="inlineStr">
        <is>
          <t>No</t>
        </is>
      </c>
      <c r="B856" t="inlineStr">
        <is>
          <t>GN588 .M4</t>
        </is>
      </c>
      <c r="C856" t="inlineStr">
        <is>
          <t>0                      GN 0588000M  4</t>
        </is>
      </c>
      <c r="D856" t="inlineStr">
        <is>
          <t>Mediterranean family structures / edited by J. G. Peristiany. --</t>
        </is>
      </c>
      <c r="F856" t="inlineStr">
        <is>
          <t>No</t>
        </is>
      </c>
      <c r="G856" t="inlineStr">
        <is>
          <t>1</t>
        </is>
      </c>
      <c r="H856" t="inlineStr">
        <is>
          <t>No</t>
        </is>
      </c>
      <c r="I856" t="inlineStr">
        <is>
          <t>No</t>
        </is>
      </c>
      <c r="J856" t="inlineStr">
        <is>
          <t>0</t>
        </is>
      </c>
      <c r="L856" t="inlineStr">
        <is>
          <t>Cambridge [Eng.] ; New York : Cambridge University Press, 1976.</t>
        </is>
      </c>
      <c r="M856" t="inlineStr">
        <is>
          <t>1976</t>
        </is>
      </c>
      <c r="O856" t="inlineStr">
        <is>
          <t>eng</t>
        </is>
      </c>
      <c r="P856" t="inlineStr">
        <is>
          <t>enk</t>
        </is>
      </c>
      <c r="Q856" t="inlineStr">
        <is>
          <t>Cambridge studies in social anthropology ; 13</t>
        </is>
      </c>
      <c r="R856" t="inlineStr">
        <is>
          <t xml:space="preserve">GN </t>
        </is>
      </c>
      <c r="S856" t="n">
        <v>19</v>
      </c>
      <c r="T856" t="n">
        <v>19</v>
      </c>
      <c r="U856" t="inlineStr">
        <is>
          <t>2004-11-14</t>
        </is>
      </c>
      <c r="V856" t="inlineStr">
        <is>
          <t>2004-11-14</t>
        </is>
      </c>
      <c r="W856" t="inlineStr">
        <is>
          <t>1990-09-27</t>
        </is>
      </c>
      <c r="X856" t="inlineStr">
        <is>
          <t>1990-09-27</t>
        </is>
      </c>
      <c r="Y856" t="n">
        <v>479</v>
      </c>
      <c r="Z856" t="n">
        <v>342</v>
      </c>
      <c r="AA856" t="n">
        <v>347</v>
      </c>
      <c r="AB856" t="n">
        <v>4</v>
      </c>
      <c r="AC856" t="n">
        <v>4</v>
      </c>
      <c r="AD856" t="n">
        <v>13</v>
      </c>
      <c r="AE856" t="n">
        <v>14</v>
      </c>
      <c r="AF856" t="n">
        <v>1</v>
      </c>
      <c r="AG856" t="n">
        <v>1</v>
      </c>
      <c r="AH856" t="n">
        <v>3</v>
      </c>
      <c r="AI856" t="n">
        <v>4</v>
      </c>
      <c r="AJ856" t="n">
        <v>9</v>
      </c>
      <c r="AK856" t="n">
        <v>10</v>
      </c>
      <c r="AL856" t="n">
        <v>3</v>
      </c>
      <c r="AM856" t="n">
        <v>3</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HYPERLINK("https://creighton-primo.hosted.exlibrisgroup.com/primo-explore/search?tab=default_tab&amp;search_scope=EVERYTHING&amp;vid=01CRU&amp;lang=en_US&amp;offset=0&amp;query=any,contains,991005363279702656","Catalog Record")</f>
        <v/>
      </c>
      <c r="AT856">
        <f>HYPERLINK("http://www.worldcat.org/oclc/1602328","WorldCat Record")</f>
        <v/>
      </c>
      <c r="AU856" t="inlineStr">
        <is>
          <t>2384835:eng</t>
        </is>
      </c>
      <c r="AV856" t="inlineStr">
        <is>
          <t>1602328</t>
        </is>
      </c>
      <c r="AW856" t="inlineStr">
        <is>
          <t>991005363279702656</t>
        </is>
      </c>
      <c r="AX856" t="inlineStr">
        <is>
          <t>991005363279702656</t>
        </is>
      </c>
      <c r="AY856" t="inlineStr">
        <is>
          <t>2266755910002656</t>
        </is>
      </c>
      <c r="AZ856" t="inlineStr">
        <is>
          <t>BOOK</t>
        </is>
      </c>
      <c r="BB856" t="inlineStr">
        <is>
          <t>9780521209649</t>
        </is>
      </c>
      <c r="BC856" t="inlineStr">
        <is>
          <t>32285000317072</t>
        </is>
      </c>
      <c r="BD856" t="inlineStr">
        <is>
          <t>893418823</t>
        </is>
      </c>
    </row>
    <row r="857">
      <c r="A857" t="inlineStr">
        <is>
          <t>No</t>
        </is>
      </c>
      <c r="B857" t="inlineStr">
        <is>
          <t>GN588 .P57</t>
        </is>
      </c>
      <c r="C857" t="inlineStr">
        <is>
          <t>0                      GN 0588000P  57</t>
        </is>
      </c>
      <c r="D857" t="inlineStr">
        <is>
          <t>The fate of Shechem : or, The politics of sex : essays in the anthropology of the Mediterranean / Julian Pitt-Rivers.</t>
        </is>
      </c>
      <c r="F857" t="inlineStr">
        <is>
          <t>No</t>
        </is>
      </c>
      <c r="G857" t="inlineStr">
        <is>
          <t>1</t>
        </is>
      </c>
      <c r="H857" t="inlineStr">
        <is>
          <t>No</t>
        </is>
      </c>
      <c r="I857" t="inlineStr">
        <is>
          <t>No</t>
        </is>
      </c>
      <c r="J857" t="inlineStr">
        <is>
          <t>0</t>
        </is>
      </c>
      <c r="K857" t="inlineStr">
        <is>
          <t>Pitt-Rivers, Julian Alfred.</t>
        </is>
      </c>
      <c r="L857" t="inlineStr">
        <is>
          <t>Cambridge [Eng.] : Cambridge University Press, 1977.</t>
        </is>
      </c>
      <c r="M857" t="inlineStr">
        <is>
          <t>1977</t>
        </is>
      </c>
      <c r="O857" t="inlineStr">
        <is>
          <t>eng</t>
        </is>
      </c>
      <c r="P857" t="inlineStr">
        <is>
          <t>enk</t>
        </is>
      </c>
      <c r="Q857" t="inlineStr">
        <is>
          <t>Cambridge studies in social anthropology ; no. 19</t>
        </is>
      </c>
      <c r="R857" t="inlineStr">
        <is>
          <t xml:space="preserve">GN </t>
        </is>
      </c>
      <c r="S857" t="n">
        <v>10</v>
      </c>
      <c r="T857" t="n">
        <v>10</v>
      </c>
      <c r="U857" t="inlineStr">
        <is>
          <t>2003-09-05</t>
        </is>
      </c>
      <c r="V857" t="inlineStr">
        <is>
          <t>2003-09-05</t>
        </is>
      </c>
      <c r="W857" t="inlineStr">
        <is>
          <t>1993-04-26</t>
        </is>
      </c>
      <c r="X857" t="inlineStr">
        <is>
          <t>1993-04-26</t>
        </is>
      </c>
      <c r="Y857" t="n">
        <v>541</v>
      </c>
      <c r="Z857" t="n">
        <v>382</v>
      </c>
      <c r="AA857" t="n">
        <v>385</v>
      </c>
      <c r="AB857" t="n">
        <v>4</v>
      </c>
      <c r="AC857" t="n">
        <v>4</v>
      </c>
      <c r="AD857" t="n">
        <v>14</v>
      </c>
      <c r="AE857" t="n">
        <v>14</v>
      </c>
      <c r="AF857" t="n">
        <v>1</v>
      </c>
      <c r="AG857" t="n">
        <v>1</v>
      </c>
      <c r="AH857" t="n">
        <v>4</v>
      </c>
      <c r="AI857" t="n">
        <v>4</v>
      </c>
      <c r="AJ857" t="n">
        <v>9</v>
      </c>
      <c r="AK857" t="n">
        <v>9</v>
      </c>
      <c r="AL857" t="n">
        <v>3</v>
      </c>
      <c r="AM857" t="n">
        <v>3</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HYPERLINK("https://creighton-primo.hosted.exlibrisgroup.com/primo-explore/search?tab=default_tab&amp;search_scope=EVERYTHING&amp;vid=01CRU&amp;lang=en_US&amp;offset=0&amp;query=any,contains,991005369859702656","Catalog Record")</f>
        <v/>
      </c>
      <c r="AT857">
        <f>HYPERLINK("http://www.worldcat.org/oclc/2524502","WorldCat Record")</f>
        <v/>
      </c>
      <c r="AU857" t="inlineStr">
        <is>
          <t>365090186:eng</t>
        </is>
      </c>
      <c r="AV857" t="inlineStr">
        <is>
          <t>2524502</t>
        </is>
      </c>
      <c r="AW857" t="inlineStr">
        <is>
          <t>991005369859702656</t>
        </is>
      </c>
      <c r="AX857" t="inlineStr">
        <is>
          <t>991005369859702656</t>
        </is>
      </c>
      <c r="AY857" t="inlineStr">
        <is>
          <t>2270537740002656</t>
        </is>
      </c>
      <c r="AZ857" t="inlineStr">
        <is>
          <t>BOOK</t>
        </is>
      </c>
      <c r="BB857" t="inlineStr">
        <is>
          <t>9780521214278</t>
        </is>
      </c>
      <c r="BC857" t="inlineStr">
        <is>
          <t>32285001624203</t>
        </is>
      </c>
      <c r="BD857" t="inlineStr">
        <is>
          <t>893905418</t>
        </is>
      </c>
    </row>
    <row r="858">
      <c r="A858" t="inlineStr">
        <is>
          <t>No</t>
        </is>
      </c>
      <c r="B858" t="inlineStr">
        <is>
          <t>GN6 .B3 2000</t>
        </is>
      </c>
      <c r="C858" t="inlineStr">
        <is>
          <t>0                      GN 0006000B  3           2000</t>
        </is>
      </c>
      <c r="D858" t="inlineStr">
        <is>
          <t>Steps to an ecology of mind / Gregory Bateson.</t>
        </is>
      </c>
      <c r="F858" t="inlineStr">
        <is>
          <t>No</t>
        </is>
      </c>
      <c r="G858" t="inlineStr">
        <is>
          <t>1</t>
        </is>
      </c>
      <c r="H858" t="inlineStr">
        <is>
          <t>No</t>
        </is>
      </c>
      <c r="I858" t="inlineStr">
        <is>
          <t>No</t>
        </is>
      </c>
      <c r="J858" t="inlineStr">
        <is>
          <t>0</t>
        </is>
      </c>
      <c r="K858" t="inlineStr">
        <is>
          <t>Bateson, Gregory, 1904-1980.</t>
        </is>
      </c>
      <c r="L858" t="inlineStr">
        <is>
          <t>Chicago : University of Chicago Press, 2000.</t>
        </is>
      </c>
      <c r="M858" t="inlineStr">
        <is>
          <t>2000</t>
        </is>
      </c>
      <c r="N858" t="inlineStr">
        <is>
          <t>University of Chicago Press ed.</t>
        </is>
      </c>
      <c r="O858" t="inlineStr">
        <is>
          <t>eng</t>
        </is>
      </c>
      <c r="P858" t="inlineStr">
        <is>
          <t>ilu</t>
        </is>
      </c>
      <c r="R858" t="inlineStr">
        <is>
          <t xml:space="preserve">GN </t>
        </is>
      </c>
      <c r="S858" t="n">
        <v>6</v>
      </c>
      <c r="T858" t="n">
        <v>6</v>
      </c>
      <c r="U858" t="inlineStr">
        <is>
          <t>2006-02-19</t>
        </is>
      </c>
      <c r="V858" t="inlineStr">
        <is>
          <t>2006-02-19</t>
        </is>
      </c>
      <c r="W858" t="inlineStr">
        <is>
          <t>2000-11-09</t>
        </is>
      </c>
      <c r="X858" t="inlineStr">
        <is>
          <t>2000-11-09</t>
        </is>
      </c>
      <c r="Y858" t="n">
        <v>402</v>
      </c>
      <c r="Z858" t="n">
        <v>289</v>
      </c>
      <c r="AA858" t="n">
        <v>668</v>
      </c>
      <c r="AB858" t="n">
        <v>3</v>
      </c>
      <c r="AC858" t="n">
        <v>4</v>
      </c>
      <c r="AD858" t="n">
        <v>15</v>
      </c>
      <c r="AE858" t="n">
        <v>30</v>
      </c>
      <c r="AF858" t="n">
        <v>5</v>
      </c>
      <c r="AG858" t="n">
        <v>12</v>
      </c>
      <c r="AH858" t="n">
        <v>4</v>
      </c>
      <c r="AI858" t="n">
        <v>6</v>
      </c>
      <c r="AJ858" t="n">
        <v>10</v>
      </c>
      <c r="AK858" t="n">
        <v>15</v>
      </c>
      <c r="AL858" t="n">
        <v>2</v>
      </c>
      <c r="AM858" t="n">
        <v>3</v>
      </c>
      <c r="AN858" t="n">
        <v>1</v>
      </c>
      <c r="AO858" t="n">
        <v>1</v>
      </c>
      <c r="AP858" t="inlineStr">
        <is>
          <t>No</t>
        </is>
      </c>
      <c r="AQ858" t="inlineStr">
        <is>
          <t>No</t>
        </is>
      </c>
      <c r="AS858">
        <f>HYPERLINK("https://creighton-primo.hosted.exlibrisgroup.com/primo-explore/search?tab=default_tab&amp;search_scope=EVERYTHING&amp;vid=01CRU&amp;lang=en_US&amp;offset=0&amp;query=any,contains,991003305619702656","Catalog Record")</f>
        <v/>
      </c>
      <c r="AT858">
        <f>HYPERLINK("http://www.worldcat.org/oclc/42295815","WorldCat Record")</f>
        <v/>
      </c>
      <c r="AU858" t="inlineStr">
        <is>
          <t>3374069923:eng</t>
        </is>
      </c>
      <c r="AV858" t="inlineStr">
        <is>
          <t>42295815</t>
        </is>
      </c>
      <c r="AW858" t="inlineStr">
        <is>
          <t>991003305619702656</t>
        </is>
      </c>
      <c r="AX858" t="inlineStr">
        <is>
          <t>991003305619702656</t>
        </is>
      </c>
      <c r="AY858" t="inlineStr">
        <is>
          <t>2255674780002656</t>
        </is>
      </c>
      <c r="AZ858" t="inlineStr">
        <is>
          <t>BOOK</t>
        </is>
      </c>
      <c r="BB858" t="inlineStr">
        <is>
          <t>9780226039053</t>
        </is>
      </c>
      <c r="BC858" t="inlineStr">
        <is>
          <t>32285004265103</t>
        </is>
      </c>
      <c r="BD858" t="inlineStr">
        <is>
          <t>893774599</t>
        </is>
      </c>
    </row>
    <row r="859">
      <c r="A859" t="inlineStr">
        <is>
          <t>No</t>
        </is>
      </c>
      <c r="B859" t="inlineStr">
        <is>
          <t>GN6 .H3 1967</t>
        </is>
      </c>
      <c r="C859" t="inlineStr">
        <is>
          <t>0                      GN 0006000H  3           1967</t>
        </is>
      </c>
      <c r="D859" t="inlineStr">
        <is>
          <t>Culture and experience, by A. Irving Hallowell.</t>
        </is>
      </c>
      <c r="F859" t="inlineStr">
        <is>
          <t>No</t>
        </is>
      </c>
      <c r="G859" t="inlineStr">
        <is>
          <t>1</t>
        </is>
      </c>
      <c r="H859" t="inlineStr">
        <is>
          <t>No</t>
        </is>
      </c>
      <c r="I859" t="inlineStr">
        <is>
          <t>No</t>
        </is>
      </c>
      <c r="J859" t="inlineStr">
        <is>
          <t>0</t>
        </is>
      </c>
      <c r="K859" t="inlineStr">
        <is>
          <t>Hallowell, A. Irving (Alfred Irving), 1892-1974.</t>
        </is>
      </c>
      <c r="L859" t="inlineStr">
        <is>
          <t>New York, Schocken Books [1967, c1955]</t>
        </is>
      </c>
      <c r="M859" t="inlineStr">
        <is>
          <t>1967</t>
        </is>
      </c>
      <c r="O859" t="inlineStr">
        <is>
          <t>eng</t>
        </is>
      </c>
      <c r="P859" t="inlineStr">
        <is>
          <t>nyu</t>
        </is>
      </c>
      <c r="R859" t="inlineStr">
        <is>
          <t xml:space="preserve">GN </t>
        </is>
      </c>
      <c r="S859" t="n">
        <v>1</v>
      </c>
      <c r="T859" t="n">
        <v>1</v>
      </c>
      <c r="U859" t="inlineStr">
        <is>
          <t>2004-11-16</t>
        </is>
      </c>
      <c r="V859" t="inlineStr">
        <is>
          <t>2004-11-16</t>
        </is>
      </c>
      <c r="W859" t="inlineStr">
        <is>
          <t>1997-05-27</t>
        </is>
      </c>
      <c r="X859" t="inlineStr">
        <is>
          <t>1997-05-27</t>
        </is>
      </c>
      <c r="Y859" t="n">
        <v>287</v>
      </c>
      <c r="Z859" t="n">
        <v>232</v>
      </c>
      <c r="AA859" t="n">
        <v>839</v>
      </c>
      <c r="AB859" t="n">
        <v>3</v>
      </c>
      <c r="AC859" t="n">
        <v>6</v>
      </c>
      <c r="AD859" t="n">
        <v>12</v>
      </c>
      <c r="AE859" t="n">
        <v>36</v>
      </c>
      <c r="AF859" t="n">
        <v>4</v>
      </c>
      <c r="AG859" t="n">
        <v>14</v>
      </c>
      <c r="AH859" t="n">
        <v>3</v>
      </c>
      <c r="AI859" t="n">
        <v>6</v>
      </c>
      <c r="AJ859" t="n">
        <v>6</v>
      </c>
      <c r="AK859" t="n">
        <v>19</v>
      </c>
      <c r="AL859" t="n">
        <v>2</v>
      </c>
      <c r="AM859" t="n">
        <v>5</v>
      </c>
      <c r="AN859" t="n">
        <v>0</v>
      </c>
      <c r="AO859" t="n">
        <v>0</v>
      </c>
      <c r="AP859" t="inlineStr">
        <is>
          <t>No</t>
        </is>
      </c>
      <c r="AQ859" t="inlineStr">
        <is>
          <t>No</t>
        </is>
      </c>
      <c r="AR859">
        <f>HYPERLINK("http://catalog.hathitrust.org/Record/102070542","HathiTrust Record")</f>
        <v/>
      </c>
      <c r="AS859">
        <f>HYPERLINK("https://creighton-primo.hosted.exlibrisgroup.com/primo-explore/search?tab=default_tab&amp;search_scope=EVERYTHING&amp;vid=01CRU&amp;lang=en_US&amp;offset=0&amp;query=any,contains,991002125079702656","Catalog Record")</f>
        <v/>
      </c>
      <c r="AT859">
        <f>HYPERLINK("http://www.worldcat.org/oclc/269143","WorldCat Record")</f>
        <v/>
      </c>
      <c r="AU859" t="inlineStr">
        <is>
          <t>1394008:eng</t>
        </is>
      </c>
      <c r="AV859" t="inlineStr">
        <is>
          <t>269143</t>
        </is>
      </c>
      <c r="AW859" t="inlineStr">
        <is>
          <t>991002125079702656</t>
        </is>
      </c>
      <c r="AX859" t="inlineStr">
        <is>
          <t>991002125079702656</t>
        </is>
      </c>
      <c r="AY859" t="inlineStr">
        <is>
          <t>2267400290002656</t>
        </is>
      </c>
      <c r="AZ859" t="inlineStr">
        <is>
          <t>BOOK</t>
        </is>
      </c>
      <c r="BC859" t="inlineStr">
        <is>
          <t>32285002694320</t>
        </is>
      </c>
      <c r="BD859" t="inlineStr">
        <is>
          <t>893420964</t>
        </is>
      </c>
    </row>
    <row r="860">
      <c r="A860" t="inlineStr">
        <is>
          <t>No</t>
        </is>
      </c>
      <c r="B860" t="inlineStr">
        <is>
          <t>GN60 .H8 1971</t>
        </is>
      </c>
      <c r="C860" t="inlineStr">
        <is>
          <t>0                      GN 0060000H  8           1971</t>
        </is>
      </c>
      <c r="D860" t="inlineStr">
        <is>
          <t>The human species : an introduction to physical anthropology / [by] Frederick S. Hulse.</t>
        </is>
      </c>
      <c r="F860" t="inlineStr">
        <is>
          <t>No</t>
        </is>
      </c>
      <c r="G860" t="inlineStr">
        <is>
          <t>1</t>
        </is>
      </c>
      <c r="H860" t="inlineStr">
        <is>
          <t>No</t>
        </is>
      </c>
      <c r="I860" t="inlineStr">
        <is>
          <t>No</t>
        </is>
      </c>
      <c r="J860" t="inlineStr">
        <is>
          <t>0</t>
        </is>
      </c>
      <c r="K860" t="inlineStr">
        <is>
          <t>Hulse, Frederick S. (Frederick Seymour), 1906-1990.</t>
        </is>
      </c>
      <c r="L860" t="inlineStr">
        <is>
          <t>New York : Random House, [1971]</t>
        </is>
      </c>
      <c r="M860" t="inlineStr">
        <is>
          <t>1971</t>
        </is>
      </c>
      <c r="N860" t="inlineStr">
        <is>
          <t>2d ed.</t>
        </is>
      </c>
      <c r="O860" t="inlineStr">
        <is>
          <t>eng</t>
        </is>
      </c>
      <c r="P860" t="inlineStr">
        <is>
          <t>nyu</t>
        </is>
      </c>
      <c r="R860" t="inlineStr">
        <is>
          <t xml:space="preserve">GN </t>
        </is>
      </c>
      <c r="S860" t="n">
        <v>7</v>
      </c>
      <c r="T860" t="n">
        <v>7</v>
      </c>
      <c r="U860" t="inlineStr">
        <is>
          <t>2009-02-21</t>
        </is>
      </c>
      <c r="V860" t="inlineStr">
        <is>
          <t>2009-02-21</t>
        </is>
      </c>
      <c r="W860" t="inlineStr">
        <is>
          <t>1994-02-23</t>
        </is>
      </c>
      <c r="X860" t="inlineStr">
        <is>
          <t>1994-02-23</t>
        </is>
      </c>
      <c r="Y860" t="n">
        <v>333</v>
      </c>
      <c r="Z860" t="n">
        <v>262</v>
      </c>
      <c r="AA860" t="n">
        <v>878</v>
      </c>
      <c r="AB860" t="n">
        <v>2</v>
      </c>
      <c r="AC860" t="n">
        <v>9</v>
      </c>
      <c r="AD860" t="n">
        <v>7</v>
      </c>
      <c r="AE860" t="n">
        <v>36</v>
      </c>
      <c r="AF860" t="n">
        <v>2</v>
      </c>
      <c r="AG860" t="n">
        <v>14</v>
      </c>
      <c r="AH860" t="n">
        <v>2</v>
      </c>
      <c r="AI860" t="n">
        <v>7</v>
      </c>
      <c r="AJ860" t="n">
        <v>5</v>
      </c>
      <c r="AK860" t="n">
        <v>18</v>
      </c>
      <c r="AL860" t="n">
        <v>1</v>
      </c>
      <c r="AM860" t="n">
        <v>7</v>
      </c>
      <c r="AN860" t="n">
        <v>0</v>
      </c>
      <c r="AO860" t="n">
        <v>0</v>
      </c>
      <c r="AP860" t="inlineStr">
        <is>
          <t>No</t>
        </is>
      </c>
      <c r="AQ860" t="inlineStr">
        <is>
          <t>Yes</t>
        </is>
      </c>
      <c r="AR860">
        <f>HYPERLINK("http://catalog.hathitrust.org/Record/001274279","HathiTrust Record")</f>
        <v/>
      </c>
      <c r="AS860">
        <f>HYPERLINK("https://creighton-primo.hosted.exlibrisgroup.com/primo-explore/search?tab=default_tab&amp;search_scope=EVERYTHING&amp;vid=01CRU&amp;lang=en_US&amp;offset=0&amp;query=any,contains,991000821649702656","Catalog Record")</f>
        <v/>
      </c>
      <c r="AT860">
        <f>HYPERLINK("http://www.worldcat.org/oclc/145159","WorldCat Record")</f>
        <v/>
      </c>
      <c r="AU860" t="inlineStr">
        <is>
          <t>133340049:eng</t>
        </is>
      </c>
      <c r="AV860" t="inlineStr">
        <is>
          <t>145159</t>
        </is>
      </c>
      <c r="AW860" t="inlineStr">
        <is>
          <t>991000821649702656</t>
        </is>
      </c>
      <c r="AX860" t="inlineStr">
        <is>
          <t>991000821649702656</t>
        </is>
      </c>
      <c r="AY860" t="inlineStr">
        <is>
          <t>2257659940002656</t>
        </is>
      </c>
      <c r="AZ860" t="inlineStr">
        <is>
          <t>BOOK</t>
        </is>
      </c>
      <c r="BB860" t="inlineStr">
        <is>
          <t>9780394310107</t>
        </is>
      </c>
      <c r="BC860" t="inlineStr">
        <is>
          <t>32285001839793</t>
        </is>
      </c>
      <c r="BD860" t="inlineStr">
        <is>
          <t>893237636</t>
        </is>
      </c>
    </row>
    <row r="861">
      <c r="A861" t="inlineStr">
        <is>
          <t>No</t>
        </is>
      </c>
      <c r="B861" t="inlineStr">
        <is>
          <t>GN62 .G68</t>
        </is>
      </c>
      <c r="C861" t="inlineStr">
        <is>
          <t>0                      GN 0062000G  68</t>
        </is>
      </c>
      <c r="D861" t="inlineStr">
        <is>
          <t>The future of man / introd. by Sir Cyril Burt.</t>
        </is>
      </c>
      <c r="F861" t="inlineStr">
        <is>
          <t>No</t>
        </is>
      </c>
      <c r="G861" t="inlineStr">
        <is>
          <t>1</t>
        </is>
      </c>
      <c r="H861" t="inlineStr">
        <is>
          <t>No</t>
        </is>
      </c>
      <c r="I861" t="inlineStr">
        <is>
          <t>No</t>
        </is>
      </c>
      <c r="J861" t="inlineStr">
        <is>
          <t>0</t>
        </is>
      </c>
      <c r="K861" t="inlineStr">
        <is>
          <t>Graham, Robert Klark.</t>
        </is>
      </c>
      <c r="L861" t="inlineStr">
        <is>
          <t>North Quincy, Mass. : Christopher Pub. House, [1970]</t>
        </is>
      </c>
      <c r="M861" t="inlineStr">
        <is>
          <t>1970</t>
        </is>
      </c>
      <c r="O861" t="inlineStr">
        <is>
          <t>eng</t>
        </is>
      </c>
      <c r="P861" t="inlineStr">
        <is>
          <t>mau</t>
        </is>
      </c>
      <c r="R861" t="inlineStr">
        <is>
          <t xml:space="preserve">GN </t>
        </is>
      </c>
      <c r="S861" t="n">
        <v>2</v>
      </c>
      <c r="T861" t="n">
        <v>2</v>
      </c>
      <c r="U861" t="inlineStr">
        <is>
          <t>1994-04-04</t>
        </is>
      </c>
      <c r="V861" t="inlineStr">
        <is>
          <t>1994-04-04</t>
        </is>
      </c>
      <c r="W861" t="inlineStr">
        <is>
          <t>1994-02-23</t>
        </is>
      </c>
      <c r="X861" t="inlineStr">
        <is>
          <t>1994-02-23</t>
        </is>
      </c>
      <c r="Y861" t="n">
        <v>221</v>
      </c>
      <c r="Z861" t="n">
        <v>200</v>
      </c>
      <c r="AA861" t="n">
        <v>216</v>
      </c>
      <c r="AB861" t="n">
        <v>1</v>
      </c>
      <c r="AC861" t="n">
        <v>1</v>
      </c>
      <c r="AD861" t="n">
        <v>10</v>
      </c>
      <c r="AE861" t="n">
        <v>10</v>
      </c>
      <c r="AF861" t="n">
        <v>3</v>
      </c>
      <c r="AG861" t="n">
        <v>3</v>
      </c>
      <c r="AH861" t="n">
        <v>2</v>
      </c>
      <c r="AI861" t="n">
        <v>2</v>
      </c>
      <c r="AJ861" t="n">
        <v>8</v>
      </c>
      <c r="AK861" t="n">
        <v>8</v>
      </c>
      <c r="AL861" t="n">
        <v>0</v>
      </c>
      <c r="AM861" t="n">
        <v>0</v>
      </c>
      <c r="AN861" t="n">
        <v>0</v>
      </c>
      <c r="AO861" t="n">
        <v>0</v>
      </c>
      <c r="AP861" t="inlineStr">
        <is>
          <t>No</t>
        </is>
      </c>
      <c r="AQ861" t="inlineStr">
        <is>
          <t>Yes</t>
        </is>
      </c>
      <c r="AR861">
        <f>HYPERLINK("http://catalog.hathitrust.org/Record/001274296","HathiTrust Record")</f>
        <v/>
      </c>
      <c r="AS861">
        <f>HYPERLINK("https://creighton-primo.hosted.exlibrisgroup.com/primo-explore/search?tab=default_tab&amp;search_scope=EVERYTHING&amp;vid=01CRU&amp;lang=en_US&amp;offset=0&amp;query=any,contains,991000629949702656","Catalog Record")</f>
        <v/>
      </c>
      <c r="AT861">
        <f>HYPERLINK("http://www.worldcat.org/oclc/105682","WorldCat Record")</f>
        <v/>
      </c>
      <c r="AU861" t="inlineStr">
        <is>
          <t>3943270881:eng</t>
        </is>
      </c>
      <c r="AV861" t="inlineStr">
        <is>
          <t>105682</t>
        </is>
      </c>
      <c r="AW861" t="inlineStr">
        <is>
          <t>991000629949702656</t>
        </is>
      </c>
      <c r="AX861" t="inlineStr">
        <is>
          <t>991000629949702656</t>
        </is>
      </c>
      <c r="AY861" t="inlineStr">
        <is>
          <t>2263110370002656</t>
        </is>
      </c>
      <c r="AZ861" t="inlineStr">
        <is>
          <t>BOOK</t>
        </is>
      </c>
      <c r="BB861" t="inlineStr">
        <is>
          <t>9780815800330</t>
        </is>
      </c>
      <c r="BC861" t="inlineStr">
        <is>
          <t>32285001839785</t>
        </is>
      </c>
      <c r="BD861" t="inlineStr">
        <is>
          <t>893702286</t>
        </is>
      </c>
    </row>
    <row r="862">
      <c r="A862" t="inlineStr">
        <is>
          <t>No</t>
        </is>
      </c>
      <c r="B862" t="inlineStr">
        <is>
          <t>GN62 .P53 1972</t>
        </is>
      </c>
      <c r="C862" t="inlineStr">
        <is>
          <t>0                      GN 0062000P  53          1972</t>
        </is>
      </c>
      <c r="D862" t="inlineStr">
        <is>
          <t>Der Mensch : sein Körper und sein Geist / Markus Plessner ; eine bilddokumentation hrsg. von Roland Gööck.</t>
        </is>
      </c>
      <c r="F862" t="inlineStr">
        <is>
          <t>No</t>
        </is>
      </c>
      <c r="G862" t="inlineStr">
        <is>
          <t>1</t>
        </is>
      </c>
      <c r="H862" t="inlineStr">
        <is>
          <t>No</t>
        </is>
      </c>
      <c r="I862" t="inlineStr">
        <is>
          <t>No</t>
        </is>
      </c>
      <c r="J862" t="inlineStr">
        <is>
          <t>0</t>
        </is>
      </c>
      <c r="K862" t="inlineStr">
        <is>
          <t>Plessner, Markus.</t>
        </is>
      </c>
      <c r="L862" t="inlineStr">
        <is>
          <t>München : C. Bertelsmann, [c1972].</t>
        </is>
      </c>
      <c r="M862" t="inlineStr">
        <is>
          <t>1972</t>
        </is>
      </c>
      <c r="O862" t="inlineStr">
        <is>
          <t>ger</t>
        </is>
      </c>
      <c r="P862" t="inlineStr">
        <is>
          <t xml:space="preserve">gw </t>
        </is>
      </c>
      <c r="Q862" t="inlineStr">
        <is>
          <t>Der Mensch in seiner Welt ; 5</t>
        </is>
      </c>
      <c r="R862" t="inlineStr">
        <is>
          <t xml:space="preserve">GN </t>
        </is>
      </c>
      <c r="S862" t="n">
        <v>2</v>
      </c>
      <c r="T862" t="n">
        <v>2</v>
      </c>
      <c r="U862" t="inlineStr">
        <is>
          <t>2008-02-22</t>
        </is>
      </c>
      <c r="V862" t="inlineStr">
        <is>
          <t>2008-02-22</t>
        </is>
      </c>
      <c r="W862" t="inlineStr">
        <is>
          <t>1993-11-22</t>
        </is>
      </c>
      <c r="X862" t="inlineStr">
        <is>
          <t>1993-11-22</t>
        </is>
      </c>
      <c r="Y862" t="n">
        <v>7</v>
      </c>
      <c r="Z862" t="n">
        <v>5</v>
      </c>
      <c r="AA862" t="n">
        <v>5</v>
      </c>
      <c r="AB862" t="n">
        <v>1</v>
      </c>
      <c r="AC862" t="n">
        <v>1</v>
      </c>
      <c r="AD862" t="n">
        <v>0</v>
      </c>
      <c r="AE862" t="n">
        <v>0</v>
      </c>
      <c r="AF862" t="n">
        <v>0</v>
      </c>
      <c r="AG862" t="n">
        <v>0</v>
      </c>
      <c r="AH862" t="n">
        <v>0</v>
      </c>
      <c r="AI862" t="n">
        <v>0</v>
      </c>
      <c r="AJ862" t="n">
        <v>0</v>
      </c>
      <c r="AK862" t="n">
        <v>0</v>
      </c>
      <c r="AL862" t="n">
        <v>0</v>
      </c>
      <c r="AM862" t="n">
        <v>0</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HYPERLINK("https://creighton-primo.hosted.exlibrisgroup.com/primo-explore/search?tab=default_tab&amp;search_scope=EVERYTHING&amp;vid=01CRU&amp;lang=en_US&amp;offset=0&amp;query=any,contains,991001575799702656","Catalog Record")</f>
        <v/>
      </c>
      <c r="AT862">
        <f>HYPERLINK("http://www.worldcat.org/oclc/229916221","WorldCat Record")</f>
        <v/>
      </c>
      <c r="AU862" t="inlineStr">
        <is>
          <t>5610517318:ger</t>
        </is>
      </c>
      <c r="AV862" t="inlineStr">
        <is>
          <t>229916221</t>
        </is>
      </c>
      <c r="AW862" t="inlineStr">
        <is>
          <t>991001575799702656</t>
        </is>
      </c>
      <c r="AX862" t="inlineStr">
        <is>
          <t>991001575799702656</t>
        </is>
      </c>
      <c r="AY862" t="inlineStr">
        <is>
          <t>2262955130002656</t>
        </is>
      </c>
      <c r="AZ862" t="inlineStr">
        <is>
          <t>BOOK</t>
        </is>
      </c>
      <c r="BC862" t="inlineStr">
        <is>
          <t>32285001802239</t>
        </is>
      </c>
      <c r="BD862" t="inlineStr">
        <is>
          <t>893328211</t>
        </is>
      </c>
    </row>
    <row r="863">
      <c r="A863" t="inlineStr">
        <is>
          <t>No</t>
        </is>
      </c>
      <c r="B863" t="inlineStr">
        <is>
          <t>GN62 .W73 1963</t>
        </is>
      </c>
      <c r="C863" t="inlineStr">
        <is>
          <t>0                      GN 0062000W  73          1963</t>
        </is>
      </c>
      <c r="D863" t="inlineStr">
        <is>
          <t>Man and his future : a Ciba Foundation volume.</t>
        </is>
      </c>
      <c r="F863" t="inlineStr">
        <is>
          <t>No</t>
        </is>
      </c>
      <c r="G863" t="inlineStr">
        <is>
          <t>1</t>
        </is>
      </c>
      <c r="H863" t="inlineStr">
        <is>
          <t>No</t>
        </is>
      </c>
      <c r="I863" t="inlineStr">
        <is>
          <t>No</t>
        </is>
      </c>
      <c r="J863" t="inlineStr">
        <is>
          <t>0</t>
        </is>
      </c>
      <c r="K863" t="inlineStr">
        <is>
          <t>Wolstenholme, G. E. W. (Gordon Ethelbert Ward), editor.</t>
        </is>
      </c>
      <c r="L863" t="inlineStr">
        <is>
          <t>Boston : Little, Brown, 1963.</t>
        </is>
      </c>
      <c r="M863" t="inlineStr">
        <is>
          <t>1963</t>
        </is>
      </c>
      <c r="N863" t="inlineStr">
        <is>
          <t>[1st American ed.]</t>
        </is>
      </c>
      <c r="O863" t="inlineStr">
        <is>
          <t>eng</t>
        </is>
      </c>
      <c r="P863" t="inlineStr">
        <is>
          <t>mau</t>
        </is>
      </c>
      <c r="R863" t="inlineStr">
        <is>
          <t xml:space="preserve">GN </t>
        </is>
      </c>
      <c r="S863" t="n">
        <v>3</v>
      </c>
      <c r="T863" t="n">
        <v>3</v>
      </c>
      <c r="U863" t="inlineStr">
        <is>
          <t>1994-04-04</t>
        </is>
      </c>
      <c r="V863" t="inlineStr">
        <is>
          <t>1994-04-04</t>
        </is>
      </c>
      <c r="W863" t="inlineStr">
        <is>
          <t>1994-02-24</t>
        </is>
      </c>
      <c r="X863" t="inlineStr">
        <is>
          <t>1994-02-24</t>
        </is>
      </c>
      <c r="Y863" t="n">
        <v>415</v>
      </c>
      <c r="Z863" t="n">
        <v>384</v>
      </c>
      <c r="AA863" t="n">
        <v>443</v>
      </c>
      <c r="AB863" t="n">
        <v>2</v>
      </c>
      <c r="AC863" t="n">
        <v>2</v>
      </c>
      <c r="AD863" t="n">
        <v>15</v>
      </c>
      <c r="AE863" t="n">
        <v>16</v>
      </c>
      <c r="AF863" t="n">
        <v>3</v>
      </c>
      <c r="AG863" t="n">
        <v>3</v>
      </c>
      <c r="AH863" t="n">
        <v>5</v>
      </c>
      <c r="AI863" t="n">
        <v>5</v>
      </c>
      <c r="AJ863" t="n">
        <v>10</v>
      </c>
      <c r="AK863" t="n">
        <v>11</v>
      </c>
      <c r="AL863" t="n">
        <v>1</v>
      </c>
      <c r="AM863" t="n">
        <v>1</v>
      </c>
      <c r="AN863" t="n">
        <v>0</v>
      </c>
      <c r="AO863" t="n">
        <v>0</v>
      </c>
      <c r="AP863" t="inlineStr">
        <is>
          <t>No</t>
        </is>
      </c>
      <c r="AQ863" t="inlineStr">
        <is>
          <t>No</t>
        </is>
      </c>
      <c r="AR863">
        <f>HYPERLINK("http://catalog.hathitrust.org/Record/001274297","HathiTrust Record")</f>
        <v/>
      </c>
      <c r="AS863">
        <f>HYPERLINK("https://creighton-primo.hosted.exlibrisgroup.com/primo-explore/search?tab=default_tab&amp;search_scope=EVERYTHING&amp;vid=01CRU&amp;lang=en_US&amp;offset=0&amp;query=any,contains,991002856949702656","Catalog Record")</f>
        <v/>
      </c>
      <c r="AT863">
        <f>HYPERLINK("http://www.worldcat.org/oclc/490403","WorldCat Record")</f>
        <v/>
      </c>
      <c r="AU863" t="inlineStr">
        <is>
          <t>5090489954:eng</t>
        </is>
      </c>
      <c r="AV863" t="inlineStr">
        <is>
          <t>490403</t>
        </is>
      </c>
      <c r="AW863" t="inlineStr">
        <is>
          <t>991002856949702656</t>
        </is>
      </c>
      <c r="AX863" t="inlineStr">
        <is>
          <t>991002856949702656</t>
        </is>
      </c>
      <c r="AY863" t="inlineStr">
        <is>
          <t>2257774100002656</t>
        </is>
      </c>
      <c r="AZ863" t="inlineStr">
        <is>
          <t>BOOK</t>
        </is>
      </c>
      <c r="BC863" t="inlineStr">
        <is>
          <t>32285001850287</t>
        </is>
      </c>
      <c r="BD863" t="inlineStr">
        <is>
          <t>893867787</t>
        </is>
      </c>
    </row>
    <row r="864">
      <c r="A864" t="inlineStr">
        <is>
          <t>No</t>
        </is>
      </c>
      <c r="B864" t="inlineStr">
        <is>
          <t>GN62.5 .T56 1974</t>
        </is>
      </c>
      <c r="C864" t="inlineStr">
        <is>
          <t>0                      GN 0062500T  56          1974</t>
        </is>
      </c>
      <c r="D864" t="inlineStr">
        <is>
          <t>Man in the natural world / edited by Irwin P. Ting.</t>
        </is>
      </c>
      <c r="F864" t="inlineStr">
        <is>
          <t>No</t>
        </is>
      </c>
      <c r="G864" t="inlineStr">
        <is>
          <t>1</t>
        </is>
      </c>
      <c r="H864" t="inlineStr">
        <is>
          <t>No</t>
        </is>
      </c>
      <c r="I864" t="inlineStr">
        <is>
          <t>No</t>
        </is>
      </c>
      <c r="J864" t="inlineStr">
        <is>
          <t>0</t>
        </is>
      </c>
      <c r="K864" t="inlineStr">
        <is>
          <t>Ting, Irwin P. compiler.</t>
        </is>
      </c>
      <c r="L864" t="inlineStr">
        <is>
          <t>New York : MSS Information Corp., [1974, c1973]</t>
        </is>
      </c>
      <c r="M864" t="inlineStr">
        <is>
          <t>1974</t>
        </is>
      </c>
      <c r="O864" t="inlineStr">
        <is>
          <t>eng</t>
        </is>
      </c>
      <c r="P864" t="inlineStr">
        <is>
          <t>nyu</t>
        </is>
      </c>
      <c r="R864" t="inlineStr">
        <is>
          <t xml:space="preserve">GN </t>
        </is>
      </c>
      <c r="S864" t="n">
        <v>2</v>
      </c>
      <c r="T864" t="n">
        <v>2</v>
      </c>
      <c r="U864" t="inlineStr">
        <is>
          <t>1997-02-16</t>
        </is>
      </c>
      <c r="V864" t="inlineStr">
        <is>
          <t>1997-02-16</t>
        </is>
      </c>
      <c r="W864" t="inlineStr">
        <is>
          <t>1994-02-24</t>
        </is>
      </c>
      <c r="X864" t="inlineStr">
        <is>
          <t>1994-02-24</t>
        </is>
      </c>
      <c r="Y864" t="n">
        <v>103</v>
      </c>
      <c r="Z864" t="n">
        <v>97</v>
      </c>
      <c r="AA864" t="n">
        <v>104</v>
      </c>
      <c r="AB864" t="n">
        <v>1</v>
      </c>
      <c r="AC864" t="n">
        <v>1</v>
      </c>
      <c r="AD864" t="n">
        <v>2</v>
      </c>
      <c r="AE864" t="n">
        <v>2</v>
      </c>
      <c r="AF864" t="n">
        <v>1</v>
      </c>
      <c r="AG864" t="n">
        <v>1</v>
      </c>
      <c r="AH864" t="n">
        <v>0</v>
      </c>
      <c r="AI864" t="n">
        <v>0</v>
      </c>
      <c r="AJ864" t="n">
        <v>2</v>
      </c>
      <c r="AK864" t="n">
        <v>2</v>
      </c>
      <c r="AL864" t="n">
        <v>0</v>
      </c>
      <c r="AM864" t="n">
        <v>0</v>
      </c>
      <c r="AN864" t="n">
        <v>0</v>
      </c>
      <c r="AO864" t="n">
        <v>0</v>
      </c>
      <c r="AP864" t="inlineStr">
        <is>
          <t>No</t>
        </is>
      </c>
      <c r="AQ864" t="inlineStr">
        <is>
          <t>Yes</t>
        </is>
      </c>
      <c r="AR864">
        <f>HYPERLINK("http://catalog.hathitrust.org/Record/005995919","HathiTrust Record")</f>
        <v/>
      </c>
      <c r="AS864">
        <f>HYPERLINK("https://creighton-primo.hosted.exlibrisgroup.com/primo-explore/search?tab=default_tab&amp;search_scope=EVERYTHING&amp;vid=01CRU&amp;lang=en_US&amp;offset=0&amp;query=any,contains,991003122029702656","Catalog Record")</f>
        <v/>
      </c>
      <c r="AT864">
        <f>HYPERLINK("http://www.worldcat.org/oclc/667101","WorldCat Record")</f>
        <v/>
      </c>
      <c r="AU864" t="inlineStr">
        <is>
          <t>1678612:eng</t>
        </is>
      </c>
      <c r="AV864" t="inlineStr">
        <is>
          <t>667101</t>
        </is>
      </c>
      <c r="AW864" t="inlineStr">
        <is>
          <t>991003122029702656</t>
        </is>
      </c>
      <c r="AX864" t="inlineStr">
        <is>
          <t>991003122029702656</t>
        </is>
      </c>
      <c r="AY864" t="inlineStr">
        <is>
          <t>2256765210002656</t>
        </is>
      </c>
      <c r="AZ864" t="inlineStr">
        <is>
          <t>BOOK</t>
        </is>
      </c>
      <c r="BB864" t="inlineStr">
        <is>
          <t>9780842203159</t>
        </is>
      </c>
      <c r="BC864" t="inlineStr">
        <is>
          <t>32285001850279</t>
        </is>
      </c>
      <c r="BD864" t="inlineStr">
        <is>
          <t>893711083</t>
        </is>
      </c>
    </row>
    <row r="865">
      <c r="A865" t="inlineStr">
        <is>
          <t>No</t>
        </is>
      </c>
      <c r="B865" t="inlineStr">
        <is>
          <t>GN62.8 .H87 1995</t>
        </is>
      </c>
      <c r="C865" t="inlineStr">
        <is>
          <t>0                      GN 0062800H  87          1995</t>
        </is>
      </c>
      <c r="D865" t="inlineStr">
        <is>
          <t>Human variability and plasticity / edited by C.G.N. Mascie-Taylor and Barry Bogin.</t>
        </is>
      </c>
      <c r="F865" t="inlineStr">
        <is>
          <t>No</t>
        </is>
      </c>
      <c r="G865" t="inlineStr">
        <is>
          <t>1</t>
        </is>
      </c>
      <c r="H865" t="inlineStr">
        <is>
          <t>No</t>
        </is>
      </c>
      <c r="I865" t="inlineStr">
        <is>
          <t>No</t>
        </is>
      </c>
      <c r="J865" t="inlineStr">
        <is>
          <t>0</t>
        </is>
      </c>
      <c r="L865" t="inlineStr">
        <is>
          <t>Cambridge [England] ; New York, NY, USA : Cambridge University Press, 1995</t>
        </is>
      </c>
      <c r="M865" t="inlineStr">
        <is>
          <t>1995</t>
        </is>
      </c>
      <c r="O865" t="inlineStr">
        <is>
          <t>eng</t>
        </is>
      </c>
      <c r="P865" t="inlineStr">
        <is>
          <t>enk</t>
        </is>
      </c>
      <c r="Q865" t="inlineStr">
        <is>
          <t>Cambridge studies in biological anthropology ; 15</t>
        </is>
      </c>
      <c r="R865" t="inlineStr">
        <is>
          <t xml:space="preserve">GN </t>
        </is>
      </c>
      <c r="S865" t="n">
        <v>3</v>
      </c>
      <c r="T865" t="n">
        <v>3</v>
      </c>
      <c r="U865" t="inlineStr">
        <is>
          <t>2009-02-21</t>
        </is>
      </c>
      <c r="V865" t="inlineStr">
        <is>
          <t>2009-02-21</t>
        </is>
      </c>
      <c r="W865" t="inlineStr">
        <is>
          <t>2006-04-13</t>
        </is>
      </c>
      <c r="X865" t="inlineStr">
        <is>
          <t>2006-04-13</t>
        </is>
      </c>
      <c r="Y865" t="n">
        <v>278</v>
      </c>
      <c r="Z865" t="n">
        <v>205</v>
      </c>
      <c r="AA865" t="n">
        <v>220</v>
      </c>
      <c r="AB865" t="n">
        <v>2</v>
      </c>
      <c r="AC865" t="n">
        <v>2</v>
      </c>
      <c r="AD865" t="n">
        <v>11</v>
      </c>
      <c r="AE865" t="n">
        <v>11</v>
      </c>
      <c r="AF865" t="n">
        <v>2</v>
      </c>
      <c r="AG865" t="n">
        <v>2</v>
      </c>
      <c r="AH865" t="n">
        <v>4</v>
      </c>
      <c r="AI865" t="n">
        <v>4</v>
      </c>
      <c r="AJ865" t="n">
        <v>7</v>
      </c>
      <c r="AK865" t="n">
        <v>7</v>
      </c>
      <c r="AL865" t="n">
        <v>1</v>
      </c>
      <c r="AM865" t="n">
        <v>1</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HYPERLINK("https://creighton-primo.hosted.exlibrisgroup.com/primo-explore/search?tab=default_tab&amp;search_scope=EVERYTHING&amp;vid=01CRU&amp;lang=en_US&amp;offset=0&amp;query=any,contains,991004781879702656","Catalog Record")</f>
        <v/>
      </c>
      <c r="AT865">
        <f>HYPERLINK("http://www.worldcat.org/oclc/31170811","WorldCat Record")</f>
        <v/>
      </c>
      <c r="AU865" t="inlineStr">
        <is>
          <t>896281117:eng</t>
        </is>
      </c>
      <c r="AV865" t="inlineStr">
        <is>
          <t>31170811</t>
        </is>
      </c>
      <c r="AW865" t="inlineStr">
        <is>
          <t>991004781879702656</t>
        </is>
      </c>
      <c r="AX865" t="inlineStr">
        <is>
          <t>991004781879702656</t>
        </is>
      </c>
      <c r="AY865" t="inlineStr">
        <is>
          <t>2258509270002656</t>
        </is>
      </c>
      <c r="AZ865" t="inlineStr">
        <is>
          <t>BOOK</t>
        </is>
      </c>
      <c r="BB865" t="inlineStr">
        <is>
          <t>9780521018555</t>
        </is>
      </c>
      <c r="BC865" t="inlineStr">
        <is>
          <t>32285005181374</t>
        </is>
      </c>
      <c r="BD865" t="inlineStr">
        <is>
          <t>893520045</t>
        </is>
      </c>
    </row>
    <row r="866">
      <c r="A866" t="inlineStr">
        <is>
          <t>No</t>
        </is>
      </c>
      <c r="B866" t="inlineStr">
        <is>
          <t>GN62.8 .M37 1995</t>
        </is>
      </c>
      <c r="C866" t="inlineStr">
        <is>
          <t>0                      GN 0062800M  37          1995</t>
        </is>
      </c>
      <c r="D866" t="inlineStr">
        <is>
          <t>Human biodiversity : genes, race, and history / Jonathan Marks.</t>
        </is>
      </c>
      <c r="F866" t="inlineStr">
        <is>
          <t>No</t>
        </is>
      </c>
      <c r="G866" t="inlineStr">
        <is>
          <t>1</t>
        </is>
      </c>
      <c r="H866" t="inlineStr">
        <is>
          <t>Yes</t>
        </is>
      </c>
      <c r="I866" t="inlineStr">
        <is>
          <t>No</t>
        </is>
      </c>
      <c r="J866" t="inlineStr">
        <is>
          <t>0</t>
        </is>
      </c>
      <c r="K866" t="inlineStr">
        <is>
          <t>Marks, Jonathan (Jonathan M.), 1955-</t>
        </is>
      </c>
      <c r="L866" t="inlineStr">
        <is>
          <t>New York : Aldine de Gruyter, c1995.</t>
        </is>
      </c>
      <c r="M866" t="inlineStr">
        <is>
          <t>1995</t>
        </is>
      </c>
      <c r="O866" t="inlineStr">
        <is>
          <t>eng</t>
        </is>
      </c>
      <c r="P866" t="inlineStr">
        <is>
          <t>nyu</t>
        </is>
      </c>
      <c r="Q866" t="inlineStr">
        <is>
          <t>Foundations of human behavior</t>
        </is>
      </c>
      <c r="R866" t="inlineStr">
        <is>
          <t xml:space="preserve">GN </t>
        </is>
      </c>
      <c r="S866" t="n">
        <v>10</v>
      </c>
      <c r="T866" t="n">
        <v>29</v>
      </c>
      <c r="U866" t="inlineStr">
        <is>
          <t>1997-02-27</t>
        </is>
      </c>
      <c r="V866" t="inlineStr">
        <is>
          <t>1998-07-13</t>
        </is>
      </c>
      <c r="W866" t="inlineStr">
        <is>
          <t>1995-04-10</t>
        </is>
      </c>
      <c r="X866" t="inlineStr">
        <is>
          <t>1996-05-31</t>
        </is>
      </c>
      <c r="Y866" t="n">
        <v>876</v>
      </c>
      <c r="Z866" t="n">
        <v>736</v>
      </c>
      <c r="AA866" t="n">
        <v>850</v>
      </c>
      <c r="AB866" t="n">
        <v>5</v>
      </c>
      <c r="AC866" t="n">
        <v>5</v>
      </c>
      <c r="AD866" t="n">
        <v>37</v>
      </c>
      <c r="AE866" t="n">
        <v>37</v>
      </c>
      <c r="AF866" t="n">
        <v>18</v>
      </c>
      <c r="AG866" t="n">
        <v>18</v>
      </c>
      <c r="AH866" t="n">
        <v>7</v>
      </c>
      <c r="AI866" t="n">
        <v>7</v>
      </c>
      <c r="AJ866" t="n">
        <v>18</v>
      </c>
      <c r="AK866" t="n">
        <v>18</v>
      </c>
      <c r="AL866" t="n">
        <v>4</v>
      </c>
      <c r="AM866" t="n">
        <v>4</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HYPERLINK("https://creighton-primo.hosted.exlibrisgroup.com/primo-explore/search?tab=default_tab&amp;search_scope=EVERYTHING&amp;vid=01CRU&amp;lang=en_US&amp;offset=0&amp;query=any,contains,991002358429702656","Catalog Record")</f>
        <v/>
      </c>
      <c r="AT866">
        <f>HYPERLINK("http://www.worldcat.org/oclc/30670896","WorldCat Record")</f>
        <v/>
      </c>
      <c r="AU866" t="inlineStr">
        <is>
          <t>325733283:eng</t>
        </is>
      </c>
      <c r="AV866" t="inlineStr">
        <is>
          <t>30670896</t>
        </is>
      </c>
      <c r="AW866" t="inlineStr">
        <is>
          <t>991002358429702656</t>
        </is>
      </c>
      <c r="AX866" t="inlineStr">
        <is>
          <t>991002358429702656</t>
        </is>
      </c>
      <c r="AY866" t="inlineStr">
        <is>
          <t>2260817730002656</t>
        </is>
      </c>
      <c r="AZ866" t="inlineStr">
        <is>
          <t>BOOK</t>
        </is>
      </c>
      <c r="BB866" t="inlineStr">
        <is>
          <t>9780202020327</t>
        </is>
      </c>
      <c r="BC866" t="inlineStr">
        <is>
          <t>32285002017852</t>
        </is>
      </c>
      <c r="BD866" t="inlineStr">
        <is>
          <t>893510634</t>
        </is>
      </c>
    </row>
    <row r="867">
      <c r="A867" t="inlineStr">
        <is>
          <t>No</t>
        </is>
      </c>
      <c r="B867" t="inlineStr">
        <is>
          <t>GN62.8 .M37 1995</t>
        </is>
      </c>
      <c r="C867" t="inlineStr">
        <is>
          <t>0                      GN 0062800M  37          1995</t>
        </is>
      </c>
      <c r="D867" t="inlineStr">
        <is>
          <t>Human biodiversity : genes, race, and history / Jonathan Marks.</t>
        </is>
      </c>
      <c r="F867" t="inlineStr">
        <is>
          <t>No</t>
        </is>
      </c>
      <c r="G867" t="inlineStr">
        <is>
          <t>1</t>
        </is>
      </c>
      <c r="H867" t="inlineStr">
        <is>
          <t>Yes</t>
        </is>
      </c>
      <c r="I867" t="inlineStr">
        <is>
          <t>No</t>
        </is>
      </c>
      <c r="J867" t="inlineStr">
        <is>
          <t>0</t>
        </is>
      </c>
      <c r="K867" t="inlineStr">
        <is>
          <t>Marks, Jonathan (Jonathan M.), 1955-</t>
        </is>
      </c>
      <c r="L867" t="inlineStr">
        <is>
          <t>New York : Aldine de Gruyter, c1995.</t>
        </is>
      </c>
      <c r="M867" t="inlineStr">
        <is>
          <t>1995</t>
        </is>
      </c>
      <c r="O867" t="inlineStr">
        <is>
          <t>eng</t>
        </is>
      </c>
      <c r="P867" t="inlineStr">
        <is>
          <t>nyu</t>
        </is>
      </c>
      <c r="Q867" t="inlineStr">
        <is>
          <t>Foundations of human behavior</t>
        </is>
      </c>
      <c r="R867" t="inlineStr">
        <is>
          <t xml:space="preserve">GN </t>
        </is>
      </c>
      <c r="S867" t="n">
        <v>19</v>
      </c>
      <c r="T867" t="n">
        <v>29</v>
      </c>
      <c r="U867" t="inlineStr">
        <is>
          <t>1998-07-13</t>
        </is>
      </c>
      <c r="V867" t="inlineStr">
        <is>
          <t>1998-07-13</t>
        </is>
      </c>
      <c r="W867" t="inlineStr">
        <is>
          <t>1996-05-31</t>
        </is>
      </c>
      <c r="X867" t="inlineStr">
        <is>
          <t>1996-05-31</t>
        </is>
      </c>
      <c r="Y867" t="n">
        <v>876</v>
      </c>
      <c r="Z867" t="n">
        <v>736</v>
      </c>
      <c r="AA867" t="n">
        <v>850</v>
      </c>
      <c r="AB867" t="n">
        <v>5</v>
      </c>
      <c r="AC867" t="n">
        <v>5</v>
      </c>
      <c r="AD867" t="n">
        <v>37</v>
      </c>
      <c r="AE867" t="n">
        <v>37</v>
      </c>
      <c r="AF867" t="n">
        <v>18</v>
      </c>
      <c r="AG867" t="n">
        <v>18</v>
      </c>
      <c r="AH867" t="n">
        <v>7</v>
      </c>
      <c r="AI867" t="n">
        <v>7</v>
      </c>
      <c r="AJ867" t="n">
        <v>18</v>
      </c>
      <c r="AK867" t="n">
        <v>18</v>
      </c>
      <c r="AL867" t="n">
        <v>4</v>
      </c>
      <c r="AM867" t="n">
        <v>4</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HYPERLINK("https://creighton-primo.hosted.exlibrisgroup.com/primo-explore/search?tab=default_tab&amp;search_scope=EVERYTHING&amp;vid=01CRU&amp;lang=en_US&amp;offset=0&amp;query=any,contains,991002358429702656","Catalog Record")</f>
        <v/>
      </c>
      <c r="AT867">
        <f>HYPERLINK("http://www.worldcat.org/oclc/30670896","WorldCat Record")</f>
        <v/>
      </c>
      <c r="AU867" t="inlineStr">
        <is>
          <t>325733283:eng</t>
        </is>
      </c>
      <c r="AV867" t="inlineStr">
        <is>
          <t>30670896</t>
        </is>
      </c>
      <c r="AW867" t="inlineStr">
        <is>
          <t>991002358429702656</t>
        </is>
      </c>
      <c r="AX867" t="inlineStr">
        <is>
          <t>991002358429702656</t>
        </is>
      </c>
      <c r="AY867" t="inlineStr">
        <is>
          <t>2260817730002656</t>
        </is>
      </c>
      <c r="AZ867" t="inlineStr">
        <is>
          <t>BOOK</t>
        </is>
      </c>
      <c r="BB867" t="inlineStr">
        <is>
          <t>9780202020327</t>
        </is>
      </c>
      <c r="BC867" t="inlineStr">
        <is>
          <t>32285002186319</t>
        </is>
      </c>
      <c r="BD867" t="inlineStr">
        <is>
          <t>893498027</t>
        </is>
      </c>
    </row>
    <row r="868">
      <c r="A868" t="inlineStr">
        <is>
          <t>No</t>
        </is>
      </c>
      <c r="B868" t="inlineStr">
        <is>
          <t>GN635.A5 R3</t>
        </is>
      </c>
      <c r="C868" t="inlineStr">
        <is>
          <t>0                      GN 0635000A  5                  R  3</t>
        </is>
      </c>
      <c r="D868" t="inlineStr">
        <is>
          <t>The Andaman Islanders / A.R. Radcliffe-Brown.</t>
        </is>
      </c>
      <c r="F868" t="inlineStr">
        <is>
          <t>No</t>
        </is>
      </c>
      <c r="G868" t="inlineStr">
        <is>
          <t>1</t>
        </is>
      </c>
      <c r="H868" t="inlineStr">
        <is>
          <t>No</t>
        </is>
      </c>
      <c r="I868" t="inlineStr">
        <is>
          <t>No</t>
        </is>
      </c>
      <c r="J868" t="inlineStr">
        <is>
          <t>0</t>
        </is>
      </c>
      <c r="K868" t="inlineStr">
        <is>
          <t>Radcliffe-Brown, A. R. (Alfred Reginald), 1881-1955.</t>
        </is>
      </c>
      <c r="L868" t="inlineStr">
        <is>
          <t>New York : Free Press, 1964.</t>
        </is>
      </c>
      <c r="M868" t="inlineStr">
        <is>
          <t>1964</t>
        </is>
      </c>
      <c r="O868" t="inlineStr">
        <is>
          <t>eng</t>
        </is>
      </c>
      <c r="P868" t="inlineStr">
        <is>
          <t>nyu</t>
        </is>
      </c>
      <c r="R868" t="inlineStr">
        <is>
          <t xml:space="preserve">GN </t>
        </is>
      </c>
      <c r="S868" t="n">
        <v>7</v>
      </c>
      <c r="T868" t="n">
        <v>7</v>
      </c>
      <c r="U868" t="inlineStr">
        <is>
          <t>2006-11-19</t>
        </is>
      </c>
      <c r="V868" t="inlineStr">
        <is>
          <t>2006-11-19</t>
        </is>
      </c>
      <c r="W868" t="inlineStr">
        <is>
          <t>1997-05-29</t>
        </is>
      </c>
      <c r="X868" t="inlineStr">
        <is>
          <t>1997-05-29</t>
        </is>
      </c>
      <c r="Y868" t="n">
        <v>557</v>
      </c>
      <c r="Z868" t="n">
        <v>425</v>
      </c>
      <c r="AA868" t="n">
        <v>844</v>
      </c>
      <c r="AB868" t="n">
        <v>6</v>
      </c>
      <c r="AC868" t="n">
        <v>6</v>
      </c>
      <c r="AD868" t="n">
        <v>27</v>
      </c>
      <c r="AE868" t="n">
        <v>40</v>
      </c>
      <c r="AF868" t="n">
        <v>7</v>
      </c>
      <c r="AG868" t="n">
        <v>16</v>
      </c>
      <c r="AH868" t="n">
        <v>8</v>
      </c>
      <c r="AI868" t="n">
        <v>10</v>
      </c>
      <c r="AJ868" t="n">
        <v>13</v>
      </c>
      <c r="AK868" t="n">
        <v>21</v>
      </c>
      <c r="AL868" t="n">
        <v>5</v>
      </c>
      <c r="AM868" t="n">
        <v>5</v>
      </c>
      <c r="AN868" t="n">
        <v>0</v>
      </c>
      <c r="AO868" t="n">
        <v>0</v>
      </c>
      <c r="AP868" t="inlineStr">
        <is>
          <t>No</t>
        </is>
      </c>
      <c r="AQ868" t="inlineStr">
        <is>
          <t>Yes</t>
        </is>
      </c>
      <c r="AR868">
        <f>HYPERLINK("http://catalog.hathitrust.org/Record/002243262","HathiTrust Record")</f>
        <v/>
      </c>
      <c r="AS868">
        <f>HYPERLINK("https://creighton-primo.hosted.exlibrisgroup.com/primo-explore/search?tab=default_tab&amp;search_scope=EVERYTHING&amp;vid=01CRU&amp;lang=en_US&amp;offset=0&amp;query=any,contains,991002400669702656","Catalog Record")</f>
        <v/>
      </c>
      <c r="AT868">
        <f>HYPERLINK("http://www.worldcat.org/oclc/336615","WorldCat Record")</f>
        <v/>
      </c>
      <c r="AU868" t="inlineStr">
        <is>
          <t>1457536:eng</t>
        </is>
      </c>
      <c r="AV868" t="inlineStr">
        <is>
          <t>336615</t>
        </is>
      </c>
      <c r="AW868" t="inlineStr">
        <is>
          <t>991002400669702656</t>
        </is>
      </c>
      <c r="AX868" t="inlineStr">
        <is>
          <t>991002400669702656</t>
        </is>
      </c>
      <c r="AY868" t="inlineStr">
        <is>
          <t>2254715270002656</t>
        </is>
      </c>
      <c r="AZ868" t="inlineStr">
        <is>
          <t>BOOK</t>
        </is>
      </c>
      <c r="BC868" t="inlineStr">
        <is>
          <t>32285002696960</t>
        </is>
      </c>
      <c r="BD868" t="inlineStr">
        <is>
          <t>893873465</t>
        </is>
      </c>
    </row>
    <row r="869">
      <c r="A869" t="inlineStr">
        <is>
          <t>No</t>
        </is>
      </c>
      <c r="B869" t="inlineStr">
        <is>
          <t>GN635.I4 S87 1999</t>
        </is>
      </c>
      <c r="C869" t="inlineStr">
        <is>
          <t>0                      GN 0635000I  4                  S  87          1999</t>
        </is>
      </c>
      <c r="D869" t="inlineStr">
        <is>
          <t>Ethnicity and populist mobilization : political parties, citizens, and democracy in South India / Narendra Subramanian.</t>
        </is>
      </c>
      <c r="F869" t="inlineStr">
        <is>
          <t>No</t>
        </is>
      </c>
      <c r="G869" t="inlineStr">
        <is>
          <t>1</t>
        </is>
      </c>
      <c r="H869" t="inlineStr">
        <is>
          <t>No</t>
        </is>
      </c>
      <c r="I869" t="inlineStr">
        <is>
          <t>No</t>
        </is>
      </c>
      <c r="J869" t="inlineStr">
        <is>
          <t>0</t>
        </is>
      </c>
      <c r="K869" t="inlineStr">
        <is>
          <t>Subramanian, Narendra.</t>
        </is>
      </c>
      <c r="L869" t="inlineStr">
        <is>
          <t>Delhi ; New York : Oxford University Press, 1999.</t>
        </is>
      </c>
      <c r="M869" t="inlineStr">
        <is>
          <t>1999</t>
        </is>
      </c>
      <c r="O869" t="inlineStr">
        <is>
          <t>eng</t>
        </is>
      </c>
      <c r="P869" t="inlineStr">
        <is>
          <t xml:space="preserve">ii </t>
        </is>
      </c>
      <c r="R869" t="inlineStr">
        <is>
          <t xml:space="preserve">GN </t>
        </is>
      </c>
      <c r="S869" t="n">
        <v>1</v>
      </c>
      <c r="T869" t="n">
        <v>1</v>
      </c>
      <c r="U869" t="inlineStr">
        <is>
          <t>2000-10-23</t>
        </is>
      </c>
      <c r="V869" t="inlineStr">
        <is>
          <t>2000-10-23</t>
        </is>
      </c>
      <c r="W869" t="inlineStr">
        <is>
          <t>2000-10-23</t>
        </is>
      </c>
      <c r="X869" t="inlineStr">
        <is>
          <t>2000-10-23</t>
        </is>
      </c>
      <c r="Y869" t="n">
        <v>229</v>
      </c>
      <c r="Z869" t="n">
        <v>167</v>
      </c>
      <c r="AA869" t="n">
        <v>169</v>
      </c>
      <c r="AB869" t="n">
        <v>2</v>
      </c>
      <c r="AC869" t="n">
        <v>2</v>
      </c>
      <c r="AD869" t="n">
        <v>14</v>
      </c>
      <c r="AE869" t="n">
        <v>14</v>
      </c>
      <c r="AF869" t="n">
        <v>5</v>
      </c>
      <c r="AG869" t="n">
        <v>5</v>
      </c>
      <c r="AH869" t="n">
        <v>4</v>
      </c>
      <c r="AI869" t="n">
        <v>4</v>
      </c>
      <c r="AJ869" t="n">
        <v>7</v>
      </c>
      <c r="AK869" t="n">
        <v>7</v>
      </c>
      <c r="AL869" t="n">
        <v>1</v>
      </c>
      <c r="AM869" t="n">
        <v>1</v>
      </c>
      <c r="AN869" t="n">
        <v>0</v>
      </c>
      <c r="AO869" t="n">
        <v>0</v>
      </c>
      <c r="AP869" t="inlineStr">
        <is>
          <t>No</t>
        </is>
      </c>
      <c r="AQ869" t="inlineStr">
        <is>
          <t>Yes</t>
        </is>
      </c>
      <c r="AR869">
        <f>HYPERLINK("http://catalog.hathitrust.org/Record/004066063","HathiTrust Record")</f>
        <v/>
      </c>
      <c r="AS869">
        <f>HYPERLINK("https://creighton-primo.hosted.exlibrisgroup.com/primo-explore/search?tab=default_tab&amp;search_scope=EVERYTHING&amp;vid=01CRU&amp;lang=en_US&amp;offset=0&amp;query=any,contains,991003243149702656","Catalog Record")</f>
        <v/>
      </c>
      <c r="AT869">
        <f>HYPERLINK("http://www.worldcat.org/oclc/41368522","WorldCat Record")</f>
        <v/>
      </c>
      <c r="AU869" t="inlineStr">
        <is>
          <t>26924208:eng</t>
        </is>
      </c>
      <c r="AV869" t="inlineStr">
        <is>
          <t>41368522</t>
        </is>
      </c>
      <c r="AW869" t="inlineStr">
        <is>
          <t>991003243149702656</t>
        </is>
      </c>
      <c r="AX869" t="inlineStr">
        <is>
          <t>991003243149702656</t>
        </is>
      </c>
      <c r="AY869" t="inlineStr">
        <is>
          <t>2266457710002656</t>
        </is>
      </c>
      <c r="AZ869" t="inlineStr">
        <is>
          <t>BOOK</t>
        </is>
      </c>
      <c r="BB869" t="inlineStr">
        <is>
          <t>9780195643169</t>
        </is>
      </c>
      <c r="BC869" t="inlineStr">
        <is>
          <t>32285003769162</t>
        </is>
      </c>
      <c r="BD869" t="inlineStr">
        <is>
          <t>893774548</t>
        </is>
      </c>
    </row>
    <row r="870">
      <c r="A870" t="inlineStr">
        <is>
          <t>No</t>
        </is>
      </c>
      <c r="B870" t="inlineStr">
        <is>
          <t>GN635.J2 F36 2002</t>
        </is>
      </c>
      <c r="C870" t="inlineStr">
        <is>
          <t>0                      GN 0635000J  2                  F  36          2002</t>
        </is>
      </c>
      <c r="D870" t="inlineStr">
        <is>
          <t>Family and social policy in Japan : anthropological approaches / edited by Roger Goodman.</t>
        </is>
      </c>
      <c r="F870" t="inlineStr">
        <is>
          <t>No</t>
        </is>
      </c>
      <c r="G870" t="inlineStr">
        <is>
          <t>1</t>
        </is>
      </c>
      <c r="H870" t="inlineStr">
        <is>
          <t>No</t>
        </is>
      </c>
      <c r="I870" t="inlineStr">
        <is>
          <t>No</t>
        </is>
      </c>
      <c r="J870" t="inlineStr">
        <is>
          <t>0</t>
        </is>
      </c>
      <c r="L870" t="inlineStr">
        <is>
          <t>Cambridge, UK ; New York : Cambridge University Press, 2002.</t>
        </is>
      </c>
      <c r="M870" t="inlineStr">
        <is>
          <t>2002</t>
        </is>
      </c>
      <c r="O870" t="inlineStr">
        <is>
          <t>eng</t>
        </is>
      </c>
      <c r="P870" t="inlineStr">
        <is>
          <t>enk</t>
        </is>
      </c>
      <c r="Q870" t="inlineStr">
        <is>
          <t>Contemporary Japanese society</t>
        </is>
      </c>
      <c r="R870" t="inlineStr">
        <is>
          <t xml:space="preserve">GN </t>
        </is>
      </c>
      <c r="S870" t="n">
        <v>1</v>
      </c>
      <c r="T870" t="n">
        <v>1</v>
      </c>
      <c r="U870" t="inlineStr">
        <is>
          <t>2009-04-01</t>
        </is>
      </c>
      <c r="V870" t="inlineStr">
        <is>
          <t>2009-04-01</t>
        </is>
      </c>
      <c r="W870" t="inlineStr">
        <is>
          <t>2009-04-01</t>
        </is>
      </c>
      <c r="X870" t="inlineStr">
        <is>
          <t>2009-04-01</t>
        </is>
      </c>
      <c r="Y870" t="n">
        <v>540</v>
      </c>
      <c r="Z870" t="n">
        <v>387</v>
      </c>
      <c r="AA870" t="n">
        <v>415</v>
      </c>
      <c r="AB870" t="n">
        <v>3</v>
      </c>
      <c r="AC870" t="n">
        <v>3</v>
      </c>
      <c r="AD870" t="n">
        <v>24</v>
      </c>
      <c r="AE870" t="n">
        <v>24</v>
      </c>
      <c r="AF870" t="n">
        <v>12</v>
      </c>
      <c r="AG870" t="n">
        <v>12</v>
      </c>
      <c r="AH870" t="n">
        <v>10</v>
      </c>
      <c r="AI870" t="n">
        <v>10</v>
      </c>
      <c r="AJ870" t="n">
        <v>10</v>
      </c>
      <c r="AK870" t="n">
        <v>10</v>
      </c>
      <c r="AL870" t="n">
        <v>2</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HYPERLINK("https://creighton-primo.hosted.exlibrisgroup.com/primo-explore/search?tab=default_tab&amp;search_scope=EVERYTHING&amp;vid=01CRU&amp;lang=en_US&amp;offset=0&amp;query=any,contains,991005307449702656","Catalog Record")</f>
        <v/>
      </c>
      <c r="AT870">
        <f>HYPERLINK("http://www.worldcat.org/oclc/50129414","WorldCat Record")</f>
        <v/>
      </c>
      <c r="AU870" t="inlineStr">
        <is>
          <t>352674179:eng</t>
        </is>
      </c>
      <c r="AV870" t="inlineStr">
        <is>
          <t>50129414</t>
        </is>
      </c>
      <c r="AW870" t="inlineStr">
        <is>
          <t>991005307449702656</t>
        </is>
      </c>
      <c r="AX870" t="inlineStr">
        <is>
          <t>991005307449702656</t>
        </is>
      </c>
      <c r="AY870" t="inlineStr">
        <is>
          <t>2264855550002656</t>
        </is>
      </c>
      <c r="AZ870" t="inlineStr">
        <is>
          <t>BOOK</t>
        </is>
      </c>
      <c r="BB870" t="inlineStr">
        <is>
          <t>9780521016353</t>
        </is>
      </c>
      <c r="BC870" t="inlineStr">
        <is>
          <t>32285005512909</t>
        </is>
      </c>
      <c r="BD870" t="inlineStr">
        <is>
          <t>893802103</t>
        </is>
      </c>
    </row>
    <row r="871">
      <c r="A871" t="inlineStr">
        <is>
          <t>No</t>
        </is>
      </c>
      <c r="B871" t="inlineStr">
        <is>
          <t>GN635.J2 O44 2002</t>
        </is>
      </c>
      <c r="C871" t="inlineStr">
        <is>
          <t>0                      GN 0635000J  2                  O  44          2002</t>
        </is>
      </c>
      <c r="D871" t="inlineStr">
        <is>
          <t>A genealogy of 'Japanese' self-images / Eiji Oguma ; translated by David Askew.</t>
        </is>
      </c>
      <c r="F871" t="inlineStr">
        <is>
          <t>No</t>
        </is>
      </c>
      <c r="G871" t="inlineStr">
        <is>
          <t>1</t>
        </is>
      </c>
      <c r="H871" t="inlineStr">
        <is>
          <t>No</t>
        </is>
      </c>
      <c r="I871" t="inlineStr">
        <is>
          <t>No</t>
        </is>
      </c>
      <c r="J871" t="inlineStr">
        <is>
          <t>0</t>
        </is>
      </c>
      <c r="K871" t="inlineStr">
        <is>
          <t>Oguma, Eiji, 1962-</t>
        </is>
      </c>
      <c r="L871" t="inlineStr">
        <is>
          <t>Melbourne : Trans Pacific Press, 2002.</t>
        </is>
      </c>
      <c r="M871" t="inlineStr">
        <is>
          <t>2002</t>
        </is>
      </c>
      <c r="N871" t="inlineStr">
        <is>
          <t>English ed.</t>
        </is>
      </c>
      <c r="O871" t="inlineStr">
        <is>
          <t>eng</t>
        </is>
      </c>
      <c r="P871" t="inlineStr">
        <is>
          <t xml:space="preserve">at </t>
        </is>
      </c>
      <c r="Q871" t="inlineStr">
        <is>
          <t>Japanese society series, 1443-9670</t>
        </is>
      </c>
      <c r="R871" t="inlineStr">
        <is>
          <t xml:space="preserve">GN </t>
        </is>
      </c>
      <c r="S871" t="n">
        <v>0</v>
      </c>
      <c r="T871" t="n">
        <v>0</v>
      </c>
      <c r="U871" t="inlineStr">
        <is>
          <t>2010-02-18</t>
        </is>
      </c>
      <c r="V871" t="inlineStr">
        <is>
          <t>2010-02-18</t>
        </is>
      </c>
      <c r="W871" t="inlineStr">
        <is>
          <t>2003-02-20</t>
        </is>
      </c>
      <c r="X871" t="inlineStr">
        <is>
          <t>2003-02-20</t>
        </is>
      </c>
      <c r="Y871" t="n">
        <v>210</v>
      </c>
      <c r="Z871" t="n">
        <v>143</v>
      </c>
      <c r="AA871" t="n">
        <v>144</v>
      </c>
      <c r="AB871" t="n">
        <v>1</v>
      </c>
      <c r="AC871" t="n">
        <v>1</v>
      </c>
      <c r="AD871" t="n">
        <v>10</v>
      </c>
      <c r="AE871" t="n">
        <v>10</v>
      </c>
      <c r="AF871" t="n">
        <v>3</v>
      </c>
      <c r="AG871" t="n">
        <v>3</v>
      </c>
      <c r="AH871" t="n">
        <v>4</v>
      </c>
      <c r="AI871" t="n">
        <v>4</v>
      </c>
      <c r="AJ871" t="n">
        <v>9</v>
      </c>
      <c r="AK871" t="n">
        <v>9</v>
      </c>
      <c r="AL871" t="n">
        <v>0</v>
      </c>
      <c r="AM871" t="n">
        <v>0</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HYPERLINK("https://creighton-primo.hosted.exlibrisgroup.com/primo-explore/search?tab=default_tab&amp;search_scope=EVERYTHING&amp;vid=01CRU&amp;lang=en_US&amp;offset=0&amp;query=any,contains,991003996709702656","Catalog Record")</f>
        <v/>
      </c>
      <c r="AT871">
        <f>HYPERLINK("http://www.worldcat.org/oclc/49832735","WorldCat Record")</f>
        <v/>
      </c>
      <c r="AU871" t="inlineStr">
        <is>
          <t>1067375:eng</t>
        </is>
      </c>
      <c r="AV871" t="inlineStr">
        <is>
          <t>49832735</t>
        </is>
      </c>
      <c r="AW871" t="inlineStr">
        <is>
          <t>991003996709702656</t>
        </is>
      </c>
      <c r="AX871" t="inlineStr">
        <is>
          <t>991003996709702656</t>
        </is>
      </c>
      <c r="AY871" t="inlineStr">
        <is>
          <t>2256499620002656</t>
        </is>
      </c>
      <c r="AZ871" t="inlineStr">
        <is>
          <t>BOOK</t>
        </is>
      </c>
      <c r="BB871" t="inlineStr">
        <is>
          <t>9781876843045</t>
        </is>
      </c>
      <c r="BC871" t="inlineStr">
        <is>
          <t>32285004680327</t>
        </is>
      </c>
      <c r="BD871" t="inlineStr">
        <is>
          <t>893525501</t>
        </is>
      </c>
    </row>
    <row r="872">
      <c r="A872" t="inlineStr">
        <is>
          <t>No</t>
        </is>
      </c>
      <c r="B872" t="inlineStr">
        <is>
          <t>GN635.M4 R39 1996</t>
        </is>
      </c>
      <c r="C872" t="inlineStr">
        <is>
          <t>0                      GN 0635000M  4                  R  39          1996</t>
        </is>
      </c>
      <c r="D872" t="inlineStr">
        <is>
          <t>Mad dogs, Englishmen, and the errant anthropologist : fieldwork in Malaysia / Douglas Raybeck.</t>
        </is>
      </c>
      <c r="F872" t="inlineStr">
        <is>
          <t>No</t>
        </is>
      </c>
      <c r="G872" t="inlineStr">
        <is>
          <t>1</t>
        </is>
      </c>
      <c r="H872" t="inlineStr">
        <is>
          <t>No</t>
        </is>
      </c>
      <c r="I872" t="inlineStr">
        <is>
          <t>No</t>
        </is>
      </c>
      <c r="J872" t="inlineStr">
        <is>
          <t>0</t>
        </is>
      </c>
      <c r="K872" t="inlineStr">
        <is>
          <t>Raybeck, Douglas.</t>
        </is>
      </c>
      <c r="L872" t="inlineStr">
        <is>
          <t>Prospect Heights, Ill. : Waveland Press, c1996.</t>
        </is>
      </c>
      <c r="M872" t="inlineStr">
        <is>
          <t>1996</t>
        </is>
      </c>
      <c r="O872" t="inlineStr">
        <is>
          <t>eng</t>
        </is>
      </c>
      <c r="P872" t="inlineStr">
        <is>
          <t>ilu</t>
        </is>
      </c>
      <c r="R872" t="inlineStr">
        <is>
          <t xml:space="preserve">GN </t>
        </is>
      </c>
      <c r="S872" t="n">
        <v>3</v>
      </c>
      <c r="T872" t="n">
        <v>3</v>
      </c>
      <c r="U872" t="inlineStr">
        <is>
          <t>2008-03-20</t>
        </is>
      </c>
      <c r="V872" t="inlineStr">
        <is>
          <t>2008-03-20</t>
        </is>
      </c>
      <c r="W872" t="inlineStr">
        <is>
          <t>1998-03-20</t>
        </is>
      </c>
      <c r="X872" t="inlineStr">
        <is>
          <t>1998-03-20</t>
        </is>
      </c>
      <c r="Y872" t="n">
        <v>203</v>
      </c>
      <c r="Z872" t="n">
        <v>172</v>
      </c>
      <c r="AA872" t="n">
        <v>195</v>
      </c>
      <c r="AB872" t="n">
        <v>2</v>
      </c>
      <c r="AC872" t="n">
        <v>2</v>
      </c>
      <c r="AD872" t="n">
        <v>6</v>
      </c>
      <c r="AE872" t="n">
        <v>7</v>
      </c>
      <c r="AF872" t="n">
        <v>3</v>
      </c>
      <c r="AG872" t="n">
        <v>4</v>
      </c>
      <c r="AH872" t="n">
        <v>1</v>
      </c>
      <c r="AI872" t="n">
        <v>1</v>
      </c>
      <c r="AJ872" t="n">
        <v>3</v>
      </c>
      <c r="AK872" t="n">
        <v>4</v>
      </c>
      <c r="AL872" t="n">
        <v>1</v>
      </c>
      <c r="AM872" t="n">
        <v>1</v>
      </c>
      <c r="AN872" t="n">
        <v>0</v>
      </c>
      <c r="AO872" t="n">
        <v>0</v>
      </c>
      <c r="AP872" t="inlineStr">
        <is>
          <t>No</t>
        </is>
      </c>
      <c r="AQ872" t="inlineStr">
        <is>
          <t>Yes</t>
        </is>
      </c>
      <c r="AR872">
        <f>HYPERLINK("http://catalog.hathitrust.org/Record/101981356","HathiTrust Record")</f>
        <v/>
      </c>
      <c r="AS872">
        <f>HYPERLINK("https://creighton-primo.hosted.exlibrisgroup.com/primo-explore/search?tab=default_tab&amp;search_scope=EVERYTHING&amp;vid=01CRU&amp;lang=en_US&amp;offset=0&amp;query=any,contains,991002723019702656","Catalog Record")</f>
        <v/>
      </c>
      <c r="AT872">
        <f>HYPERLINK("http://www.worldcat.org/oclc/35705745","WorldCat Record")</f>
        <v/>
      </c>
      <c r="AU872" t="inlineStr">
        <is>
          <t>365993079:eng</t>
        </is>
      </c>
      <c r="AV872" t="inlineStr">
        <is>
          <t>35705745</t>
        </is>
      </c>
      <c r="AW872" t="inlineStr">
        <is>
          <t>991002723019702656</t>
        </is>
      </c>
      <c r="AX872" t="inlineStr">
        <is>
          <t>991002723019702656</t>
        </is>
      </c>
      <c r="AY872" t="inlineStr">
        <is>
          <t>2269364560002656</t>
        </is>
      </c>
      <c r="AZ872" t="inlineStr">
        <is>
          <t>BOOK</t>
        </is>
      </c>
      <c r="BB872" t="inlineStr">
        <is>
          <t>9780881339062</t>
        </is>
      </c>
      <c r="BC872" t="inlineStr">
        <is>
          <t>32285003359352</t>
        </is>
      </c>
      <c r="BD872" t="inlineStr">
        <is>
          <t>893867604</t>
        </is>
      </c>
    </row>
    <row r="873">
      <c r="A873" t="inlineStr">
        <is>
          <t>No</t>
        </is>
      </c>
      <c r="B873" t="inlineStr">
        <is>
          <t>GN635.N42 C84 1975</t>
        </is>
      </c>
      <c r="C873" t="inlineStr">
        <is>
          <t>0                      GN 0635000N  42                 C  84          1975</t>
        </is>
      </c>
      <c r="D873" t="inlineStr">
        <is>
          <t>Économie et parenté : leurs affinités de structure dans le domaine turc et dans le domaine arabe / Jean Cuisenier.</t>
        </is>
      </c>
      <c r="F873" t="inlineStr">
        <is>
          <t>No</t>
        </is>
      </c>
      <c r="G873" t="inlineStr">
        <is>
          <t>1</t>
        </is>
      </c>
      <c r="H873" t="inlineStr">
        <is>
          <t>No</t>
        </is>
      </c>
      <c r="I873" t="inlineStr">
        <is>
          <t>No</t>
        </is>
      </c>
      <c r="J873" t="inlineStr">
        <is>
          <t>0</t>
        </is>
      </c>
      <c r="K873" t="inlineStr">
        <is>
          <t>Cuisenier, Jean.</t>
        </is>
      </c>
      <c r="L873" t="inlineStr">
        <is>
          <t>Paris : Mouton, c1975.</t>
        </is>
      </c>
      <c r="M873" t="inlineStr">
        <is>
          <t>1975</t>
        </is>
      </c>
      <c r="O873" t="inlineStr">
        <is>
          <t>fre</t>
        </is>
      </c>
      <c r="P873" t="inlineStr">
        <is>
          <t xml:space="preserve">fr </t>
        </is>
      </c>
      <c r="Q873" t="inlineStr">
        <is>
          <t>Le Monde d'outre-mer, passé et présent : 1. sér., Études ; 60</t>
        </is>
      </c>
      <c r="R873" t="inlineStr">
        <is>
          <t xml:space="preserve">GN </t>
        </is>
      </c>
      <c r="S873" t="n">
        <v>2</v>
      </c>
      <c r="T873" t="n">
        <v>2</v>
      </c>
      <c r="U873" t="inlineStr">
        <is>
          <t>1992-11-06</t>
        </is>
      </c>
      <c r="V873" t="inlineStr">
        <is>
          <t>1992-11-06</t>
        </is>
      </c>
      <c r="W873" t="inlineStr">
        <is>
          <t>1990-09-27</t>
        </is>
      </c>
      <c r="X873" t="inlineStr">
        <is>
          <t>1990-09-27</t>
        </is>
      </c>
      <c r="Y873" t="n">
        <v>112</v>
      </c>
      <c r="Z873" t="n">
        <v>65</v>
      </c>
      <c r="AA873" t="n">
        <v>67</v>
      </c>
      <c r="AB873" t="n">
        <v>2</v>
      </c>
      <c r="AC873" t="n">
        <v>2</v>
      </c>
      <c r="AD873" t="n">
        <v>3</v>
      </c>
      <c r="AE873" t="n">
        <v>3</v>
      </c>
      <c r="AF873" t="n">
        <v>0</v>
      </c>
      <c r="AG873" t="n">
        <v>0</v>
      </c>
      <c r="AH873" t="n">
        <v>2</v>
      </c>
      <c r="AI873" t="n">
        <v>2</v>
      </c>
      <c r="AJ873" t="n">
        <v>1</v>
      </c>
      <c r="AK873" t="n">
        <v>1</v>
      </c>
      <c r="AL873" t="n">
        <v>1</v>
      </c>
      <c r="AM873" t="n">
        <v>1</v>
      </c>
      <c r="AN873" t="n">
        <v>0</v>
      </c>
      <c r="AO873" t="n">
        <v>0</v>
      </c>
      <c r="AP873" t="inlineStr">
        <is>
          <t>No</t>
        </is>
      </c>
      <c r="AQ873" t="inlineStr">
        <is>
          <t>Yes</t>
        </is>
      </c>
      <c r="AR873">
        <f>HYPERLINK("http://catalog.hathitrust.org/Record/001275227","HathiTrust Record")</f>
        <v/>
      </c>
      <c r="AS873">
        <f>HYPERLINK("https://creighton-primo.hosted.exlibrisgroup.com/primo-explore/search?tab=default_tab&amp;search_scope=EVERYTHING&amp;vid=01CRU&amp;lang=en_US&amp;offset=0&amp;query=any,contains,991003842699702656","Catalog Record")</f>
        <v/>
      </c>
      <c r="AT873">
        <f>HYPERLINK("http://www.worldcat.org/oclc/1621875","WorldCat Record")</f>
        <v/>
      </c>
      <c r="AU873" t="inlineStr">
        <is>
          <t>10792201431:fre</t>
        </is>
      </c>
      <c r="AV873" t="inlineStr">
        <is>
          <t>1621875</t>
        </is>
      </c>
      <c r="AW873" t="inlineStr">
        <is>
          <t>991003842699702656</t>
        </is>
      </c>
      <c r="AX873" t="inlineStr">
        <is>
          <t>991003842699702656</t>
        </is>
      </c>
      <c r="AY873" t="inlineStr">
        <is>
          <t>2269657120002656</t>
        </is>
      </c>
      <c r="AZ873" t="inlineStr">
        <is>
          <t>BOOK</t>
        </is>
      </c>
      <c r="BC873" t="inlineStr">
        <is>
          <t>32285000317106</t>
        </is>
      </c>
      <c r="BD873" t="inlineStr">
        <is>
          <t>893258939</t>
        </is>
      </c>
    </row>
    <row r="874">
      <c r="A874" t="inlineStr">
        <is>
          <t>No</t>
        </is>
      </c>
      <c r="B874" t="inlineStr">
        <is>
          <t>GN635.N42 E38 1989</t>
        </is>
      </c>
      <c r="C874" t="inlineStr">
        <is>
          <t>0                      GN 0635000N  42                 E  38          1989</t>
        </is>
      </c>
      <c r="D874" t="inlineStr">
        <is>
          <t>The Middle East : an anthropological approach / Dale F. Eickelman.</t>
        </is>
      </c>
      <c r="F874" t="inlineStr">
        <is>
          <t>No</t>
        </is>
      </c>
      <c r="G874" t="inlineStr">
        <is>
          <t>1</t>
        </is>
      </c>
      <c r="H874" t="inlineStr">
        <is>
          <t>No</t>
        </is>
      </c>
      <c r="I874" t="inlineStr">
        <is>
          <t>No</t>
        </is>
      </c>
      <c r="J874" t="inlineStr">
        <is>
          <t>0</t>
        </is>
      </c>
      <c r="K874" t="inlineStr">
        <is>
          <t>Eickelman, Dale F., 1942-</t>
        </is>
      </c>
      <c r="L874" t="inlineStr">
        <is>
          <t>Englewood Cliffs, N.J. : Prentice Hall, c1989.</t>
        </is>
      </c>
      <c r="M874" t="inlineStr">
        <is>
          <t>1989</t>
        </is>
      </c>
      <c r="N874" t="inlineStr">
        <is>
          <t>2nd ed.</t>
        </is>
      </c>
      <c r="O874" t="inlineStr">
        <is>
          <t>eng</t>
        </is>
      </c>
      <c r="P874" t="inlineStr">
        <is>
          <t>nju</t>
        </is>
      </c>
      <c r="R874" t="inlineStr">
        <is>
          <t xml:space="preserve">GN </t>
        </is>
      </c>
      <c r="S874" t="n">
        <v>10</v>
      </c>
      <c r="T874" t="n">
        <v>10</v>
      </c>
      <c r="U874" t="inlineStr">
        <is>
          <t>2004-11-14</t>
        </is>
      </c>
      <c r="V874" t="inlineStr">
        <is>
          <t>2004-11-14</t>
        </is>
      </c>
      <c r="W874" t="inlineStr">
        <is>
          <t>1990-09-27</t>
        </is>
      </c>
      <c r="X874" t="inlineStr">
        <is>
          <t>1990-09-27</t>
        </is>
      </c>
      <c r="Y874" t="n">
        <v>284</v>
      </c>
      <c r="Z874" t="n">
        <v>215</v>
      </c>
      <c r="AA874" t="n">
        <v>649</v>
      </c>
      <c r="AB874" t="n">
        <v>1</v>
      </c>
      <c r="AC874" t="n">
        <v>4</v>
      </c>
      <c r="AD874" t="n">
        <v>10</v>
      </c>
      <c r="AE874" t="n">
        <v>26</v>
      </c>
      <c r="AF874" t="n">
        <v>4</v>
      </c>
      <c r="AG874" t="n">
        <v>10</v>
      </c>
      <c r="AH874" t="n">
        <v>3</v>
      </c>
      <c r="AI874" t="n">
        <v>7</v>
      </c>
      <c r="AJ874" t="n">
        <v>8</v>
      </c>
      <c r="AK874" t="n">
        <v>13</v>
      </c>
      <c r="AL874" t="n">
        <v>0</v>
      </c>
      <c r="AM874" t="n">
        <v>3</v>
      </c>
      <c r="AN874" t="n">
        <v>0</v>
      </c>
      <c r="AO874" t="n">
        <v>0</v>
      </c>
      <c r="AP874" t="inlineStr">
        <is>
          <t>No</t>
        </is>
      </c>
      <c r="AQ874" t="inlineStr">
        <is>
          <t>Yes</t>
        </is>
      </c>
      <c r="AR874">
        <f>HYPERLINK("http://catalog.hathitrust.org/Record/002174234","HathiTrust Record")</f>
        <v/>
      </c>
      <c r="AS874">
        <f>HYPERLINK("https://creighton-primo.hosted.exlibrisgroup.com/primo-explore/search?tab=default_tab&amp;search_scope=EVERYTHING&amp;vid=01CRU&amp;lang=en_US&amp;offset=0&amp;query=any,contains,991001364399702656","Catalog Record")</f>
        <v/>
      </c>
      <c r="AT874">
        <f>HYPERLINK("http://www.worldcat.org/oclc/18557268","WorldCat Record")</f>
        <v/>
      </c>
      <c r="AU874" t="inlineStr">
        <is>
          <t>17361771:eng</t>
        </is>
      </c>
      <c r="AV874" t="inlineStr">
        <is>
          <t>18557268</t>
        </is>
      </c>
      <c r="AW874" t="inlineStr">
        <is>
          <t>991001364399702656</t>
        </is>
      </c>
      <c r="AX874" t="inlineStr">
        <is>
          <t>991001364399702656</t>
        </is>
      </c>
      <c r="AY874" t="inlineStr">
        <is>
          <t>2264108880002656</t>
        </is>
      </c>
      <c r="AZ874" t="inlineStr">
        <is>
          <t>BOOK</t>
        </is>
      </c>
      <c r="BB874" t="inlineStr">
        <is>
          <t>9780135822890</t>
        </is>
      </c>
      <c r="BC874" t="inlineStr">
        <is>
          <t>32285000317114</t>
        </is>
      </c>
      <c r="BD874" t="inlineStr">
        <is>
          <t>893715387</t>
        </is>
      </c>
    </row>
    <row r="875">
      <c r="A875" t="inlineStr">
        <is>
          <t>No</t>
        </is>
      </c>
      <c r="B875" t="inlineStr">
        <is>
          <t>GN635.S95 B67 2007</t>
        </is>
      </c>
      <c r="C875" t="inlineStr">
        <is>
          <t>0                      GN 0635000S  95                 B  67          2007</t>
        </is>
      </c>
      <c r="D875" t="inlineStr">
        <is>
          <t>Syrian episodes : sons, fathers, and an anthropologist in Aleppo / John Borneman.</t>
        </is>
      </c>
      <c r="F875" t="inlineStr">
        <is>
          <t>No</t>
        </is>
      </c>
      <c r="G875" t="inlineStr">
        <is>
          <t>1</t>
        </is>
      </c>
      <c r="H875" t="inlineStr">
        <is>
          <t>No</t>
        </is>
      </c>
      <c r="I875" t="inlineStr">
        <is>
          <t>No</t>
        </is>
      </c>
      <c r="J875" t="inlineStr">
        <is>
          <t>0</t>
        </is>
      </c>
      <c r="K875" t="inlineStr">
        <is>
          <t>Borneman, John, 1952-</t>
        </is>
      </c>
      <c r="L875" t="inlineStr">
        <is>
          <t>Princeton : Princeton University Press, c2007.</t>
        </is>
      </c>
      <c r="M875" t="inlineStr">
        <is>
          <t>2007</t>
        </is>
      </c>
      <c r="O875" t="inlineStr">
        <is>
          <t>eng</t>
        </is>
      </c>
      <c r="P875" t="inlineStr">
        <is>
          <t>nju</t>
        </is>
      </c>
      <c r="R875" t="inlineStr">
        <is>
          <t xml:space="preserve">GN </t>
        </is>
      </c>
      <c r="S875" t="n">
        <v>1</v>
      </c>
      <c r="T875" t="n">
        <v>1</v>
      </c>
      <c r="U875" t="inlineStr">
        <is>
          <t>2007-06-05</t>
        </is>
      </c>
      <c r="V875" t="inlineStr">
        <is>
          <t>2007-06-05</t>
        </is>
      </c>
      <c r="W875" t="inlineStr">
        <is>
          <t>2007-06-05</t>
        </is>
      </c>
      <c r="X875" t="inlineStr">
        <is>
          <t>2007-06-05</t>
        </is>
      </c>
      <c r="Y875" t="n">
        <v>303</v>
      </c>
      <c r="Z875" t="n">
        <v>229</v>
      </c>
      <c r="AA875" t="n">
        <v>476</v>
      </c>
      <c r="AB875" t="n">
        <v>1</v>
      </c>
      <c r="AC875" t="n">
        <v>2</v>
      </c>
      <c r="AD875" t="n">
        <v>10</v>
      </c>
      <c r="AE875" t="n">
        <v>24</v>
      </c>
      <c r="AF875" t="n">
        <v>1</v>
      </c>
      <c r="AG875" t="n">
        <v>10</v>
      </c>
      <c r="AH875" t="n">
        <v>6</v>
      </c>
      <c r="AI875" t="n">
        <v>8</v>
      </c>
      <c r="AJ875" t="n">
        <v>6</v>
      </c>
      <c r="AK875" t="n">
        <v>13</v>
      </c>
      <c r="AL875" t="n">
        <v>0</v>
      </c>
      <c r="AM875" t="n">
        <v>1</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HYPERLINK("https://creighton-primo.hosted.exlibrisgroup.com/primo-explore/search?tab=default_tab&amp;search_scope=EVERYTHING&amp;vid=01CRU&amp;lang=en_US&amp;offset=0&amp;query=any,contains,991005083239702656","Catalog Record")</f>
        <v/>
      </c>
      <c r="AT875">
        <f>HYPERLINK("http://www.worldcat.org/oclc/70335142","WorldCat Record")</f>
        <v/>
      </c>
      <c r="AU875" t="inlineStr">
        <is>
          <t>1090627504:eng</t>
        </is>
      </c>
      <c r="AV875" t="inlineStr">
        <is>
          <t>70335142</t>
        </is>
      </c>
      <c r="AW875" t="inlineStr">
        <is>
          <t>991005083239702656</t>
        </is>
      </c>
      <c r="AX875" t="inlineStr">
        <is>
          <t>991005083239702656</t>
        </is>
      </c>
      <c r="AY875" t="inlineStr">
        <is>
          <t>2265515290002656</t>
        </is>
      </c>
      <c r="AZ875" t="inlineStr">
        <is>
          <t>BOOK</t>
        </is>
      </c>
      <c r="BB875" t="inlineStr">
        <is>
          <t>9780691128870</t>
        </is>
      </c>
      <c r="BC875" t="inlineStr">
        <is>
          <t>32285005315022</t>
        </is>
      </c>
      <c r="BD875" t="inlineStr">
        <is>
          <t>893619419</t>
        </is>
      </c>
    </row>
    <row r="876">
      <c r="A876" t="inlineStr">
        <is>
          <t>No</t>
        </is>
      </c>
      <c r="B876" t="inlineStr">
        <is>
          <t>GN635.T28 A57 1981</t>
        </is>
      </c>
      <c r="C876" t="inlineStr">
        <is>
          <t>0                      GN 0635000T  28                 A  57          1981</t>
        </is>
      </c>
      <c r="D876" t="inlineStr">
        <is>
          <t>The Anthropology of Taiwanese society / edited by Emily Martin Ahern and Hill Gates ; contributors, Emily Martin Ahern ... [et al.] ; sponsored by the Joint Committee on Contemporary China of the American Council of Learned Societies and the Social Science Research Council.</t>
        </is>
      </c>
      <c r="F876" t="inlineStr">
        <is>
          <t>No</t>
        </is>
      </c>
      <c r="G876" t="inlineStr">
        <is>
          <t>1</t>
        </is>
      </c>
      <c r="H876" t="inlineStr">
        <is>
          <t>No</t>
        </is>
      </c>
      <c r="I876" t="inlineStr">
        <is>
          <t>No</t>
        </is>
      </c>
      <c r="J876" t="inlineStr">
        <is>
          <t>0</t>
        </is>
      </c>
      <c r="L876" t="inlineStr">
        <is>
          <t>Stanford, Calif. : Stanford University Press, 1981.</t>
        </is>
      </c>
      <c r="M876" t="inlineStr">
        <is>
          <t>1981</t>
        </is>
      </c>
      <c r="O876" t="inlineStr">
        <is>
          <t>eng</t>
        </is>
      </c>
      <c r="P876" t="inlineStr">
        <is>
          <t>cau</t>
        </is>
      </c>
      <c r="R876" t="inlineStr">
        <is>
          <t xml:space="preserve">GN </t>
        </is>
      </c>
      <c r="S876" t="n">
        <v>5</v>
      </c>
      <c r="T876" t="n">
        <v>5</v>
      </c>
      <c r="U876" t="inlineStr">
        <is>
          <t>1998-11-08</t>
        </is>
      </c>
      <c r="V876" t="inlineStr">
        <is>
          <t>1998-11-08</t>
        </is>
      </c>
      <c r="W876" t="inlineStr">
        <is>
          <t>1994-01-04</t>
        </is>
      </c>
      <c r="X876" t="inlineStr">
        <is>
          <t>1994-01-04</t>
        </is>
      </c>
      <c r="Y876" t="n">
        <v>430</v>
      </c>
      <c r="Z876" t="n">
        <v>320</v>
      </c>
      <c r="AA876" t="n">
        <v>321</v>
      </c>
      <c r="AB876" t="n">
        <v>2</v>
      </c>
      <c r="AC876" t="n">
        <v>2</v>
      </c>
      <c r="AD876" t="n">
        <v>16</v>
      </c>
      <c r="AE876" t="n">
        <v>16</v>
      </c>
      <c r="AF876" t="n">
        <v>6</v>
      </c>
      <c r="AG876" t="n">
        <v>6</v>
      </c>
      <c r="AH876" t="n">
        <v>4</v>
      </c>
      <c r="AI876" t="n">
        <v>4</v>
      </c>
      <c r="AJ876" t="n">
        <v>9</v>
      </c>
      <c r="AK876" t="n">
        <v>9</v>
      </c>
      <c r="AL876" t="n">
        <v>1</v>
      </c>
      <c r="AM876" t="n">
        <v>1</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HYPERLINK("https://creighton-primo.hosted.exlibrisgroup.com/primo-explore/search?tab=default_tab&amp;search_scope=EVERYTHING&amp;vid=01CRU&amp;lang=en_US&amp;offset=0&amp;query=any,contains,991005140659702656","Catalog Record")</f>
        <v/>
      </c>
      <c r="AT876">
        <f>HYPERLINK("http://www.worldcat.org/oclc/7608360","WorldCat Record")</f>
        <v/>
      </c>
      <c r="AU876" t="inlineStr">
        <is>
          <t>54452566:eng</t>
        </is>
      </c>
      <c r="AV876" t="inlineStr">
        <is>
          <t>7608360</t>
        </is>
      </c>
      <c r="AW876" t="inlineStr">
        <is>
          <t>991005140659702656</t>
        </is>
      </c>
      <c r="AX876" t="inlineStr">
        <is>
          <t>991005140659702656</t>
        </is>
      </c>
      <c r="AY876" t="inlineStr">
        <is>
          <t>2261296380002656</t>
        </is>
      </c>
      <c r="AZ876" t="inlineStr">
        <is>
          <t>BOOK</t>
        </is>
      </c>
      <c r="BB876" t="inlineStr">
        <is>
          <t>9780804710435</t>
        </is>
      </c>
      <c r="BC876" t="inlineStr">
        <is>
          <t>32285001819829</t>
        </is>
      </c>
      <c r="BD876" t="inlineStr">
        <is>
          <t>893902189</t>
        </is>
      </c>
    </row>
    <row r="877">
      <c r="A877" t="inlineStr">
        <is>
          <t>No</t>
        </is>
      </c>
      <c r="B877" t="inlineStr">
        <is>
          <t>GN645 .A52 2000</t>
        </is>
      </c>
      <c r="C877" t="inlineStr">
        <is>
          <t>0                      GN 0645000A  52          2000</t>
        </is>
      </c>
      <c r="D877" t="inlineStr">
        <is>
          <t>Ancient African metallurgy : the sociocultural context / Michael S. Bisson ... [et al.] ; edited and with a foreword by Joseph O. Vogel.</t>
        </is>
      </c>
      <c r="F877" t="inlineStr">
        <is>
          <t>No</t>
        </is>
      </c>
      <c r="G877" t="inlineStr">
        <is>
          <t>1</t>
        </is>
      </c>
      <c r="H877" t="inlineStr">
        <is>
          <t>No</t>
        </is>
      </c>
      <c r="I877" t="inlineStr">
        <is>
          <t>No</t>
        </is>
      </c>
      <c r="J877" t="inlineStr">
        <is>
          <t>0</t>
        </is>
      </c>
      <c r="L877" t="inlineStr">
        <is>
          <t>Walnut Creek, CA : AltaMira Press, c2000.</t>
        </is>
      </c>
      <c r="M877" t="inlineStr">
        <is>
          <t>2000</t>
        </is>
      </c>
      <c r="O877" t="inlineStr">
        <is>
          <t>eng</t>
        </is>
      </c>
      <c r="P877" t="inlineStr">
        <is>
          <t>cau</t>
        </is>
      </c>
      <c r="R877" t="inlineStr">
        <is>
          <t xml:space="preserve">GN </t>
        </is>
      </c>
      <c r="S877" t="n">
        <v>1</v>
      </c>
      <c r="T877" t="n">
        <v>1</v>
      </c>
      <c r="U877" t="inlineStr">
        <is>
          <t>2001-10-23</t>
        </is>
      </c>
      <c r="V877" t="inlineStr">
        <is>
          <t>2001-10-23</t>
        </is>
      </c>
      <c r="W877" t="inlineStr">
        <is>
          <t>2001-10-23</t>
        </is>
      </c>
      <c r="X877" t="inlineStr">
        <is>
          <t>2001-10-23</t>
        </is>
      </c>
      <c r="Y877" t="n">
        <v>398</v>
      </c>
      <c r="Z877" t="n">
        <v>331</v>
      </c>
      <c r="AA877" t="n">
        <v>348</v>
      </c>
      <c r="AB877" t="n">
        <v>3</v>
      </c>
      <c r="AC877" t="n">
        <v>3</v>
      </c>
      <c r="AD877" t="n">
        <v>17</v>
      </c>
      <c r="AE877" t="n">
        <v>17</v>
      </c>
      <c r="AF877" t="n">
        <v>6</v>
      </c>
      <c r="AG877" t="n">
        <v>6</v>
      </c>
      <c r="AH877" t="n">
        <v>6</v>
      </c>
      <c r="AI877" t="n">
        <v>6</v>
      </c>
      <c r="AJ877" t="n">
        <v>8</v>
      </c>
      <c r="AK877" t="n">
        <v>8</v>
      </c>
      <c r="AL877" t="n">
        <v>2</v>
      </c>
      <c r="AM877" t="n">
        <v>2</v>
      </c>
      <c r="AN877" t="n">
        <v>0</v>
      </c>
      <c r="AO877" t="n">
        <v>0</v>
      </c>
      <c r="AP877" t="inlineStr">
        <is>
          <t>No</t>
        </is>
      </c>
      <c r="AQ877" t="inlineStr">
        <is>
          <t>Yes</t>
        </is>
      </c>
      <c r="AR877">
        <f>HYPERLINK("http://catalog.hathitrust.org/Record/004122719","HathiTrust Record")</f>
        <v/>
      </c>
      <c r="AS877">
        <f>HYPERLINK("https://creighton-primo.hosted.exlibrisgroup.com/primo-explore/search?tab=default_tab&amp;search_scope=EVERYTHING&amp;vid=01CRU&amp;lang=en_US&amp;offset=0&amp;query=any,contains,991003645119702656","Catalog Record")</f>
        <v/>
      </c>
      <c r="AT877">
        <f>HYPERLINK("http://www.worldcat.org/oclc/43708643","WorldCat Record")</f>
        <v/>
      </c>
      <c r="AU877" t="inlineStr">
        <is>
          <t>1780422343:eng</t>
        </is>
      </c>
      <c r="AV877" t="inlineStr">
        <is>
          <t>43708643</t>
        </is>
      </c>
      <c r="AW877" t="inlineStr">
        <is>
          <t>991003645119702656</t>
        </is>
      </c>
      <c r="AX877" t="inlineStr">
        <is>
          <t>991003645119702656</t>
        </is>
      </c>
      <c r="AY877" t="inlineStr">
        <is>
          <t>2257005740002656</t>
        </is>
      </c>
      <c r="AZ877" t="inlineStr">
        <is>
          <t>BOOK</t>
        </is>
      </c>
      <c r="BB877" t="inlineStr">
        <is>
          <t>9780742502604</t>
        </is>
      </c>
      <c r="BC877" t="inlineStr">
        <is>
          <t>32285004399159</t>
        </is>
      </c>
      <c r="BD877" t="inlineStr">
        <is>
          <t>893348945</t>
        </is>
      </c>
    </row>
    <row r="878">
      <c r="A878" t="inlineStr">
        <is>
          <t>No</t>
        </is>
      </c>
      <c r="B878" t="inlineStr">
        <is>
          <t>GN645 .E92</t>
        </is>
      </c>
      <c r="C878" t="inlineStr">
        <is>
          <t>0                      GN 0645000E  92</t>
        </is>
      </c>
      <c r="D878" t="inlineStr">
        <is>
          <t>Explorations in African systems of thought / edited by Ivan Karp &amp; Charles S. Bird.</t>
        </is>
      </c>
      <c r="F878" t="inlineStr">
        <is>
          <t>No</t>
        </is>
      </c>
      <c r="G878" t="inlineStr">
        <is>
          <t>1</t>
        </is>
      </c>
      <c r="H878" t="inlineStr">
        <is>
          <t>No</t>
        </is>
      </c>
      <c r="I878" t="inlineStr">
        <is>
          <t>No</t>
        </is>
      </c>
      <c r="J878" t="inlineStr">
        <is>
          <t>0</t>
        </is>
      </c>
      <c r="L878" t="inlineStr">
        <is>
          <t>Bloomington : Indiana University Press, c1980.</t>
        </is>
      </c>
      <c r="M878" t="inlineStr">
        <is>
          <t>1980</t>
        </is>
      </c>
      <c r="O878" t="inlineStr">
        <is>
          <t>eng</t>
        </is>
      </c>
      <c r="P878" t="inlineStr">
        <is>
          <t>inu</t>
        </is>
      </c>
      <c r="Q878" t="inlineStr">
        <is>
          <t>African systems of thought</t>
        </is>
      </c>
      <c r="R878" t="inlineStr">
        <is>
          <t xml:space="preserve">GN </t>
        </is>
      </c>
      <c r="S878" t="n">
        <v>4</v>
      </c>
      <c r="T878" t="n">
        <v>4</v>
      </c>
      <c r="U878" t="inlineStr">
        <is>
          <t>1995-01-27</t>
        </is>
      </c>
      <c r="V878" t="inlineStr">
        <is>
          <t>1995-01-27</t>
        </is>
      </c>
      <c r="W878" t="inlineStr">
        <is>
          <t>1990-09-27</t>
        </is>
      </c>
      <c r="X878" t="inlineStr">
        <is>
          <t>1990-09-27</t>
        </is>
      </c>
      <c r="Y878" t="n">
        <v>655</v>
      </c>
      <c r="Z878" t="n">
        <v>542</v>
      </c>
      <c r="AA878" t="n">
        <v>544</v>
      </c>
      <c r="AB878" t="n">
        <v>4</v>
      </c>
      <c r="AC878" t="n">
        <v>4</v>
      </c>
      <c r="AD878" t="n">
        <v>17</v>
      </c>
      <c r="AE878" t="n">
        <v>17</v>
      </c>
      <c r="AF878" t="n">
        <v>5</v>
      </c>
      <c r="AG878" t="n">
        <v>5</v>
      </c>
      <c r="AH878" t="n">
        <v>6</v>
      </c>
      <c r="AI878" t="n">
        <v>6</v>
      </c>
      <c r="AJ878" t="n">
        <v>6</v>
      </c>
      <c r="AK878" t="n">
        <v>6</v>
      </c>
      <c r="AL878" t="n">
        <v>3</v>
      </c>
      <c r="AM878" t="n">
        <v>3</v>
      </c>
      <c r="AN878" t="n">
        <v>0</v>
      </c>
      <c r="AO878" t="n">
        <v>0</v>
      </c>
      <c r="AP878" t="inlineStr">
        <is>
          <t>No</t>
        </is>
      </c>
      <c r="AQ878" t="inlineStr">
        <is>
          <t>Yes</t>
        </is>
      </c>
      <c r="AR878">
        <f>HYPERLINK("http://catalog.hathitrust.org/Record/000730398","HathiTrust Record")</f>
        <v/>
      </c>
      <c r="AS878">
        <f>HYPERLINK("https://creighton-primo.hosted.exlibrisgroup.com/primo-explore/search?tab=default_tab&amp;search_scope=EVERYTHING&amp;vid=01CRU&amp;lang=en_US&amp;offset=0&amp;query=any,contains,991004951209702656","Catalog Record")</f>
        <v/>
      </c>
      <c r="AT878">
        <f>HYPERLINK("http://www.worldcat.org/oclc/6250162","WorldCat Record")</f>
        <v/>
      </c>
      <c r="AU878" t="inlineStr">
        <is>
          <t>10793026255:eng</t>
        </is>
      </c>
      <c r="AV878" t="inlineStr">
        <is>
          <t>6250162</t>
        </is>
      </c>
      <c r="AW878" t="inlineStr">
        <is>
          <t>991004951209702656</t>
        </is>
      </c>
      <c r="AX878" t="inlineStr">
        <is>
          <t>991004951209702656</t>
        </is>
      </c>
      <c r="AY878" t="inlineStr">
        <is>
          <t>2264967830002656</t>
        </is>
      </c>
      <c r="AZ878" t="inlineStr">
        <is>
          <t>BOOK</t>
        </is>
      </c>
      <c r="BB878" t="inlineStr">
        <is>
          <t>9780253195234</t>
        </is>
      </c>
      <c r="BC878" t="inlineStr">
        <is>
          <t>32285000317148</t>
        </is>
      </c>
      <c r="BD878" t="inlineStr">
        <is>
          <t>893532966</t>
        </is>
      </c>
    </row>
    <row r="879">
      <c r="A879" t="inlineStr">
        <is>
          <t>No</t>
        </is>
      </c>
      <c r="B879" t="inlineStr">
        <is>
          <t>GN645 .I58 1976</t>
        </is>
      </c>
      <c r="C879" t="inlineStr">
        <is>
          <t>0                      GN 0645000I  58          1976</t>
        </is>
      </c>
      <c r="D879" t="inlineStr">
        <is>
          <t>African worlds : studies in the cosmological ideas and social values of African peoples.</t>
        </is>
      </c>
      <c r="F879" t="inlineStr">
        <is>
          <t>No</t>
        </is>
      </c>
      <c r="G879" t="inlineStr">
        <is>
          <t>1</t>
        </is>
      </c>
      <c r="H879" t="inlineStr">
        <is>
          <t>No</t>
        </is>
      </c>
      <c r="I879" t="inlineStr">
        <is>
          <t>No</t>
        </is>
      </c>
      <c r="J879" t="inlineStr">
        <is>
          <t>0</t>
        </is>
      </c>
      <c r="K879" t="inlineStr">
        <is>
          <t>International African Institute.</t>
        </is>
      </c>
      <c r="L879" t="inlineStr">
        <is>
          <t>London ; New York : Oxford University Press, c1954, 1976 printing.</t>
        </is>
      </c>
      <c r="M879" t="inlineStr">
        <is>
          <t>1954</t>
        </is>
      </c>
      <c r="O879" t="inlineStr">
        <is>
          <t>eng</t>
        </is>
      </c>
      <c r="P879" t="inlineStr">
        <is>
          <t>enk</t>
        </is>
      </c>
      <c r="R879" t="inlineStr">
        <is>
          <t xml:space="preserve">GN </t>
        </is>
      </c>
      <c r="S879" t="n">
        <v>2</v>
      </c>
      <c r="T879" t="n">
        <v>2</v>
      </c>
      <c r="U879" t="inlineStr">
        <is>
          <t>1995-10-11</t>
        </is>
      </c>
      <c r="V879" t="inlineStr">
        <is>
          <t>1995-10-11</t>
        </is>
      </c>
      <c r="W879" t="inlineStr">
        <is>
          <t>1992-04-11</t>
        </is>
      </c>
      <c r="X879" t="inlineStr">
        <is>
          <t>1992-04-11</t>
        </is>
      </c>
      <c r="Y879" t="n">
        <v>739</v>
      </c>
      <c r="Z879" t="n">
        <v>613</v>
      </c>
      <c r="AA879" t="n">
        <v>852</v>
      </c>
      <c r="AB879" t="n">
        <v>5</v>
      </c>
      <c r="AC879" t="n">
        <v>6</v>
      </c>
      <c r="AD879" t="n">
        <v>23</v>
      </c>
      <c r="AE879" t="n">
        <v>39</v>
      </c>
      <c r="AF879" t="n">
        <v>10</v>
      </c>
      <c r="AG879" t="n">
        <v>19</v>
      </c>
      <c r="AH879" t="n">
        <v>4</v>
      </c>
      <c r="AI879" t="n">
        <v>10</v>
      </c>
      <c r="AJ879" t="n">
        <v>12</v>
      </c>
      <c r="AK879" t="n">
        <v>16</v>
      </c>
      <c r="AL879" t="n">
        <v>4</v>
      </c>
      <c r="AM879" t="n">
        <v>5</v>
      </c>
      <c r="AN879" t="n">
        <v>0</v>
      </c>
      <c r="AO879" t="n">
        <v>0</v>
      </c>
      <c r="AP879" t="inlineStr">
        <is>
          <t>No</t>
        </is>
      </c>
      <c r="AQ879" t="inlineStr">
        <is>
          <t>Yes</t>
        </is>
      </c>
      <c r="AR879">
        <f>HYPERLINK("http://catalog.hathitrust.org/Record/001275257","HathiTrust Record")</f>
        <v/>
      </c>
      <c r="AS879">
        <f>HYPERLINK("https://creighton-primo.hosted.exlibrisgroup.com/primo-explore/search?tab=default_tab&amp;search_scope=EVERYTHING&amp;vid=01CRU&amp;lang=en_US&amp;offset=0&amp;query=any,contains,991003604699702656","Catalog Record")</f>
        <v/>
      </c>
      <c r="AT879">
        <f>HYPERLINK("http://www.worldcat.org/oclc/1184101","WorldCat Record")</f>
        <v/>
      </c>
      <c r="AU879" t="inlineStr">
        <is>
          <t>344123923:eng</t>
        </is>
      </c>
      <c r="AV879" t="inlineStr">
        <is>
          <t>1184101</t>
        </is>
      </c>
      <c r="AW879" t="inlineStr">
        <is>
          <t>991003604699702656</t>
        </is>
      </c>
      <c r="AX879" t="inlineStr">
        <is>
          <t>991003604699702656</t>
        </is>
      </c>
      <c r="AY879" t="inlineStr">
        <is>
          <t>2268096500002656</t>
        </is>
      </c>
      <c r="AZ879" t="inlineStr">
        <is>
          <t>BOOK</t>
        </is>
      </c>
      <c r="BC879" t="inlineStr">
        <is>
          <t>32285001058550</t>
        </is>
      </c>
      <c r="BD879" t="inlineStr">
        <is>
          <t>893793801</t>
        </is>
      </c>
    </row>
    <row r="880">
      <c r="A880" t="inlineStr">
        <is>
          <t>No</t>
        </is>
      </c>
      <c r="B880" t="inlineStr">
        <is>
          <t>GN645 .I845 2002</t>
        </is>
      </c>
      <c r="C880" t="inlineStr">
        <is>
          <t>0                      GN 0645000I  845         2002</t>
        </is>
      </c>
      <c r="D880" t="inlineStr">
        <is>
          <t>Voices of the poor in Africa / Elizabeth Isichei.</t>
        </is>
      </c>
      <c r="F880" t="inlineStr">
        <is>
          <t>No</t>
        </is>
      </c>
      <c r="G880" t="inlineStr">
        <is>
          <t>1</t>
        </is>
      </c>
      <c r="H880" t="inlineStr">
        <is>
          <t>No</t>
        </is>
      </c>
      <c r="I880" t="inlineStr">
        <is>
          <t>No</t>
        </is>
      </c>
      <c r="J880" t="inlineStr">
        <is>
          <t>0</t>
        </is>
      </c>
      <c r="K880" t="inlineStr">
        <is>
          <t>Isichei, Elizabeth Allo.</t>
        </is>
      </c>
      <c r="L880" t="inlineStr">
        <is>
          <t>Rochester, NY : University of Rochester Press, 2002.</t>
        </is>
      </c>
      <c r="M880" t="inlineStr">
        <is>
          <t>2002</t>
        </is>
      </c>
      <c r="O880" t="inlineStr">
        <is>
          <t>eng</t>
        </is>
      </c>
      <c r="P880" t="inlineStr">
        <is>
          <t>nyu</t>
        </is>
      </c>
      <c r="Q880" t="inlineStr">
        <is>
          <t>Rochester studies in African history and the diaspora, 1092-5228 ; v. 12</t>
        </is>
      </c>
      <c r="R880" t="inlineStr">
        <is>
          <t xml:space="preserve">GN </t>
        </is>
      </c>
      <c r="S880" t="n">
        <v>1</v>
      </c>
      <c r="T880" t="n">
        <v>1</v>
      </c>
      <c r="U880" t="inlineStr">
        <is>
          <t>2003-11-20</t>
        </is>
      </c>
      <c r="V880" t="inlineStr">
        <is>
          <t>2003-11-20</t>
        </is>
      </c>
      <c r="W880" t="inlineStr">
        <is>
          <t>2003-11-20</t>
        </is>
      </c>
      <c r="X880" t="inlineStr">
        <is>
          <t>2003-11-20</t>
        </is>
      </c>
      <c r="Y880" t="n">
        <v>267</v>
      </c>
      <c r="Z880" t="n">
        <v>213</v>
      </c>
      <c r="AA880" t="n">
        <v>229</v>
      </c>
      <c r="AB880" t="n">
        <v>2</v>
      </c>
      <c r="AC880" t="n">
        <v>2</v>
      </c>
      <c r="AD880" t="n">
        <v>14</v>
      </c>
      <c r="AE880" t="n">
        <v>14</v>
      </c>
      <c r="AF880" t="n">
        <v>6</v>
      </c>
      <c r="AG880" t="n">
        <v>6</v>
      </c>
      <c r="AH880" t="n">
        <v>5</v>
      </c>
      <c r="AI880" t="n">
        <v>5</v>
      </c>
      <c r="AJ880" t="n">
        <v>7</v>
      </c>
      <c r="AK880" t="n">
        <v>7</v>
      </c>
      <c r="AL880" t="n">
        <v>1</v>
      </c>
      <c r="AM880" t="n">
        <v>1</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HYPERLINK("https://creighton-primo.hosted.exlibrisgroup.com/primo-explore/search?tab=default_tab&amp;search_scope=EVERYTHING&amp;vid=01CRU&amp;lang=en_US&amp;offset=0&amp;query=any,contains,991004167579702656","Catalog Record")</f>
        <v/>
      </c>
      <c r="AT880">
        <f>HYPERLINK("http://www.worldcat.org/oclc/49225822","WorldCat Record")</f>
        <v/>
      </c>
      <c r="AU880" t="inlineStr">
        <is>
          <t>1056427:eng</t>
        </is>
      </c>
      <c r="AV880" t="inlineStr">
        <is>
          <t>49225822</t>
        </is>
      </c>
      <c r="AW880" t="inlineStr">
        <is>
          <t>991004167579702656</t>
        </is>
      </c>
      <c r="AX880" t="inlineStr">
        <is>
          <t>991004167579702656</t>
        </is>
      </c>
      <c r="AY880" t="inlineStr">
        <is>
          <t>2265967390002656</t>
        </is>
      </c>
      <c r="AZ880" t="inlineStr">
        <is>
          <t>BOOK</t>
        </is>
      </c>
      <c r="BB880" t="inlineStr">
        <is>
          <t>9781580461078</t>
        </is>
      </c>
      <c r="BC880" t="inlineStr">
        <is>
          <t>32285004840640</t>
        </is>
      </c>
      <c r="BD880" t="inlineStr">
        <is>
          <t>893806747</t>
        </is>
      </c>
    </row>
    <row r="881">
      <c r="A881" t="inlineStr">
        <is>
          <t>No</t>
        </is>
      </c>
      <c r="B881" t="inlineStr">
        <is>
          <t>GN645 .J42 1991</t>
        </is>
      </c>
      <c r="C881" t="inlineStr">
        <is>
          <t>0                      GN 0645000J  42          1991</t>
        </is>
      </c>
      <c r="D881" t="inlineStr">
        <is>
          <t>Behind the Eurocentric veils : the search for African realities / Clinton M. Jean ; foreword by James Jennings.</t>
        </is>
      </c>
      <c r="F881" t="inlineStr">
        <is>
          <t>No</t>
        </is>
      </c>
      <c r="G881" t="inlineStr">
        <is>
          <t>1</t>
        </is>
      </c>
      <c r="H881" t="inlineStr">
        <is>
          <t>No</t>
        </is>
      </c>
      <c r="I881" t="inlineStr">
        <is>
          <t>No</t>
        </is>
      </c>
      <c r="J881" t="inlineStr">
        <is>
          <t>0</t>
        </is>
      </c>
      <c r="K881" t="inlineStr">
        <is>
          <t>Jean, Clinton M. (Clinton Michael)</t>
        </is>
      </c>
      <c r="L881" t="inlineStr">
        <is>
          <t>Amherst : University of Massachusetts Press, c1991.</t>
        </is>
      </c>
      <c r="M881" t="inlineStr">
        <is>
          <t>1991</t>
        </is>
      </c>
      <c r="O881" t="inlineStr">
        <is>
          <t>eng</t>
        </is>
      </c>
      <c r="P881" t="inlineStr">
        <is>
          <t>mau</t>
        </is>
      </c>
      <c r="R881" t="inlineStr">
        <is>
          <t xml:space="preserve">GN </t>
        </is>
      </c>
      <c r="S881" t="n">
        <v>2</v>
      </c>
      <c r="T881" t="n">
        <v>2</v>
      </c>
      <c r="U881" t="inlineStr">
        <is>
          <t>2009-12-10</t>
        </is>
      </c>
      <c r="V881" t="inlineStr">
        <is>
          <t>2009-12-10</t>
        </is>
      </c>
      <c r="W881" t="inlineStr">
        <is>
          <t>1992-05-08</t>
        </is>
      </c>
      <c r="X881" t="inlineStr">
        <is>
          <t>1992-05-08</t>
        </is>
      </c>
      <c r="Y881" t="n">
        <v>427</v>
      </c>
      <c r="Z881" t="n">
        <v>358</v>
      </c>
      <c r="AA881" t="n">
        <v>365</v>
      </c>
      <c r="AB881" t="n">
        <v>3</v>
      </c>
      <c r="AC881" t="n">
        <v>3</v>
      </c>
      <c r="AD881" t="n">
        <v>12</v>
      </c>
      <c r="AE881" t="n">
        <v>12</v>
      </c>
      <c r="AF881" t="n">
        <v>1</v>
      </c>
      <c r="AG881" t="n">
        <v>1</v>
      </c>
      <c r="AH881" t="n">
        <v>6</v>
      </c>
      <c r="AI881" t="n">
        <v>6</v>
      </c>
      <c r="AJ881" t="n">
        <v>6</v>
      </c>
      <c r="AK881" t="n">
        <v>6</v>
      </c>
      <c r="AL881" t="n">
        <v>2</v>
      </c>
      <c r="AM881" t="n">
        <v>2</v>
      </c>
      <c r="AN881" t="n">
        <v>0</v>
      </c>
      <c r="AO881" t="n">
        <v>0</v>
      </c>
      <c r="AP881" t="inlineStr">
        <is>
          <t>No</t>
        </is>
      </c>
      <c r="AQ881" t="inlineStr">
        <is>
          <t>Yes</t>
        </is>
      </c>
      <c r="AR881">
        <f>HYPERLINK("http://catalog.hathitrust.org/Record/002527028","HathiTrust Record")</f>
        <v/>
      </c>
      <c r="AS881">
        <f>HYPERLINK("https://creighton-primo.hosted.exlibrisgroup.com/primo-explore/search?tab=default_tab&amp;search_scope=EVERYTHING&amp;vid=01CRU&amp;lang=en_US&amp;offset=0&amp;query=any,contains,991001901799702656","Catalog Record")</f>
        <v/>
      </c>
      <c r="AT881">
        <f>HYPERLINK("http://www.worldcat.org/oclc/24011026","WorldCat Record")</f>
        <v/>
      </c>
      <c r="AU881" t="inlineStr">
        <is>
          <t>25004784:eng</t>
        </is>
      </c>
      <c r="AV881" t="inlineStr">
        <is>
          <t>24011026</t>
        </is>
      </c>
      <c r="AW881" t="inlineStr">
        <is>
          <t>991001901799702656</t>
        </is>
      </c>
      <c r="AX881" t="inlineStr">
        <is>
          <t>991001901799702656</t>
        </is>
      </c>
      <c r="AY881" t="inlineStr">
        <is>
          <t>2262697550002656</t>
        </is>
      </c>
      <c r="AZ881" t="inlineStr">
        <is>
          <t>BOOK</t>
        </is>
      </c>
      <c r="BB881" t="inlineStr">
        <is>
          <t>9780870237577</t>
        </is>
      </c>
      <c r="BC881" t="inlineStr">
        <is>
          <t>32285001039352</t>
        </is>
      </c>
      <c r="BD881" t="inlineStr">
        <is>
          <t>893408447</t>
        </is>
      </c>
    </row>
    <row r="882">
      <c r="A882" t="inlineStr">
        <is>
          <t>No</t>
        </is>
      </c>
      <c r="B882" t="inlineStr">
        <is>
          <t>GN645 .J84</t>
        </is>
      </c>
      <c r="C882" t="inlineStr">
        <is>
          <t>0                      GN 0645000J  84</t>
        </is>
      </c>
      <c r="D882" t="inlineStr">
        <is>
          <t>Precolonial Africa : an economic and social history / Robert W. July.</t>
        </is>
      </c>
      <c r="F882" t="inlineStr">
        <is>
          <t>No</t>
        </is>
      </c>
      <c r="G882" t="inlineStr">
        <is>
          <t>1</t>
        </is>
      </c>
      <c r="H882" t="inlineStr">
        <is>
          <t>No</t>
        </is>
      </c>
      <c r="I882" t="inlineStr">
        <is>
          <t>No</t>
        </is>
      </c>
      <c r="J882" t="inlineStr">
        <is>
          <t>0</t>
        </is>
      </c>
      <c r="K882" t="inlineStr">
        <is>
          <t>July, Robert William.</t>
        </is>
      </c>
      <c r="L882" t="inlineStr">
        <is>
          <t>New York : Scribner, [1975]</t>
        </is>
      </c>
      <c r="M882" t="inlineStr">
        <is>
          <t>1975</t>
        </is>
      </c>
      <c r="O882" t="inlineStr">
        <is>
          <t>eng</t>
        </is>
      </c>
      <c r="P882" t="inlineStr">
        <is>
          <t>nyu</t>
        </is>
      </c>
      <c r="R882" t="inlineStr">
        <is>
          <t xml:space="preserve">GN </t>
        </is>
      </c>
      <c r="S882" t="n">
        <v>1</v>
      </c>
      <c r="T882" t="n">
        <v>1</v>
      </c>
      <c r="U882" t="inlineStr">
        <is>
          <t>2004-02-07</t>
        </is>
      </c>
      <c r="V882" t="inlineStr">
        <is>
          <t>2004-02-07</t>
        </is>
      </c>
      <c r="W882" t="inlineStr">
        <is>
          <t>1997-05-29</t>
        </is>
      </c>
      <c r="X882" t="inlineStr">
        <is>
          <t>1997-05-29</t>
        </is>
      </c>
      <c r="Y882" t="n">
        <v>650</v>
      </c>
      <c r="Z882" t="n">
        <v>561</v>
      </c>
      <c r="AA882" t="n">
        <v>567</v>
      </c>
      <c r="AB882" t="n">
        <v>7</v>
      </c>
      <c r="AC882" t="n">
        <v>7</v>
      </c>
      <c r="AD882" t="n">
        <v>22</v>
      </c>
      <c r="AE882" t="n">
        <v>22</v>
      </c>
      <c r="AF882" t="n">
        <v>6</v>
      </c>
      <c r="AG882" t="n">
        <v>6</v>
      </c>
      <c r="AH882" t="n">
        <v>5</v>
      </c>
      <c r="AI882" t="n">
        <v>5</v>
      </c>
      <c r="AJ882" t="n">
        <v>10</v>
      </c>
      <c r="AK882" t="n">
        <v>10</v>
      </c>
      <c r="AL882" t="n">
        <v>6</v>
      </c>
      <c r="AM882" t="n">
        <v>6</v>
      </c>
      <c r="AN882" t="n">
        <v>0</v>
      </c>
      <c r="AO882" t="n">
        <v>0</v>
      </c>
      <c r="AP882" t="inlineStr">
        <is>
          <t>No</t>
        </is>
      </c>
      <c r="AQ882" t="inlineStr">
        <is>
          <t>Yes</t>
        </is>
      </c>
      <c r="AR882">
        <f>HYPERLINK("http://catalog.hathitrust.org/Record/000026821","HathiTrust Record")</f>
        <v/>
      </c>
      <c r="AS882">
        <f>HYPERLINK("https://creighton-primo.hosted.exlibrisgroup.com/primo-explore/search?tab=default_tab&amp;search_scope=EVERYTHING&amp;vid=01CRU&amp;lang=en_US&amp;offset=0&amp;query=any,contains,991003653349702656","Catalog Record")</f>
        <v/>
      </c>
      <c r="AT882">
        <f>HYPERLINK("http://www.worldcat.org/oclc/1256922","WorldCat Record")</f>
        <v/>
      </c>
      <c r="AU882" t="inlineStr">
        <is>
          <t>2176096:eng</t>
        </is>
      </c>
      <c r="AV882" t="inlineStr">
        <is>
          <t>1256922</t>
        </is>
      </c>
      <c r="AW882" t="inlineStr">
        <is>
          <t>991003653349702656</t>
        </is>
      </c>
      <c r="AX882" t="inlineStr">
        <is>
          <t>991003653349702656</t>
        </is>
      </c>
      <c r="AY882" t="inlineStr">
        <is>
          <t>2257981550002656</t>
        </is>
      </c>
      <c r="AZ882" t="inlineStr">
        <is>
          <t>BOOK</t>
        </is>
      </c>
      <c r="BB882" t="inlineStr">
        <is>
          <t>9780684143187</t>
        </is>
      </c>
      <c r="BC882" t="inlineStr">
        <is>
          <t>32285002697018</t>
        </is>
      </c>
      <c r="BD882" t="inlineStr">
        <is>
          <t>893705467</t>
        </is>
      </c>
    </row>
    <row r="883">
      <c r="A883" t="inlineStr">
        <is>
          <t>No</t>
        </is>
      </c>
      <c r="B883" t="inlineStr">
        <is>
          <t>GN645 .M3</t>
        </is>
      </c>
      <c r="C883" t="inlineStr">
        <is>
          <t>0                      GN 0645000M  3</t>
        </is>
      </c>
      <c r="D883" t="inlineStr">
        <is>
          <t>The dynamics of culture change; an inquiry into race relations in Africa, by Bronislaw Malinowski; edited by Phyllis M. Kaberry.</t>
        </is>
      </c>
      <c r="F883" t="inlineStr">
        <is>
          <t>No</t>
        </is>
      </c>
      <c r="G883" t="inlineStr">
        <is>
          <t>1</t>
        </is>
      </c>
      <c r="H883" t="inlineStr">
        <is>
          <t>No</t>
        </is>
      </c>
      <c r="I883" t="inlineStr">
        <is>
          <t>No</t>
        </is>
      </c>
      <c r="J883" t="inlineStr">
        <is>
          <t>0</t>
        </is>
      </c>
      <c r="K883" t="inlineStr">
        <is>
          <t>Malinowski, Bronislaw, 1884-1942.</t>
        </is>
      </c>
      <c r="L883" t="inlineStr">
        <is>
          <t>New Haven, Yale University Press; London, H. Milford, Oxford University Press, 1945.</t>
        </is>
      </c>
      <c r="M883" t="inlineStr">
        <is>
          <t>1945</t>
        </is>
      </c>
      <c r="O883" t="inlineStr">
        <is>
          <t>eng</t>
        </is>
      </c>
      <c r="P883" t="inlineStr">
        <is>
          <t>ctu</t>
        </is>
      </c>
      <c r="R883" t="inlineStr">
        <is>
          <t xml:space="preserve">GN </t>
        </is>
      </c>
      <c r="S883" t="n">
        <v>1</v>
      </c>
      <c r="T883" t="n">
        <v>1</v>
      </c>
      <c r="U883" t="inlineStr">
        <is>
          <t>2002-04-11</t>
        </is>
      </c>
      <c r="V883" t="inlineStr">
        <is>
          <t>2002-04-11</t>
        </is>
      </c>
      <c r="W883" t="inlineStr">
        <is>
          <t>1997-05-29</t>
        </is>
      </c>
      <c r="X883" t="inlineStr">
        <is>
          <t>1997-05-29</t>
        </is>
      </c>
      <c r="Y883" t="n">
        <v>780</v>
      </c>
      <c r="Z883" t="n">
        <v>646</v>
      </c>
      <c r="AA883" t="n">
        <v>1178</v>
      </c>
      <c r="AB883" t="n">
        <v>5</v>
      </c>
      <c r="AC883" t="n">
        <v>9</v>
      </c>
      <c r="AD883" t="n">
        <v>32</v>
      </c>
      <c r="AE883" t="n">
        <v>47</v>
      </c>
      <c r="AF883" t="n">
        <v>14</v>
      </c>
      <c r="AG883" t="n">
        <v>20</v>
      </c>
      <c r="AH883" t="n">
        <v>6</v>
      </c>
      <c r="AI883" t="n">
        <v>8</v>
      </c>
      <c r="AJ883" t="n">
        <v>16</v>
      </c>
      <c r="AK883" t="n">
        <v>21</v>
      </c>
      <c r="AL883" t="n">
        <v>4</v>
      </c>
      <c r="AM883" t="n">
        <v>8</v>
      </c>
      <c r="AN883" t="n">
        <v>0</v>
      </c>
      <c r="AO883" t="n">
        <v>1</v>
      </c>
      <c r="AP883" t="inlineStr">
        <is>
          <t>No</t>
        </is>
      </c>
      <c r="AQ883" t="inlineStr">
        <is>
          <t>Yes</t>
        </is>
      </c>
      <c r="AR883">
        <f>HYPERLINK("http://catalog.hathitrust.org/Record/001606925","HathiTrust Record")</f>
        <v/>
      </c>
      <c r="AS883">
        <f>HYPERLINK("https://creighton-primo.hosted.exlibrisgroup.com/primo-explore/search?tab=default_tab&amp;search_scope=EVERYTHING&amp;vid=01CRU&amp;lang=en_US&amp;offset=0&amp;query=any,contains,991002856389702656","Catalog Record")</f>
        <v/>
      </c>
      <c r="AT883">
        <f>HYPERLINK("http://www.worldcat.org/oclc/490177","WorldCat Record")</f>
        <v/>
      </c>
      <c r="AU883" t="inlineStr">
        <is>
          <t>1081926693:eng</t>
        </is>
      </c>
      <c r="AV883" t="inlineStr">
        <is>
          <t>490177</t>
        </is>
      </c>
      <c r="AW883" t="inlineStr">
        <is>
          <t>991002856389702656</t>
        </is>
      </c>
      <c r="AX883" t="inlineStr">
        <is>
          <t>991002856389702656</t>
        </is>
      </c>
      <c r="AY883" t="inlineStr">
        <is>
          <t>2257623920002656</t>
        </is>
      </c>
      <c r="AZ883" t="inlineStr">
        <is>
          <t>BOOK</t>
        </is>
      </c>
      <c r="BC883" t="inlineStr">
        <is>
          <t>32285002697026</t>
        </is>
      </c>
      <c r="BD883" t="inlineStr">
        <is>
          <t>893780321</t>
        </is>
      </c>
    </row>
    <row r="884">
      <c r="A884" t="inlineStr">
        <is>
          <t>No</t>
        </is>
      </c>
      <c r="B884" t="inlineStr">
        <is>
          <t>GN645 .M33</t>
        </is>
      </c>
      <c r="C884" t="inlineStr">
        <is>
          <t>0                      GN 0645000M  33</t>
        </is>
      </c>
      <c r="D884" t="inlineStr">
        <is>
          <t>Man in Africa. Edited by Mary Douglas and Phyllis M. Kaberry.</t>
        </is>
      </c>
      <c r="F884" t="inlineStr">
        <is>
          <t>No</t>
        </is>
      </c>
      <c r="G884" t="inlineStr">
        <is>
          <t>1</t>
        </is>
      </c>
      <c r="H884" t="inlineStr">
        <is>
          <t>No</t>
        </is>
      </c>
      <c r="I884" t="inlineStr">
        <is>
          <t>No</t>
        </is>
      </c>
      <c r="J884" t="inlineStr">
        <is>
          <t>0</t>
        </is>
      </c>
      <c r="L884" t="inlineStr">
        <is>
          <t>London, New York [etc.] Tavistock Publications, 1969.</t>
        </is>
      </c>
      <c r="M884" t="inlineStr">
        <is>
          <t>1969</t>
        </is>
      </c>
      <c r="O884" t="inlineStr">
        <is>
          <t>eng</t>
        </is>
      </c>
      <c r="P884" t="inlineStr">
        <is>
          <t>enk</t>
        </is>
      </c>
      <c r="R884" t="inlineStr">
        <is>
          <t xml:space="preserve">GN </t>
        </is>
      </c>
      <c r="S884" t="n">
        <v>2</v>
      </c>
      <c r="T884" t="n">
        <v>2</v>
      </c>
      <c r="U884" t="inlineStr">
        <is>
          <t>2009-02-21</t>
        </is>
      </c>
      <c r="V884" t="inlineStr">
        <is>
          <t>2009-02-21</t>
        </is>
      </c>
      <c r="W884" t="inlineStr">
        <is>
          <t>1997-05-29</t>
        </is>
      </c>
      <c r="X884" t="inlineStr">
        <is>
          <t>1997-05-29</t>
        </is>
      </c>
      <c r="Y884" t="n">
        <v>634</v>
      </c>
      <c r="Z884" t="n">
        <v>443</v>
      </c>
      <c r="AA884" t="n">
        <v>563</v>
      </c>
      <c r="AB884" t="n">
        <v>3</v>
      </c>
      <c r="AC884" t="n">
        <v>3</v>
      </c>
      <c r="AD884" t="n">
        <v>14</v>
      </c>
      <c r="AE884" t="n">
        <v>20</v>
      </c>
      <c r="AF884" t="n">
        <v>6</v>
      </c>
      <c r="AG884" t="n">
        <v>7</v>
      </c>
      <c r="AH884" t="n">
        <v>5</v>
      </c>
      <c r="AI884" t="n">
        <v>7</v>
      </c>
      <c r="AJ884" t="n">
        <v>5</v>
      </c>
      <c r="AK884" t="n">
        <v>10</v>
      </c>
      <c r="AL884" t="n">
        <v>2</v>
      </c>
      <c r="AM884" t="n">
        <v>2</v>
      </c>
      <c r="AN884" t="n">
        <v>0</v>
      </c>
      <c r="AO884" t="n">
        <v>0</v>
      </c>
      <c r="AP884" t="inlineStr">
        <is>
          <t>No</t>
        </is>
      </c>
      <c r="AQ884" t="inlineStr">
        <is>
          <t>Yes</t>
        </is>
      </c>
      <c r="AR884">
        <f>HYPERLINK("http://catalog.hathitrust.org/Record/001275259","HathiTrust Record")</f>
        <v/>
      </c>
      <c r="AS884">
        <f>HYPERLINK("https://creighton-primo.hosted.exlibrisgroup.com/primo-explore/search?tab=default_tab&amp;search_scope=EVERYTHING&amp;vid=01CRU&amp;lang=en_US&amp;offset=0&amp;query=any,contains,991000062349702656","Catalog Record")</f>
        <v/>
      </c>
      <c r="AT884">
        <f>HYPERLINK("http://www.worldcat.org/oclc/25244","WorldCat Record")</f>
        <v/>
      </c>
      <c r="AU884" t="inlineStr">
        <is>
          <t>346937561:eng</t>
        </is>
      </c>
      <c r="AV884" t="inlineStr">
        <is>
          <t>25244</t>
        </is>
      </c>
      <c r="AW884" t="inlineStr">
        <is>
          <t>991000062349702656</t>
        </is>
      </c>
      <c r="AX884" t="inlineStr">
        <is>
          <t>991000062349702656</t>
        </is>
      </c>
      <c r="AY884" t="inlineStr">
        <is>
          <t>2268435760002656</t>
        </is>
      </c>
      <c r="AZ884" t="inlineStr">
        <is>
          <t>BOOK</t>
        </is>
      </c>
      <c r="BB884" t="inlineStr">
        <is>
          <t>9780422719001</t>
        </is>
      </c>
      <c r="BC884" t="inlineStr">
        <is>
          <t>32285002697034</t>
        </is>
      </c>
      <c r="BD884" t="inlineStr">
        <is>
          <t>893345345</t>
        </is>
      </c>
    </row>
    <row r="885">
      <c r="A885" t="inlineStr">
        <is>
          <t>No</t>
        </is>
      </c>
      <c r="B885" t="inlineStr">
        <is>
          <t>GN645 .O75</t>
        </is>
      </c>
      <c r="C885" t="inlineStr">
        <is>
          <t>0                      GN 0645000O  75</t>
        </is>
      </c>
      <c r="D885" t="inlineStr">
        <is>
          <t>Cultures and societies of Africa. Edited, with a general introd., commentaries, and notes, by Simon and Phoebe Ottenberg.</t>
        </is>
      </c>
      <c r="F885" t="inlineStr">
        <is>
          <t>No</t>
        </is>
      </c>
      <c r="G885" t="inlineStr">
        <is>
          <t>1</t>
        </is>
      </c>
      <c r="H885" t="inlineStr">
        <is>
          <t>No</t>
        </is>
      </c>
      <c r="I885" t="inlineStr">
        <is>
          <t>No</t>
        </is>
      </c>
      <c r="J885" t="inlineStr">
        <is>
          <t>0</t>
        </is>
      </c>
      <c r="K885" t="inlineStr">
        <is>
          <t>Ottenberg, Simon editor.</t>
        </is>
      </c>
      <c r="L885" t="inlineStr">
        <is>
          <t>New York, Random House [1960]</t>
        </is>
      </c>
      <c r="M885" t="inlineStr">
        <is>
          <t>1960</t>
        </is>
      </c>
      <c r="O885" t="inlineStr">
        <is>
          <t>eng</t>
        </is>
      </c>
      <c r="P885" t="inlineStr">
        <is>
          <t>nyu</t>
        </is>
      </c>
      <c r="R885" t="inlineStr">
        <is>
          <t xml:space="preserve">GN </t>
        </is>
      </c>
      <c r="S885" t="n">
        <v>9</v>
      </c>
      <c r="T885" t="n">
        <v>9</v>
      </c>
      <c r="U885" t="inlineStr">
        <is>
          <t>1998-04-25</t>
        </is>
      </c>
      <c r="V885" t="inlineStr">
        <is>
          <t>1998-04-25</t>
        </is>
      </c>
      <c r="W885" t="inlineStr">
        <is>
          <t>1992-04-29</t>
        </is>
      </c>
      <c r="X885" t="inlineStr">
        <is>
          <t>1992-04-29</t>
        </is>
      </c>
      <c r="Y885" t="n">
        <v>1144</v>
      </c>
      <c r="Z885" t="n">
        <v>982</v>
      </c>
      <c r="AA885" t="n">
        <v>991</v>
      </c>
      <c r="AB885" t="n">
        <v>7</v>
      </c>
      <c r="AC885" t="n">
        <v>7</v>
      </c>
      <c r="AD885" t="n">
        <v>41</v>
      </c>
      <c r="AE885" t="n">
        <v>41</v>
      </c>
      <c r="AF885" t="n">
        <v>20</v>
      </c>
      <c r="AG885" t="n">
        <v>20</v>
      </c>
      <c r="AH885" t="n">
        <v>6</v>
      </c>
      <c r="AI885" t="n">
        <v>6</v>
      </c>
      <c r="AJ885" t="n">
        <v>17</v>
      </c>
      <c r="AK885" t="n">
        <v>17</v>
      </c>
      <c r="AL885" t="n">
        <v>6</v>
      </c>
      <c r="AM885" t="n">
        <v>6</v>
      </c>
      <c r="AN885" t="n">
        <v>0</v>
      </c>
      <c r="AO885" t="n">
        <v>0</v>
      </c>
      <c r="AP885" t="inlineStr">
        <is>
          <t>No</t>
        </is>
      </c>
      <c r="AQ885" t="inlineStr">
        <is>
          <t>No</t>
        </is>
      </c>
      <c r="AR885">
        <f>HYPERLINK("http://catalog.hathitrust.org/Record/001275267","HathiTrust Record")</f>
        <v/>
      </c>
      <c r="AS885">
        <f>HYPERLINK("https://creighton-primo.hosted.exlibrisgroup.com/primo-explore/search?tab=default_tab&amp;search_scope=EVERYTHING&amp;vid=01CRU&amp;lang=en_US&amp;offset=0&amp;query=any,contains,991002204969702656","Catalog Record")</f>
        <v/>
      </c>
      <c r="AT885">
        <f>HYPERLINK("http://www.worldcat.org/oclc/285473","WorldCat Record")</f>
        <v/>
      </c>
      <c r="AU885" t="inlineStr">
        <is>
          <t>364431548:eng</t>
        </is>
      </c>
      <c r="AV885" t="inlineStr">
        <is>
          <t>285473</t>
        </is>
      </c>
      <c r="AW885" t="inlineStr">
        <is>
          <t>991002204969702656</t>
        </is>
      </c>
      <c r="AX885" t="inlineStr">
        <is>
          <t>991002204969702656</t>
        </is>
      </c>
      <c r="AY885" t="inlineStr">
        <is>
          <t>2262956320002656</t>
        </is>
      </c>
      <c r="AZ885" t="inlineStr">
        <is>
          <t>BOOK</t>
        </is>
      </c>
      <c r="BC885" t="inlineStr">
        <is>
          <t>32285001103216</t>
        </is>
      </c>
      <c r="BD885" t="inlineStr">
        <is>
          <t>893497829</t>
        </is>
      </c>
    </row>
    <row r="886">
      <c r="A886" t="inlineStr">
        <is>
          <t>No</t>
        </is>
      </c>
      <c r="B886" t="inlineStr">
        <is>
          <t>GN645 .W64</t>
        </is>
      </c>
      <c r="C886" t="inlineStr">
        <is>
          <t>0                      GN 0645000W  64</t>
        </is>
      </c>
      <c r="D886" t="inlineStr">
        <is>
          <t>World encyclopedia of Black peoples.</t>
        </is>
      </c>
      <c r="E886" t="inlineStr">
        <is>
          <t>V.1</t>
        </is>
      </c>
      <c r="F886" t="inlineStr">
        <is>
          <t>No</t>
        </is>
      </c>
      <c r="G886" t="inlineStr">
        <is>
          <t>1</t>
        </is>
      </c>
      <c r="H886" t="inlineStr">
        <is>
          <t>No</t>
        </is>
      </c>
      <c r="I886" t="inlineStr">
        <is>
          <t>No</t>
        </is>
      </c>
      <c r="J886" t="inlineStr">
        <is>
          <t>0</t>
        </is>
      </c>
      <c r="L886" t="inlineStr">
        <is>
          <t>St. Clair Shores, Mich. : Scholarly Press, [1975-</t>
        </is>
      </c>
      <c r="M886" t="inlineStr">
        <is>
          <t>1975</t>
        </is>
      </c>
      <c r="O886" t="inlineStr">
        <is>
          <t>eng</t>
        </is>
      </c>
      <c r="P886" t="inlineStr">
        <is>
          <t>miu</t>
        </is>
      </c>
      <c r="R886" t="inlineStr">
        <is>
          <t xml:space="preserve">GN </t>
        </is>
      </c>
      <c r="S886" t="n">
        <v>3</v>
      </c>
      <c r="T886" t="n">
        <v>3</v>
      </c>
      <c r="U886" t="inlineStr">
        <is>
          <t>1997-03-04</t>
        </is>
      </c>
      <c r="V886" t="inlineStr">
        <is>
          <t>1997-03-04</t>
        </is>
      </c>
      <c r="W886" t="inlineStr">
        <is>
          <t>1990-09-27</t>
        </is>
      </c>
      <c r="X886" t="inlineStr">
        <is>
          <t>1990-09-27</t>
        </is>
      </c>
      <c r="Y886" t="n">
        <v>271</v>
      </c>
      <c r="Z886" t="n">
        <v>258</v>
      </c>
      <c r="AA886" t="n">
        <v>259</v>
      </c>
      <c r="AB886" t="n">
        <v>2</v>
      </c>
      <c r="AC886" t="n">
        <v>2</v>
      </c>
      <c r="AD886" t="n">
        <v>4</v>
      </c>
      <c r="AE886" t="n">
        <v>4</v>
      </c>
      <c r="AF886" t="n">
        <v>2</v>
      </c>
      <c r="AG886" t="n">
        <v>2</v>
      </c>
      <c r="AH886" t="n">
        <v>1</v>
      </c>
      <c r="AI886" t="n">
        <v>1</v>
      </c>
      <c r="AJ886" t="n">
        <v>2</v>
      </c>
      <c r="AK886" t="n">
        <v>2</v>
      </c>
      <c r="AL886" t="n">
        <v>1</v>
      </c>
      <c r="AM886" t="n">
        <v>1</v>
      </c>
      <c r="AN886" t="n">
        <v>0</v>
      </c>
      <c r="AO886" t="n">
        <v>0</v>
      </c>
      <c r="AP886" t="inlineStr">
        <is>
          <t>No</t>
        </is>
      </c>
      <c r="AQ886" t="inlineStr">
        <is>
          <t>Yes</t>
        </is>
      </c>
      <c r="AR886">
        <f>HYPERLINK("http://catalog.hathitrust.org/Record/001286740","HathiTrust Record")</f>
        <v/>
      </c>
      <c r="AS886">
        <f>HYPERLINK("https://creighton-primo.hosted.exlibrisgroup.com/primo-explore/search?tab=default_tab&amp;search_scope=EVERYTHING&amp;vid=01CRU&amp;lang=en_US&amp;offset=0&amp;query=any,contains,991003539769702656","Catalog Record")</f>
        <v/>
      </c>
      <c r="AT886">
        <f>HYPERLINK("http://www.worldcat.org/oclc/1104201","WorldCat Record")</f>
        <v/>
      </c>
      <c r="AU886" t="inlineStr">
        <is>
          <t>1974097:eng</t>
        </is>
      </c>
      <c r="AV886" t="inlineStr">
        <is>
          <t>1104201</t>
        </is>
      </c>
      <c r="AW886" t="inlineStr">
        <is>
          <t>991003539769702656</t>
        </is>
      </c>
      <c r="AX886" t="inlineStr">
        <is>
          <t>991003539769702656</t>
        </is>
      </c>
      <c r="AY886" t="inlineStr">
        <is>
          <t>2256382760002656</t>
        </is>
      </c>
      <c r="AZ886" t="inlineStr">
        <is>
          <t>BOOK</t>
        </is>
      </c>
      <c r="BB886" t="inlineStr">
        <is>
          <t>9780403017966</t>
        </is>
      </c>
      <c r="BC886" t="inlineStr">
        <is>
          <t>32285000317155</t>
        </is>
      </c>
      <c r="BD886" t="inlineStr">
        <is>
          <t>893793707</t>
        </is>
      </c>
    </row>
    <row r="887">
      <c r="A887" t="inlineStr">
        <is>
          <t>No</t>
        </is>
      </c>
      <c r="B887" t="inlineStr">
        <is>
          <t>GN649.M65 E57 1999</t>
        </is>
      </c>
      <c r="C887" t="inlineStr">
        <is>
          <t>0                      GN 0649000M  65                 E  57          1999</t>
        </is>
      </c>
      <c r="D887" t="inlineStr">
        <is>
          <t>Saints and servants in southern Morocco / by Remco Ensel.</t>
        </is>
      </c>
      <c r="F887" t="inlineStr">
        <is>
          <t>No</t>
        </is>
      </c>
      <c r="G887" t="inlineStr">
        <is>
          <t>1</t>
        </is>
      </c>
      <c r="H887" t="inlineStr">
        <is>
          <t>No</t>
        </is>
      </c>
      <c r="I887" t="inlineStr">
        <is>
          <t>No</t>
        </is>
      </c>
      <c r="J887" t="inlineStr">
        <is>
          <t>0</t>
        </is>
      </c>
      <c r="K887" t="inlineStr">
        <is>
          <t>Ensel, Remco.</t>
        </is>
      </c>
      <c r="L887" t="inlineStr">
        <is>
          <t>Leiden ; Boston : Brill, 1999.</t>
        </is>
      </c>
      <c r="M887" t="inlineStr">
        <is>
          <t>1999</t>
        </is>
      </c>
      <c r="O887" t="inlineStr">
        <is>
          <t>eng</t>
        </is>
      </c>
      <c r="P887" t="inlineStr">
        <is>
          <t xml:space="preserve">ne </t>
        </is>
      </c>
      <c r="Q887" t="inlineStr">
        <is>
          <t>Social, economic, and political studies of the Middle East and Asia, 1385-3376 ; v. 67</t>
        </is>
      </c>
      <c r="R887" t="inlineStr">
        <is>
          <t xml:space="preserve">GN </t>
        </is>
      </c>
      <c r="S887" t="n">
        <v>1</v>
      </c>
      <c r="T887" t="n">
        <v>1</v>
      </c>
      <c r="U887" t="inlineStr">
        <is>
          <t>2000-11-07</t>
        </is>
      </c>
      <c r="V887" t="inlineStr">
        <is>
          <t>2000-11-07</t>
        </is>
      </c>
      <c r="W887" t="inlineStr">
        <is>
          <t>2000-11-07</t>
        </is>
      </c>
      <c r="X887" t="inlineStr">
        <is>
          <t>2000-11-07</t>
        </is>
      </c>
      <c r="Y887" t="n">
        <v>193</v>
      </c>
      <c r="Z887" t="n">
        <v>138</v>
      </c>
      <c r="AA887" t="n">
        <v>139</v>
      </c>
      <c r="AB887" t="n">
        <v>2</v>
      </c>
      <c r="AC887" t="n">
        <v>2</v>
      </c>
      <c r="AD887" t="n">
        <v>9</v>
      </c>
      <c r="AE887" t="n">
        <v>9</v>
      </c>
      <c r="AF887" t="n">
        <v>2</v>
      </c>
      <c r="AG887" t="n">
        <v>2</v>
      </c>
      <c r="AH887" t="n">
        <v>3</v>
      </c>
      <c r="AI887" t="n">
        <v>3</v>
      </c>
      <c r="AJ887" t="n">
        <v>6</v>
      </c>
      <c r="AK887" t="n">
        <v>6</v>
      </c>
      <c r="AL887" t="n">
        <v>1</v>
      </c>
      <c r="AM887" t="n">
        <v>1</v>
      </c>
      <c r="AN887" t="n">
        <v>0</v>
      </c>
      <c r="AO887" t="n">
        <v>0</v>
      </c>
      <c r="AP887" t="inlineStr">
        <is>
          <t>No</t>
        </is>
      </c>
      <c r="AQ887" t="inlineStr">
        <is>
          <t>Yes</t>
        </is>
      </c>
      <c r="AR887">
        <f>HYPERLINK("http://catalog.hathitrust.org/Record/003441776","HathiTrust Record")</f>
        <v/>
      </c>
      <c r="AS887">
        <f>HYPERLINK("https://creighton-primo.hosted.exlibrisgroup.com/primo-explore/search?tab=default_tab&amp;search_scope=EVERYTHING&amp;vid=01CRU&amp;lang=en_US&amp;offset=0&amp;query=any,contains,991003321679702656","Catalog Record")</f>
        <v/>
      </c>
      <c r="AT887">
        <f>HYPERLINK("http://www.worldcat.org/oclc/41176687","WorldCat Record")</f>
        <v/>
      </c>
      <c r="AU887" t="inlineStr">
        <is>
          <t>9592889112:eng</t>
        </is>
      </c>
      <c r="AV887" t="inlineStr">
        <is>
          <t>41176687</t>
        </is>
      </c>
      <c r="AW887" t="inlineStr">
        <is>
          <t>991003321679702656</t>
        </is>
      </c>
      <c r="AX887" t="inlineStr">
        <is>
          <t>991003321679702656</t>
        </is>
      </c>
      <c r="AY887" t="inlineStr">
        <is>
          <t>2259347970002656</t>
        </is>
      </c>
      <c r="AZ887" t="inlineStr">
        <is>
          <t>BOOK</t>
        </is>
      </c>
      <c r="BB887" t="inlineStr">
        <is>
          <t>9789004114296</t>
        </is>
      </c>
      <c r="BC887" t="inlineStr">
        <is>
          <t>32285004263850</t>
        </is>
      </c>
      <c r="BD887" t="inlineStr">
        <is>
          <t>893805672</t>
        </is>
      </c>
    </row>
    <row r="888">
      <c r="A888" t="inlineStr">
        <is>
          <t>No</t>
        </is>
      </c>
      <c r="B888" t="inlineStr">
        <is>
          <t>GN651 .E9217 1975</t>
        </is>
      </c>
      <c r="C888" t="inlineStr">
        <is>
          <t>0                      GN 0651000E  9217        1975</t>
        </is>
      </c>
      <c r="D888" t="inlineStr">
        <is>
          <t>La mujer en las sociedades primitivas y otros ensayos / E.E. Evans-Pritchard ; traducción de Ángela Pérez.</t>
        </is>
      </c>
      <c r="F888" t="inlineStr">
        <is>
          <t>No</t>
        </is>
      </c>
      <c r="G888" t="inlineStr">
        <is>
          <t>1</t>
        </is>
      </c>
      <c r="H888" t="inlineStr">
        <is>
          <t>No</t>
        </is>
      </c>
      <c r="I888" t="inlineStr">
        <is>
          <t>No</t>
        </is>
      </c>
      <c r="J888" t="inlineStr">
        <is>
          <t>0</t>
        </is>
      </c>
      <c r="K888" t="inlineStr">
        <is>
          <t>Evans-Pritchard, E. E. (Edward Evan), 1902-1973.</t>
        </is>
      </c>
      <c r="L888" t="inlineStr">
        <is>
          <t>Barcelona : Ediciones Península, 1975.</t>
        </is>
      </c>
      <c r="M888" t="inlineStr">
        <is>
          <t>1975</t>
        </is>
      </c>
      <c r="N888" t="inlineStr">
        <is>
          <t>2. ed.</t>
        </is>
      </c>
      <c r="O888" t="inlineStr">
        <is>
          <t>spa</t>
        </is>
      </c>
      <c r="P888" t="inlineStr">
        <is>
          <t xml:space="preserve">sp </t>
        </is>
      </c>
      <c r="Q888" t="inlineStr">
        <is>
          <t>Historia, ciencia, sociedad ; 84</t>
        </is>
      </c>
      <c r="R888" t="inlineStr">
        <is>
          <t xml:space="preserve">GN </t>
        </is>
      </c>
      <c r="S888" t="n">
        <v>2</v>
      </c>
      <c r="T888" t="n">
        <v>2</v>
      </c>
      <c r="U888" t="inlineStr">
        <is>
          <t>2002-05-22</t>
        </is>
      </c>
      <c r="V888" t="inlineStr">
        <is>
          <t>2002-05-22</t>
        </is>
      </c>
      <c r="W888" t="inlineStr">
        <is>
          <t>2002-05-16</t>
        </is>
      </c>
      <c r="X888" t="inlineStr">
        <is>
          <t>2002-05-16</t>
        </is>
      </c>
      <c r="Y888" t="n">
        <v>17</v>
      </c>
      <c r="Z888" t="n">
        <v>14</v>
      </c>
      <c r="AA888" t="n">
        <v>14</v>
      </c>
      <c r="AB888" t="n">
        <v>1</v>
      </c>
      <c r="AC888" t="n">
        <v>1</v>
      </c>
      <c r="AD888" t="n">
        <v>0</v>
      </c>
      <c r="AE888" t="n">
        <v>0</v>
      </c>
      <c r="AF888" t="n">
        <v>0</v>
      </c>
      <c r="AG888" t="n">
        <v>0</v>
      </c>
      <c r="AH888" t="n">
        <v>0</v>
      </c>
      <c r="AI888" t="n">
        <v>0</v>
      </c>
      <c r="AJ888" t="n">
        <v>0</v>
      </c>
      <c r="AK888" t="n">
        <v>0</v>
      </c>
      <c r="AL888" t="n">
        <v>0</v>
      </c>
      <c r="AM888" t="n">
        <v>0</v>
      </c>
      <c r="AN888" t="n">
        <v>0</v>
      </c>
      <c r="AO888" t="n">
        <v>0</v>
      </c>
      <c r="AP888" t="inlineStr">
        <is>
          <t>No</t>
        </is>
      </c>
      <c r="AQ888" t="inlineStr">
        <is>
          <t>No</t>
        </is>
      </c>
      <c r="AS888">
        <f>HYPERLINK("https://creighton-primo.hosted.exlibrisgroup.com/primo-explore/search?tab=default_tab&amp;search_scope=EVERYTHING&amp;vid=01CRU&amp;lang=en_US&amp;offset=0&amp;query=any,contains,991003810549702656","Catalog Record")</f>
        <v/>
      </c>
      <c r="AT888">
        <f>HYPERLINK("http://www.worldcat.org/oclc/2222326","WorldCat Record")</f>
        <v/>
      </c>
      <c r="AU888" t="inlineStr">
        <is>
          <t>119269120:spa</t>
        </is>
      </c>
      <c r="AV888" t="inlineStr">
        <is>
          <t>2222326</t>
        </is>
      </c>
      <c r="AW888" t="inlineStr">
        <is>
          <t>991003810549702656</t>
        </is>
      </c>
      <c r="AX888" t="inlineStr">
        <is>
          <t>991003810549702656</t>
        </is>
      </c>
      <c r="AY888" t="inlineStr">
        <is>
          <t>2257721330002656</t>
        </is>
      </c>
      <c r="AZ888" t="inlineStr">
        <is>
          <t>BOOK</t>
        </is>
      </c>
      <c r="BB888" t="inlineStr">
        <is>
          <t>9788429706666</t>
        </is>
      </c>
      <c r="BC888" t="inlineStr">
        <is>
          <t>32285004489133</t>
        </is>
      </c>
      <c r="BD888" t="inlineStr">
        <is>
          <t>893535635</t>
        </is>
      </c>
    </row>
    <row r="889">
      <c r="A889" t="inlineStr">
        <is>
          <t>No</t>
        </is>
      </c>
      <c r="B889" t="inlineStr">
        <is>
          <t>GN652.F9 S8 1994</t>
        </is>
      </c>
      <c r="C889" t="inlineStr">
        <is>
          <t>0                      GN 0652000F  9                  S  8           1994</t>
        </is>
      </c>
      <c r="D889" t="inlineStr">
        <is>
          <t>Savannah nomads : a study of the Wodaabe pastoral Fulani of Western Bornu Province Northern Region, Nigeria / Derrick J. Stenning ; with a foreword [by] Daryll Forde ; new introduction by Philip Burnham.</t>
        </is>
      </c>
      <c r="F889" t="inlineStr">
        <is>
          <t>No</t>
        </is>
      </c>
      <c r="G889" t="inlineStr">
        <is>
          <t>1</t>
        </is>
      </c>
      <c r="H889" t="inlineStr">
        <is>
          <t>No</t>
        </is>
      </c>
      <c r="I889" t="inlineStr">
        <is>
          <t>No</t>
        </is>
      </c>
      <c r="J889" t="inlineStr">
        <is>
          <t>0</t>
        </is>
      </c>
      <c r="K889" t="inlineStr">
        <is>
          <t>Stenning, Derrick J.</t>
        </is>
      </c>
      <c r="L889" t="inlineStr">
        <is>
          <t>Münster : LIT Verlag, 1994.</t>
        </is>
      </c>
      <c r="M889" t="inlineStr">
        <is>
          <t>1994</t>
        </is>
      </c>
      <c r="O889" t="inlineStr">
        <is>
          <t>eng</t>
        </is>
      </c>
      <c r="P889" t="inlineStr">
        <is>
          <t xml:space="preserve">gw </t>
        </is>
      </c>
      <c r="Q889" t="inlineStr">
        <is>
          <t>Classics in African anthropology</t>
        </is>
      </c>
      <c r="R889" t="inlineStr">
        <is>
          <t xml:space="preserve">GN </t>
        </is>
      </c>
      <c r="S889" t="n">
        <v>8</v>
      </c>
      <c r="T889" t="n">
        <v>8</v>
      </c>
      <c r="U889" t="inlineStr">
        <is>
          <t>1999-04-14</t>
        </is>
      </c>
      <c r="V889" t="inlineStr">
        <is>
          <t>1999-04-14</t>
        </is>
      </c>
      <c r="W889" t="inlineStr">
        <is>
          <t>1995-12-18</t>
        </is>
      </c>
      <c r="X889" t="inlineStr">
        <is>
          <t>1995-12-18</t>
        </is>
      </c>
      <c r="Y889" t="n">
        <v>45</v>
      </c>
      <c r="Z889" t="n">
        <v>38</v>
      </c>
      <c r="AA889" t="n">
        <v>357</v>
      </c>
      <c r="AB889" t="n">
        <v>1</v>
      </c>
      <c r="AC889" t="n">
        <v>2</v>
      </c>
      <c r="AD889" t="n">
        <v>1</v>
      </c>
      <c r="AE889" t="n">
        <v>13</v>
      </c>
      <c r="AF889" t="n">
        <v>1</v>
      </c>
      <c r="AG889" t="n">
        <v>2</v>
      </c>
      <c r="AH889" t="n">
        <v>1</v>
      </c>
      <c r="AI889" t="n">
        <v>5</v>
      </c>
      <c r="AJ889" t="n">
        <v>0</v>
      </c>
      <c r="AK889" t="n">
        <v>9</v>
      </c>
      <c r="AL889" t="n">
        <v>0</v>
      </c>
      <c r="AM889" t="n">
        <v>1</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HYPERLINK("https://creighton-primo.hosted.exlibrisgroup.com/primo-explore/search?tab=default_tab&amp;search_scope=EVERYTHING&amp;vid=01CRU&amp;lang=en_US&amp;offset=0&amp;query=any,contains,991002538919702656","Catalog Record")</f>
        <v/>
      </c>
      <c r="AT889">
        <f>HYPERLINK("http://www.worldcat.org/oclc/32997399","WorldCat Record")</f>
        <v/>
      </c>
      <c r="AU889" t="inlineStr">
        <is>
          <t>1471080:eng</t>
        </is>
      </c>
      <c r="AV889" t="inlineStr">
        <is>
          <t>32997399</t>
        </is>
      </c>
      <c r="AW889" t="inlineStr">
        <is>
          <t>991002538919702656</t>
        </is>
      </c>
      <c r="AX889" t="inlineStr">
        <is>
          <t>991002538919702656</t>
        </is>
      </c>
      <c r="AY889" t="inlineStr">
        <is>
          <t>2256866490002656</t>
        </is>
      </c>
      <c r="AZ889" t="inlineStr">
        <is>
          <t>BOOK</t>
        </is>
      </c>
      <c r="BB889" t="inlineStr">
        <is>
          <t>9783894738785</t>
        </is>
      </c>
      <c r="BC889" t="inlineStr">
        <is>
          <t>32285002111648</t>
        </is>
      </c>
      <c r="BD889" t="inlineStr">
        <is>
          <t>893316953</t>
        </is>
      </c>
    </row>
    <row r="890">
      <c r="A890" t="inlineStr">
        <is>
          <t>No</t>
        </is>
      </c>
      <c r="B890" t="inlineStr">
        <is>
          <t>GN656 .B39</t>
        </is>
      </c>
      <c r="C890" t="inlineStr">
        <is>
          <t>0                      GN 0656000B  39</t>
        </is>
      </c>
      <c r="D890" t="inlineStr">
        <is>
          <t>Inland tribes of southern Africa / [by] Peter Becker ; photographs by the author.</t>
        </is>
      </c>
      <c r="F890" t="inlineStr">
        <is>
          <t>No</t>
        </is>
      </c>
      <c r="G890" t="inlineStr">
        <is>
          <t>1</t>
        </is>
      </c>
      <c r="H890" t="inlineStr">
        <is>
          <t>No</t>
        </is>
      </c>
      <c r="I890" t="inlineStr">
        <is>
          <t>No</t>
        </is>
      </c>
      <c r="J890" t="inlineStr">
        <is>
          <t>0</t>
        </is>
      </c>
      <c r="K890" t="inlineStr">
        <is>
          <t>Becker, Peter, 1921-1984.</t>
        </is>
      </c>
      <c r="L890" t="inlineStr">
        <is>
          <t>London ; New York : Granada, 1979.</t>
        </is>
      </c>
      <c r="M890" t="inlineStr">
        <is>
          <t>1979</t>
        </is>
      </c>
      <c r="O890" t="inlineStr">
        <is>
          <t>eng</t>
        </is>
      </c>
      <c r="P890" t="inlineStr">
        <is>
          <t>enk</t>
        </is>
      </c>
      <c r="R890" t="inlineStr">
        <is>
          <t xml:space="preserve">GN </t>
        </is>
      </c>
      <c r="S890" t="n">
        <v>2</v>
      </c>
      <c r="T890" t="n">
        <v>2</v>
      </c>
      <c r="U890" t="inlineStr">
        <is>
          <t>1994-11-11</t>
        </is>
      </c>
      <c r="V890" t="inlineStr">
        <is>
          <t>1994-11-11</t>
        </is>
      </c>
      <c r="W890" t="inlineStr">
        <is>
          <t>1990-09-27</t>
        </is>
      </c>
      <c r="X890" t="inlineStr">
        <is>
          <t>1990-09-27</t>
        </is>
      </c>
      <c r="Y890" t="n">
        <v>254</v>
      </c>
      <c r="Z890" t="n">
        <v>163</v>
      </c>
      <c r="AA890" t="n">
        <v>170</v>
      </c>
      <c r="AB890" t="n">
        <v>2</v>
      </c>
      <c r="AC890" t="n">
        <v>2</v>
      </c>
      <c r="AD890" t="n">
        <v>6</v>
      </c>
      <c r="AE890" t="n">
        <v>6</v>
      </c>
      <c r="AF890" t="n">
        <v>2</v>
      </c>
      <c r="AG890" t="n">
        <v>2</v>
      </c>
      <c r="AH890" t="n">
        <v>0</v>
      </c>
      <c r="AI890" t="n">
        <v>0</v>
      </c>
      <c r="AJ890" t="n">
        <v>5</v>
      </c>
      <c r="AK890" t="n">
        <v>5</v>
      </c>
      <c r="AL890" t="n">
        <v>1</v>
      </c>
      <c r="AM890" t="n">
        <v>1</v>
      </c>
      <c r="AN890" t="n">
        <v>0</v>
      </c>
      <c r="AO890" t="n">
        <v>0</v>
      </c>
      <c r="AP890" t="inlineStr">
        <is>
          <t>No</t>
        </is>
      </c>
      <c r="AQ890" t="inlineStr">
        <is>
          <t>Yes</t>
        </is>
      </c>
      <c r="AR890">
        <f>HYPERLINK("http://catalog.hathitrust.org/Record/000716603","HathiTrust Record")</f>
        <v/>
      </c>
      <c r="AS890">
        <f>HYPERLINK("https://creighton-primo.hosted.exlibrisgroup.com/primo-explore/search?tab=default_tab&amp;search_scope=EVERYTHING&amp;vid=01CRU&amp;lang=en_US&amp;offset=0&amp;query=any,contains,991004872529702656","Catalog Record")</f>
        <v/>
      </c>
      <c r="AT890">
        <f>HYPERLINK("http://www.worldcat.org/oclc/5767032","WorldCat Record")</f>
        <v/>
      </c>
      <c r="AU890" t="inlineStr">
        <is>
          <t>12280435:eng</t>
        </is>
      </c>
      <c r="AV890" t="inlineStr">
        <is>
          <t>5767032</t>
        </is>
      </c>
      <c r="AW890" t="inlineStr">
        <is>
          <t>991004872529702656</t>
        </is>
      </c>
      <c r="AX890" t="inlineStr">
        <is>
          <t>991004872529702656</t>
        </is>
      </c>
      <c r="AY890" t="inlineStr">
        <is>
          <t>2267950640002656</t>
        </is>
      </c>
      <c r="AZ890" t="inlineStr">
        <is>
          <t>BOOK</t>
        </is>
      </c>
      <c r="BB890" t="inlineStr">
        <is>
          <t>9780246109262</t>
        </is>
      </c>
      <c r="BC890" t="inlineStr">
        <is>
          <t>32285000317163</t>
        </is>
      </c>
      <c r="BD890" t="inlineStr">
        <is>
          <t>893606551</t>
        </is>
      </c>
    </row>
    <row r="891">
      <c r="A891" t="inlineStr">
        <is>
          <t>No</t>
        </is>
      </c>
      <c r="B891" t="inlineStr">
        <is>
          <t>GN656 .H35 1974</t>
        </is>
      </c>
      <c r="C891" t="inlineStr">
        <is>
          <t>0                      GN 0656000H  35          1974</t>
        </is>
      </c>
      <c r="D891" t="inlineStr">
        <is>
          <t>The Bantu-speaking peoples of Southern Africa / edited by W. D. Hammond-Tooke.</t>
        </is>
      </c>
      <c r="F891" t="inlineStr">
        <is>
          <t>No</t>
        </is>
      </c>
      <c r="G891" t="inlineStr">
        <is>
          <t>1</t>
        </is>
      </c>
      <c r="H891" t="inlineStr">
        <is>
          <t>No</t>
        </is>
      </c>
      <c r="I891" t="inlineStr">
        <is>
          <t>No</t>
        </is>
      </c>
      <c r="J891" t="inlineStr">
        <is>
          <t>0</t>
        </is>
      </c>
      <c r="K891" t="inlineStr">
        <is>
          <t>Hammond-Tooke, W. D.</t>
        </is>
      </c>
      <c r="L891" t="inlineStr">
        <is>
          <t>London ; Boston : Routledge &amp; K. Paul, 1974.</t>
        </is>
      </c>
      <c r="M891" t="inlineStr">
        <is>
          <t>1974</t>
        </is>
      </c>
      <c r="N891" t="inlineStr">
        <is>
          <t>2d ed.</t>
        </is>
      </c>
      <c r="O891" t="inlineStr">
        <is>
          <t>eng</t>
        </is>
      </c>
      <c r="P891" t="inlineStr">
        <is>
          <t>enk</t>
        </is>
      </c>
      <c r="R891" t="inlineStr">
        <is>
          <t xml:space="preserve">GN </t>
        </is>
      </c>
      <c r="S891" t="n">
        <v>9</v>
      </c>
      <c r="T891" t="n">
        <v>9</v>
      </c>
      <c r="U891" t="inlineStr">
        <is>
          <t>2004-02-07</t>
        </is>
      </c>
      <c r="V891" t="inlineStr">
        <is>
          <t>2004-02-07</t>
        </is>
      </c>
      <c r="W891" t="inlineStr">
        <is>
          <t>1990-10-23</t>
        </is>
      </c>
      <c r="X891" t="inlineStr">
        <is>
          <t>1990-10-23</t>
        </is>
      </c>
      <c r="Y891" t="n">
        <v>569</v>
      </c>
      <c r="Z891" t="n">
        <v>335</v>
      </c>
      <c r="AA891" t="n">
        <v>339</v>
      </c>
      <c r="AB891" t="n">
        <v>3</v>
      </c>
      <c r="AC891" t="n">
        <v>3</v>
      </c>
      <c r="AD891" t="n">
        <v>12</v>
      </c>
      <c r="AE891" t="n">
        <v>12</v>
      </c>
      <c r="AF891" t="n">
        <v>3</v>
      </c>
      <c r="AG891" t="n">
        <v>3</v>
      </c>
      <c r="AH891" t="n">
        <v>4</v>
      </c>
      <c r="AI891" t="n">
        <v>4</v>
      </c>
      <c r="AJ891" t="n">
        <v>6</v>
      </c>
      <c r="AK891" t="n">
        <v>6</v>
      </c>
      <c r="AL891" t="n">
        <v>2</v>
      </c>
      <c r="AM891" t="n">
        <v>2</v>
      </c>
      <c r="AN891" t="n">
        <v>0</v>
      </c>
      <c r="AO891" t="n">
        <v>0</v>
      </c>
      <c r="AP891" t="inlineStr">
        <is>
          <t>No</t>
        </is>
      </c>
      <c r="AQ891" t="inlineStr">
        <is>
          <t>Yes</t>
        </is>
      </c>
      <c r="AR891">
        <f>HYPERLINK("http://catalog.hathitrust.org/Record/001879682","HathiTrust Record")</f>
        <v/>
      </c>
      <c r="AS891">
        <f>HYPERLINK("https://creighton-primo.hosted.exlibrisgroup.com/primo-explore/search?tab=default_tab&amp;search_scope=EVERYTHING&amp;vid=01CRU&amp;lang=en_US&amp;offset=0&amp;query=any,contains,991003509379702656","Catalog Record")</f>
        <v/>
      </c>
      <c r="AT891">
        <f>HYPERLINK("http://www.worldcat.org/oclc/1063221","WorldCat Record")</f>
        <v/>
      </c>
      <c r="AU891" t="inlineStr">
        <is>
          <t>5608736071:eng</t>
        </is>
      </c>
      <c r="AV891" t="inlineStr">
        <is>
          <t>1063221</t>
        </is>
      </c>
      <c r="AW891" t="inlineStr">
        <is>
          <t>991003509379702656</t>
        </is>
      </c>
      <c r="AX891" t="inlineStr">
        <is>
          <t>991003509379702656</t>
        </is>
      </c>
      <c r="AY891" t="inlineStr">
        <is>
          <t>2258260290002656</t>
        </is>
      </c>
      <c r="AZ891" t="inlineStr">
        <is>
          <t>BOOK</t>
        </is>
      </c>
      <c r="BB891" t="inlineStr">
        <is>
          <t>9780710077486</t>
        </is>
      </c>
      <c r="BC891" t="inlineStr">
        <is>
          <t>32285000317171</t>
        </is>
      </c>
      <c r="BD891" t="inlineStr">
        <is>
          <t>893623560</t>
        </is>
      </c>
    </row>
    <row r="892">
      <c r="A892" t="inlineStr">
        <is>
          <t>No</t>
        </is>
      </c>
      <c r="B892" t="inlineStr">
        <is>
          <t>GN657.R4 S59 1989</t>
        </is>
      </c>
      <c r="C892" t="inlineStr">
        <is>
          <t>0                      GN 0657000R  4                  S  59          1989</t>
        </is>
      </c>
      <c r="D892" t="inlineStr">
        <is>
          <t>Change in an African village : Kefa speaks / Else Skjønsberg.</t>
        </is>
      </c>
      <c r="F892" t="inlineStr">
        <is>
          <t>No</t>
        </is>
      </c>
      <c r="G892" t="inlineStr">
        <is>
          <t>1</t>
        </is>
      </c>
      <c r="H892" t="inlineStr">
        <is>
          <t>No</t>
        </is>
      </c>
      <c r="I892" t="inlineStr">
        <is>
          <t>No</t>
        </is>
      </c>
      <c r="J892" t="inlineStr">
        <is>
          <t>0</t>
        </is>
      </c>
      <c r="K892" t="inlineStr">
        <is>
          <t>Skjønsberg, Else.</t>
        </is>
      </c>
      <c r="L892" t="inlineStr">
        <is>
          <t>West Hartford, Conn. : Kumarian Press, c1989.</t>
        </is>
      </c>
      <c r="M892" t="inlineStr">
        <is>
          <t>1989</t>
        </is>
      </c>
      <c r="O892" t="inlineStr">
        <is>
          <t>eng</t>
        </is>
      </c>
      <c r="P892" t="inlineStr">
        <is>
          <t>ctu</t>
        </is>
      </c>
      <c r="Q892" t="inlineStr">
        <is>
          <t>Kumarian Press library of management for development</t>
        </is>
      </c>
      <c r="R892" t="inlineStr">
        <is>
          <t xml:space="preserve">GN </t>
        </is>
      </c>
      <c r="S892" t="n">
        <v>3</v>
      </c>
      <c r="T892" t="n">
        <v>3</v>
      </c>
      <c r="U892" t="inlineStr">
        <is>
          <t>2002-04-18</t>
        </is>
      </c>
      <c r="V892" t="inlineStr">
        <is>
          <t>2002-04-18</t>
        </is>
      </c>
      <c r="W892" t="inlineStr">
        <is>
          <t>1990-05-17</t>
        </is>
      </c>
      <c r="X892" t="inlineStr">
        <is>
          <t>1990-05-17</t>
        </is>
      </c>
      <c r="Y892" t="n">
        <v>445</v>
      </c>
      <c r="Z892" t="n">
        <v>364</v>
      </c>
      <c r="AA892" t="n">
        <v>365</v>
      </c>
      <c r="AB892" t="n">
        <v>2</v>
      </c>
      <c r="AC892" t="n">
        <v>2</v>
      </c>
      <c r="AD892" t="n">
        <v>15</v>
      </c>
      <c r="AE892" t="n">
        <v>15</v>
      </c>
      <c r="AF892" t="n">
        <v>5</v>
      </c>
      <c r="AG892" t="n">
        <v>5</v>
      </c>
      <c r="AH892" t="n">
        <v>3</v>
      </c>
      <c r="AI892" t="n">
        <v>3</v>
      </c>
      <c r="AJ892" t="n">
        <v>11</v>
      </c>
      <c r="AK892" t="n">
        <v>11</v>
      </c>
      <c r="AL892" t="n">
        <v>1</v>
      </c>
      <c r="AM892" t="n">
        <v>1</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HYPERLINK("https://creighton-primo.hosted.exlibrisgroup.com/primo-explore/search?tab=default_tab&amp;search_scope=EVERYTHING&amp;vid=01CRU&amp;lang=en_US&amp;offset=0&amp;query=any,contains,991001372949702656","Catalog Record")</f>
        <v/>
      </c>
      <c r="AT892">
        <f>HYPERLINK("http://www.worldcat.org/oclc/18588962","WorldCat Record")</f>
        <v/>
      </c>
      <c r="AU892" t="inlineStr">
        <is>
          <t>257264388:eng</t>
        </is>
      </c>
      <c r="AV892" t="inlineStr">
        <is>
          <t>18588962</t>
        </is>
      </c>
      <c r="AW892" t="inlineStr">
        <is>
          <t>991001372949702656</t>
        </is>
      </c>
      <c r="AX892" t="inlineStr">
        <is>
          <t>991001372949702656</t>
        </is>
      </c>
      <c r="AY892" t="inlineStr">
        <is>
          <t>2266135680002656</t>
        </is>
      </c>
      <c r="AZ892" t="inlineStr">
        <is>
          <t>BOOK</t>
        </is>
      </c>
      <c r="BB892" t="inlineStr">
        <is>
          <t>9780931816574</t>
        </is>
      </c>
      <c r="BC892" t="inlineStr">
        <is>
          <t>32285000137355</t>
        </is>
      </c>
      <c r="BD892" t="inlineStr">
        <is>
          <t>893328082</t>
        </is>
      </c>
    </row>
    <row r="893">
      <c r="A893" t="inlineStr">
        <is>
          <t>No</t>
        </is>
      </c>
      <c r="B893" t="inlineStr">
        <is>
          <t>GN657.T5 J82</t>
        </is>
      </c>
      <c r="C893" t="inlineStr">
        <is>
          <t>0                      GN 0657000T  5                  J  82</t>
        </is>
      </c>
      <c r="D893" t="inlineStr">
        <is>
          <t>The life of a South African tribe.</t>
        </is>
      </c>
      <c r="E893" t="inlineStr">
        <is>
          <t>V.2</t>
        </is>
      </c>
      <c r="F893" t="inlineStr">
        <is>
          <t>Yes</t>
        </is>
      </c>
      <c r="G893" t="inlineStr">
        <is>
          <t>1</t>
        </is>
      </c>
      <c r="H893" t="inlineStr">
        <is>
          <t>No</t>
        </is>
      </c>
      <c r="I893" t="inlineStr">
        <is>
          <t>No</t>
        </is>
      </c>
      <c r="J893" t="inlineStr">
        <is>
          <t>0</t>
        </is>
      </c>
      <c r="K893" t="inlineStr">
        <is>
          <t>Junod, Henri Alexandre, 1863-1934.</t>
        </is>
      </c>
      <c r="L893" t="inlineStr">
        <is>
          <t>New Hyde Park, N.Y. : University Books, [1962]</t>
        </is>
      </c>
      <c r="M893" t="inlineStr">
        <is>
          <t>1962</t>
        </is>
      </c>
      <c r="O893" t="inlineStr">
        <is>
          <t>eng</t>
        </is>
      </c>
      <c r="P893" t="inlineStr">
        <is>
          <t>nyu</t>
        </is>
      </c>
      <c r="R893" t="inlineStr">
        <is>
          <t xml:space="preserve">GN </t>
        </is>
      </c>
      <c r="S893" t="n">
        <v>2</v>
      </c>
      <c r="T893" t="n">
        <v>2</v>
      </c>
      <c r="U893" t="inlineStr">
        <is>
          <t>1995-04-12</t>
        </is>
      </c>
      <c r="V893" t="inlineStr">
        <is>
          <t>1995-04-12</t>
        </is>
      </c>
      <c r="W893" t="inlineStr">
        <is>
          <t>1992-08-14</t>
        </is>
      </c>
      <c r="X893" t="inlineStr">
        <is>
          <t>1992-08-14</t>
        </is>
      </c>
      <c r="Y893" t="n">
        <v>589</v>
      </c>
      <c r="Z893" t="n">
        <v>517</v>
      </c>
      <c r="AA893" t="n">
        <v>547</v>
      </c>
      <c r="AB893" t="n">
        <v>3</v>
      </c>
      <c r="AC893" t="n">
        <v>3</v>
      </c>
      <c r="AD893" t="n">
        <v>17</v>
      </c>
      <c r="AE893" t="n">
        <v>17</v>
      </c>
      <c r="AF893" t="n">
        <v>7</v>
      </c>
      <c r="AG893" t="n">
        <v>7</v>
      </c>
      <c r="AH893" t="n">
        <v>2</v>
      </c>
      <c r="AI893" t="n">
        <v>2</v>
      </c>
      <c r="AJ893" t="n">
        <v>9</v>
      </c>
      <c r="AK893" t="n">
        <v>9</v>
      </c>
      <c r="AL893" t="n">
        <v>2</v>
      </c>
      <c r="AM893" t="n">
        <v>2</v>
      </c>
      <c r="AN893" t="n">
        <v>0</v>
      </c>
      <c r="AO893" t="n">
        <v>0</v>
      </c>
      <c r="AP893" t="inlineStr">
        <is>
          <t>No</t>
        </is>
      </c>
      <c r="AQ893" t="inlineStr">
        <is>
          <t>No</t>
        </is>
      </c>
      <c r="AR893">
        <f>HYPERLINK("http://catalog.hathitrust.org/Record/001267843","HathiTrust Record")</f>
        <v/>
      </c>
      <c r="AS893">
        <f>HYPERLINK("https://creighton-primo.hosted.exlibrisgroup.com/primo-explore/search?tab=default_tab&amp;search_scope=EVERYTHING&amp;vid=01CRU&amp;lang=en_US&amp;offset=0&amp;query=any,contains,991003370079702656","Catalog Record")</f>
        <v/>
      </c>
      <c r="AT893">
        <f>HYPERLINK("http://www.worldcat.org/oclc/905840","WorldCat Record")</f>
        <v/>
      </c>
      <c r="AU893" t="inlineStr">
        <is>
          <t>1842212:eng</t>
        </is>
      </c>
      <c r="AV893" t="inlineStr">
        <is>
          <t>905840</t>
        </is>
      </c>
      <c r="AW893" t="inlineStr">
        <is>
          <t>991003370079702656</t>
        </is>
      </c>
      <c r="AX893" t="inlineStr">
        <is>
          <t>991003370079702656</t>
        </is>
      </c>
      <c r="AY893" t="inlineStr">
        <is>
          <t>2264123300002656</t>
        </is>
      </c>
      <c r="AZ893" t="inlineStr">
        <is>
          <t>BOOK</t>
        </is>
      </c>
      <c r="BC893" t="inlineStr">
        <is>
          <t>32285001245579</t>
        </is>
      </c>
      <c r="BD893" t="inlineStr">
        <is>
          <t>893228010</t>
        </is>
      </c>
    </row>
    <row r="894">
      <c r="A894" t="inlineStr">
        <is>
          <t>No</t>
        </is>
      </c>
      <c r="B894" t="inlineStr">
        <is>
          <t>GN658 .S36</t>
        </is>
      </c>
      <c r="C894" t="inlineStr">
        <is>
          <t>0                      GN 0658000S  36</t>
        </is>
      </c>
      <c r="D894" t="inlineStr">
        <is>
          <t>Livestock and equality in East Africa : the economic basis for social structure / Harold K. Schneider.</t>
        </is>
      </c>
      <c r="F894" t="inlineStr">
        <is>
          <t>No</t>
        </is>
      </c>
      <c r="G894" t="inlineStr">
        <is>
          <t>1</t>
        </is>
      </c>
      <c r="H894" t="inlineStr">
        <is>
          <t>No</t>
        </is>
      </c>
      <c r="I894" t="inlineStr">
        <is>
          <t>No</t>
        </is>
      </c>
      <c r="J894" t="inlineStr">
        <is>
          <t>0</t>
        </is>
      </c>
      <c r="K894" t="inlineStr">
        <is>
          <t>Schneider, Harold K.</t>
        </is>
      </c>
      <c r="L894" t="inlineStr">
        <is>
          <t>Bloomington : Indiana University Press, c1979.</t>
        </is>
      </c>
      <c r="M894" t="inlineStr">
        <is>
          <t>1979</t>
        </is>
      </c>
      <c r="O894" t="inlineStr">
        <is>
          <t>eng</t>
        </is>
      </c>
      <c r="P894" t="inlineStr">
        <is>
          <t>inu</t>
        </is>
      </c>
      <c r="R894" t="inlineStr">
        <is>
          <t xml:space="preserve">GN </t>
        </is>
      </c>
      <c r="S894" t="n">
        <v>1</v>
      </c>
      <c r="T894" t="n">
        <v>1</v>
      </c>
      <c r="U894" t="inlineStr">
        <is>
          <t>2002-09-20</t>
        </is>
      </c>
      <c r="V894" t="inlineStr">
        <is>
          <t>2002-09-20</t>
        </is>
      </c>
      <c r="W894" t="inlineStr">
        <is>
          <t>1990-09-27</t>
        </is>
      </c>
      <c r="X894" t="inlineStr">
        <is>
          <t>1990-09-27</t>
        </is>
      </c>
      <c r="Y894" t="n">
        <v>392</v>
      </c>
      <c r="Z894" t="n">
        <v>283</v>
      </c>
      <c r="AA894" t="n">
        <v>286</v>
      </c>
      <c r="AB894" t="n">
        <v>3</v>
      </c>
      <c r="AC894" t="n">
        <v>3</v>
      </c>
      <c r="AD894" t="n">
        <v>7</v>
      </c>
      <c r="AE894" t="n">
        <v>7</v>
      </c>
      <c r="AF894" t="n">
        <v>0</v>
      </c>
      <c r="AG894" t="n">
        <v>0</v>
      </c>
      <c r="AH894" t="n">
        <v>3</v>
      </c>
      <c r="AI894" t="n">
        <v>3</v>
      </c>
      <c r="AJ894" t="n">
        <v>4</v>
      </c>
      <c r="AK894" t="n">
        <v>4</v>
      </c>
      <c r="AL894" t="n">
        <v>2</v>
      </c>
      <c r="AM894" t="n">
        <v>2</v>
      </c>
      <c r="AN894" t="n">
        <v>0</v>
      </c>
      <c r="AO894" t="n">
        <v>0</v>
      </c>
      <c r="AP894" t="inlineStr">
        <is>
          <t>No</t>
        </is>
      </c>
      <c r="AQ894" t="inlineStr">
        <is>
          <t>Yes</t>
        </is>
      </c>
      <c r="AR894">
        <f>HYPERLINK("http://catalog.hathitrust.org/Record/000030393","HathiTrust Record")</f>
        <v/>
      </c>
      <c r="AS894">
        <f>HYPERLINK("https://creighton-primo.hosted.exlibrisgroup.com/primo-explore/search?tab=default_tab&amp;search_scope=EVERYTHING&amp;vid=01CRU&amp;lang=en_US&amp;offset=0&amp;query=any,contains,991004740169702656","Catalog Record")</f>
        <v/>
      </c>
      <c r="AT894">
        <f>HYPERLINK("http://www.worldcat.org/oclc/4882882","WorldCat Record")</f>
        <v/>
      </c>
      <c r="AU894" t="inlineStr">
        <is>
          <t>889363808:eng</t>
        </is>
      </c>
      <c r="AV894" t="inlineStr">
        <is>
          <t>4882882</t>
        </is>
      </c>
      <c r="AW894" t="inlineStr">
        <is>
          <t>991004740169702656</t>
        </is>
      </c>
      <c r="AX894" t="inlineStr">
        <is>
          <t>991004740169702656</t>
        </is>
      </c>
      <c r="AY894" t="inlineStr">
        <is>
          <t>2263371270002656</t>
        </is>
      </c>
      <c r="AZ894" t="inlineStr">
        <is>
          <t>BOOK</t>
        </is>
      </c>
      <c r="BB894" t="inlineStr">
        <is>
          <t>9780253195654</t>
        </is>
      </c>
      <c r="BC894" t="inlineStr">
        <is>
          <t>32285000317189</t>
        </is>
      </c>
      <c r="BD894" t="inlineStr">
        <is>
          <t>893694260</t>
        </is>
      </c>
    </row>
    <row r="895">
      <c r="A895" t="inlineStr">
        <is>
          <t>No</t>
        </is>
      </c>
      <c r="B895" t="inlineStr">
        <is>
          <t>GN659.L6 M5</t>
        </is>
      </c>
      <c r="C895" t="inlineStr">
        <is>
          <t>0                      GN 0659000L  6                  M  5</t>
        </is>
      </c>
      <c r="D895" t="inlineStr">
        <is>
          <t>The Lugbara of Uganda.</t>
        </is>
      </c>
      <c r="F895" t="inlineStr">
        <is>
          <t>No</t>
        </is>
      </c>
      <c r="G895" t="inlineStr">
        <is>
          <t>1</t>
        </is>
      </c>
      <c r="H895" t="inlineStr">
        <is>
          <t>No</t>
        </is>
      </c>
      <c r="I895" t="inlineStr">
        <is>
          <t>No</t>
        </is>
      </c>
      <c r="J895" t="inlineStr">
        <is>
          <t>0</t>
        </is>
      </c>
      <c r="K895" t="inlineStr">
        <is>
          <t>Middleton, John, 1921-2009.</t>
        </is>
      </c>
      <c r="L895" t="inlineStr">
        <is>
          <t>New York, Holt, Rinehart and Winston [1965]</t>
        </is>
      </c>
      <c r="M895" t="inlineStr">
        <is>
          <t>1965</t>
        </is>
      </c>
      <c r="O895" t="inlineStr">
        <is>
          <t>eng</t>
        </is>
      </c>
      <c r="P895" t="inlineStr">
        <is>
          <t>nyu</t>
        </is>
      </c>
      <c r="Q895" t="inlineStr">
        <is>
          <t>Case studies in cultural anthropology</t>
        </is>
      </c>
      <c r="R895" t="inlineStr">
        <is>
          <t xml:space="preserve">GN </t>
        </is>
      </c>
      <c r="S895" t="n">
        <v>5</v>
      </c>
      <c r="T895" t="n">
        <v>5</v>
      </c>
      <c r="U895" t="inlineStr">
        <is>
          <t>2006-11-13</t>
        </is>
      </c>
      <c r="V895" t="inlineStr">
        <is>
          <t>2006-11-13</t>
        </is>
      </c>
      <c r="W895" t="inlineStr">
        <is>
          <t>1997-05-29</t>
        </is>
      </c>
      <c r="X895" t="inlineStr">
        <is>
          <t>1997-05-29</t>
        </is>
      </c>
      <c r="Y895" t="n">
        <v>947</v>
      </c>
      <c r="Z895" t="n">
        <v>770</v>
      </c>
      <c r="AA895" t="n">
        <v>902</v>
      </c>
      <c r="AB895" t="n">
        <v>6</v>
      </c>
      <c r="AC895" t="n">
        <v>6</v>
      </c>
      <c r="AD895" t="n">
        <v>32</v>
      </c>
      <c r="AE895" t="n">
        <v>35</v>
      </c>
      <c r="AF895" t="n">
        <v>15</v>
      </c>
      <c r="AG895" t="n">
        <v>17</v>
      </c>
      <c r="AH895" t="n">
        <v>5</v>
      </c>
      <c r="AI895" t="n">
        <v>6</v>
      </c>
      <c r="AJ895" t="n">
        <v>14</v>
      </c>
      <c r="AK895" t="n">
        <v>16</v>
      </c>
      <c r="AL895" t="n">
        <v>5</v>
      </c>
      <c r="AM895" t="n">
        <v>5</v>
      </c>
      <c r="AN895" t="n">
        <v>0</v>
      </c>
      <c r="AO895" t="n">
        <v>0</v>
      </c>
      <c r="AP895" t="inlineStr">
        <is>
          <t>No</t>
        </is>
      </c>
      <c r="AQ895" t="inlineStr">
        <is>
          <t>Yes</t>
        </is>
      </c>
      <c r="AR895">
        <f>HYPERLINK("http://catalog.hathitrust.org/Record/001275373","HathiTrust Record")</f>
        <v/>
      </c>
      <c r="AS895">
        <f>HYPERLINK("https://creighton-primo.hosted.exlibrisgroup.com/primo-explore/search?tab=default_tab&amp;search_scope=EVERYTHING&amp;vid=01CRU&amp;lang=en_US&amp;offset=0&amp;query=any,contains,991002859669702656","Catalog Record")</f>
        <v/>
      </c>
      <c r="AT895">
        <f>HYPERLINK("http://www.worldcat.org/oclc/492118","WorldCat Record")</f>
        <v/>
      </c>
      <c r="AU895" t="inlineStr">
        <is>
          <t>208636589:eng</t>
        </is>
      </c>
      <c r="AV895" t="inlineStr">
        <is>
          <t>492118</t>
        </is>
      </c>
      <c r="AW895" t="inlineStr">
        <is>
          <t>991002859669702656</t>
        </is>
      </c>
      <c r="AX895" t="inlineStr">
        <is>
          <t>991002859669702656</t>
        </is>
      </c>
      <c r="AY895" t="inlineStr">
        <is>
          <t>2255253590002656</t>
        </is>
      </c>
      <c r="AZ895" t="inlineStr">
        <is>
          <t>BOOK</t>
        </is>
      </c>
      <c r="BC895" t="inlineStr">
        <is>
          <t>32285002697075</t>
        </is>
      </c>
      <c r="BD895" t="inlineStr">
        <is>
          <t>893504910</t>
        </is>
      </c>
    </row>
    <row r="896">
      <c r="A896" t="inlineStr">
        <is>
          <t>No</t>
        </is>
      </c>
      <c r="B896" t="inlineStr">
        <is>
          <t>GN659.T3 J47 1997</t>
        </is>
      </c>
      <c r="C896" t="inlineStr">
        <is>
          <t>0                      GN 0659000T  3                  J  47          1997</t>
        </is>
      </c>
      <c r="D896" t="inlineStr">
        <is>
          <t>Between five lines : the development of ethnicity in Tanzania with special reference to the western Bagamoyo District / Helena Jerman.</t>
        </is>
      </c>
      <c r="F896" t="inlineStr">
        <is>
          <t>No</t>
        </is>
      </c>
      <c r="G896" t="inlineStr">
        <is>
          <t>1</t>
        </is>
      </c>
      <c r="H896" t="inlineStr">
        <is>
          <t>No</t>
        </is>
      </c>
      <c r="I896" t="inlineStr">
        <is>
          <t>No</t>
        </is>
      </c>
      <c r="J896" t="inlineStr">
        <is>
          <t>0</t>
        </is>
      </c>
      <c r="K896" t="inlineStr">
        <is>
          <t>Jerman, Helena.</t>
        </is>
      </c>
      <c r="L896" t="inlineStr">
        <is>
          <t>Saarijarvi : Finnish Anthropological Society ; Uppsala, Sweden : Nordic Africa Institute, 1997.</t>
        </is>
      </c>
      <c r="M896" t="inlineStr">
        <is>
          <t>1997</t>
        </is>
      </c>
      <c r="O896" t="inlineStr">
        <is>
          <t>eng</t>
        </is>
      </c>
      <c r="P896" t="inlineStr">
        <is>
          <t xml:space="preserve">fi </t>
        </is>
      </c>
      <c r="Q896" t="inlineStr">
        <is>
          <t>Jipemoyo, 0357-1106 ; 8</t>
        </is>
      </c>
      <c r="R896" t="inlineStr">
        <is>
          <t xml:space="preserve">GN </t>
        </is>
      </c>
      <c r="S896" t="n">
        <v>2</v>
      </c>
      <c r="T896" t="n">
        <v>2</v>
      </c>
      <c r="U896" t="inlineStr">
        <is>
          <t>2005-10-12</t>
        </is>
      </c>
      <c r="V896" t="inlineStr">
        <is>
          <t>2005-10-12</t>
        </is>
      </c>
      <c r="W896" t="inlineStr">
        <is>
          <t>2005-01-08</t>
        </is>
      </c>
      <c r="X896" t="inlineStr">
        <is>
          <t>2005-01-08</t>
        </is>
      </c>
      <c r="Y896" t="n">
        <v>114</v>
      </c>
      <c r="Z896" t="n">
        <v>81</v>
      </c>
      <c r="AA896" t="n">
        <v>81</v>
      </c>
      <c r="AB896" t="n">
        <v>1</v>
      </c>
      <c r="AC896" t="n">
        <v>1</v>
      </c>
      <c r="AD896" t="n">
        <v>2</v>
      </c>
      <c r="AE896" t="n">
        <v>2</v>
      </c>
      <c r="AF896" t="n">
        <v>2</v>
      </c>
      <c r="AG896" t="n">
        <v>2</v>
      </c>
      <c r="AH896" t="n">
        <v>0</v>
      </c>
      <c r="AI896" t="n">
        <v>0</v>
      </c>
      <c r="AJ896" t="n">
        <v>1</v>
      </c>
      <c r="AK896" t="n">
        <v>1</v>
      </c>
      <c r="AL896" t="n">
        <v>0</v>
      </c>
      <c r="AM896" t="n">
        <v>0</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HYPERLINK("https://creighton-primo.hosted.exlibrisgroup.com/primo-explore/search?tab=default_tab&amp;search_scope=EVERYTHING&amp;vid=01CRU&amp;lang=en_US&amp;offset=0&amp;query=any,contains,991004368039702656","Catalog Record")</f>
        <v/>
      </c>
      <c r="AT896">
        <f>HYPERLINK("http://www.worldcat.org/oclc/37279383","WorldCat Record")</f>
        <v/>
      </c>
      <c r="AU896" t="inlineStr">
        <is>
          <t>808137403:eng</t>
        </is>
      </c>
      <c r="AV896" t="inlineStr">
        <is>
          <t>37279383</t>
        </is>
      </c>
      <c r="AW896" t="inlineStr">
        <is>
          <t>991004368039702656</t>
        </is>
      </c>
      <c r="AX896" t="inlineStr">
        <is>
          <t>991004368039702656</t>
        </is>
      </c>
      <c r="AY896" t="inlineStr">
        <is>
          <t>2270102620002656</t>
        </is>
      </c>
      <c r="AZ896" t="inlineStr">
        <is>
          <t>BOOK</t>
        </is>
      </c>
      <c r="BB896" t="inlineStr">
        <is>
          <t>9789171064080</t>
        </is>
      </c>
      <c r="BC896" t="inlineStr">
        <is>
          <t>32285005019764</t>
        </is>
      </c>
      <c r="BD896" t="inlineStr">
        <is>
          <t>893535942</t>
        </is>
      </c>
    </row>
    <row r="897">
      <c r="A897" t="inlineStr">
        <is>
          <t>No</t>
        </is>
      </c>
      <c r="B897" t="inlineStr">
        <is>
          <t>GN659.U3 W59 1997</t>
        </is>
      </c>
      <c r="C897" t="inlineStr">
        <is>
          <t>0                      GN 0659000U  3                  W  59          1997</t>
        </is>
      </c>
      <c r="D897" t="inlineStr">
        <is>
          <t>Questioning misfortune : the pragmatics of uncertainty in Eastern Uganda / Susan Reynolds Whyte.</t>
        </is>
      </c>
      <c r="F897" t="inlineStr">
        <is>
          <t>No</t>
        </is>
      </c>
      <c r="G897" t="inlineStr">
        <is>
          <t>1</t>
        </is>
      </c>
      <c r="H897" t="inlineStr">
        <is>
          <t>No</t>
        </is>
      </c>
      <c r="I897" t="inlineStr">
        <is>
          <t>No</t>
        </is>
      </c>
      <c r="J897" t="inlineStr">
        <is>
          <t>0</t>
        </is>
      </c>
      <c r="K897" t="inlineStr">
        <is>
          <t>Whyte, Susan Reynolds.</t>
        </is>
      </c>
      <c r="L897" t="inlineStr">
        <is>
          <t>Cambridge ; New York : Cambridge University Press, 1997.</t>
        </is>
      </c>
      <c r="M897" t="inlineStr">
        <is>
          <t>1997</t>
        </is>
      </c>
      <c r="O897" t="inlineStr">
        <is>
          <t>eng</t>
        </is>
      </c>
      <c r="P897" t="inlineStr">
        <is>
          <t>enk</t>
        </is>
      </c>
      <c r="Q897" t="inlineStr">
        <is>
          <t>Cambridge studies in medical anthropology ; 4</t>
        </is>
      </c>
      <c r="R897" t="inlineStr">
        <is>
          <t xml:space="preserve">GN </t>
        </is>
      </c>
      <c r="S897" t="n">
        <v>3</v>
      </c>
      <c r="T897" t="n">
        <v>3</v>
      </c>
      <c r="U897" t="inlineStr">
        <is>
          <t>2006-03-06</t>
        </is>
      </c>
      <c r="V897" t="inlineStr">
        <is>
          <t>2006-03-06</t>
        </is>
      </c>
      <c r="W897" t="inlineStr">
        <is>
          <t>1998-11-09</t>
        </is>
      </c>
      <c r="X897" t="inlineStr">
        <is>
          <t>1998-11-09</t>
        </is>
      </c>
      <c r="Y897" t="n">
        <v>324</v>
      </c>
      <c r="Z897" t="n">
        <v>237</v>
      </c>
      <c r="AA897" t="n">
        <v>243</v>
      </c>
      <c r="AB897" t="n">
        <v>2</v>
      </c>
      <c r="AC897" t="n">
        <v>2</v>
      </c>
      <c r="AD897" t="n">
        <v>12</v>
      </c>
      <c r="AE897" t="n">
        <v>12</v>
      </c>
      <c r="AF897" t="n">
        <v>2</v>
      </c>
      <c r="AG897" t="n">
        <v>2</v>
      </c>
      <c r="AH897" t="n">
        <v>4</v>
      </c>
      <c r="AI897" t="n">
        <v>4</v>
      </c>
      <c r="AJ897" t="n">
        <v>8</v>
      </c>
      <c r="AK897" t="n">
        <v>8</v>
      </c>
      <c r="AL897" t="n">
        <v>1</v>
      </c>
      <c r="AM897" t="n">
        <v>1</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HYPERLINK("https://creighton-primo.hosted.exlibrisgroup.com/primo-explore/search?tab=default_tab&amp;search_scope=EVERYTHING&amp;vid=01CRU&amp;lang=en_US&amp;offset=0&amp;query=any,contains,991002783599702656","Catalog Record")</f>
        <v/>
      </c>
      <c r="AT897">
        <f>HYPERLINK("http://www.worldcat.org/oclc/36549001","WorldCat Record")</f>
        <v/>
      </c>
      <c r="AU897" t="inlineStr">
        <is>
          <t>340356607:eng</t>
        </is>
      </c>
      <c r="AV897" t="inlineStr">
        <is>
          <t>36549001</t>
        </is>
      </c>
      <c r="AW897" t="inlineStr">
        <is>
          <t>991002783599702656</t>
        </is>
      </c>
      <c r="AX897" t="inlineStr">
        <is>
          <t>991002783599702656</t>
        </is>
      </c>
      <c r="AY897" t="inlineStr">
        <is>
          <t>2257372780002656</t>
        </is>
      </c>
      <c r="AZ897" t="inlineStr">
        <is>
          <t>BOOK</t>
        </is>
      </c>
      <c r="BB897" t="inlineStr">
        <is>
          <t>9780521594028</t>
        </is>
      </c>
      <c r="BC897" t="inlineStr">
        <is>
          <t>32285003486536</t>
        </is>
      </c>
      <c r="BD897" t="inlineStr">
        <is>
          <t>893524044</t>
        </is>
      </c>
    </row>
    <row r="898">
      <c r="A898" t="inlineStr">
        <is>
          <t>No</t>
        </is>
      </c>
      <c r="B898" t="inlineStr">
        <is>
          <t>GN661.M2 U69 2004</t>
        </is>
      </c>
      <c r="C898" t="inlineStr">
        <is>
          <t>0                      GN 0661000M  2                  U  69          2004</t>
        </is>
      </c>
      <c r="D898" t="inlineStr">
        <is>
          <t>Unwrapping the textile traditions of Madagascar / Chapurukha M. Kusimba, J. Claire Odland, and Bennet Bronson, editors ; contributors, Bennet Bronson ... [et al.].</t>
        </is>
      </c>
      <c r="F898" t="inlineStr">
        <is>
          <t>No</t>
        </is>
      </c>
      <c r="G898" t="inlineStr">
        <is>
          <t>1</t>
        </is>
      </c>
      <c r="H898" t="inlineStr">
        <is>
          <t>No</t>
        </is>
      </c>
      <c r="I898" t="inlineStr">
        <is>
          <t>No</t>
        </is>
      </c>
      <c r="J898" t="inlineStr">
        <is>
          <t>0</t>
        </is>
      </c>
      <c r="L898" t="inlineStr">
        <is>
          <t>Los Angeles, Calif. : UCLA Fowler Museum of Cultural History, c2004.</t>
        </is>
      </c>
      <c r="M898" t="inlineStr">
        <is>
          <t>2004</t>
        </is>
      </c>
      <c r="O898" t="inlineStr">
        <is>
          <t>eng</t>
        </is>
      </c>
      <c r="P898" t="inlineStr">
        <is>
          <t>cau</t>
        </is>
      </c>
      <c r="Q898" t="inlineStr">
        <is>
          <t>UCLA Fowler Museum of Cultural History textile series ; no. 7</t>
        </is>
      </c>
      <c r="R898" t="inlineStr">
        <is>
          <t xml:space="preserve">GN </t>
        </is>
      </c>
      <c r="S898" t="n">
        <v>1</v>
      </c>
      <c r="T898" t="n">
        <v>1</v>
      </c>
      <c r="U898" t="inlineStr">
        <is>
          <t>2006-04-27</t>
        </is>
      </c>
      <c r="V898" t="inlineStr">
        <is>
          <t>2006-04-27</t>
        </is>
      </c>
      <c r="W898" t="inlineStr">
        <is>
          <t>2006-04-27</t>
        </is>
      </c>
      <c r="X898" t="inlineStr">
        <is>
          <t>2006-04-27</t>
        </is>
      </c>
      <c r="Y898" t="n">
        <v>233</v>
      </c>
      <c r="Z898" t="n">
        <v>183</v>
      </c>
      <c r="AA898" t="n">
        <v>184</v>
      </c>
      <c r="AB898" t="n">
        <v>2</v>
      </c>
      <c r="AC898" t="n">
        <v>2</v>
      </c>
      <c r="AD898" t="n">
        <v>5</v>
      </c>
      <c r="AE898" t="n">
        <v>5</v>
      </c>
      <c r="AF898" t="n">
        <v>2</v>
      </c>
      <c r="AG898" t="n">
        <v>2</v>
      </c>
      <c r="AH898" t="n">
        <v>1</v>
      </c>
      <c r="AI898" t="n">
        <v>1</v>
      </c>
      <c r="AJ898" t="n">
        <v>1</v>
      </c>
      <c r="AK898" t="n">
        <v>1</v>
      </c>
      <c r="AL898" t="n">
        <v>1</v>
      </c>
      <c r="AM898" t="n">
        <v>1</v>
      </c>
      <c r="AN898" t="n">
        <v>0</v>
      </c>
      <c r="AO898" t="n">
        <v>0</v>
      </c>
      <c r="AP898" t="inlineStr">
        <is>
          <t>No</t>
        </is>
      </c>
      <c r="AQ898" t="inlineStr">
        <is>
          <t>Yes</t>
        </is>
      </c>
      <c r="AR898">
        <f>HYPERLINK("http://catalog.hathitrust.org/Record/006930327","HathiTrust Record")</f>
        <v/>
      </c>
      <c r="AS898">
        <f>HYPERLINK("https://creighton-primo.hosted.exlibrisgroup.com/primo-explore/search?tab=default_tab&amp;search_scope=EVERYTHING&amp;vid=01CRU&amp;lang=en_US&amp;offset=0&amp;query=any,contains,991004715599702656","Catalog Record")</f>
        <v/>
      </c>
      <c r="AT898">
        <f>HYPERLINK("http://www.worldcat.org/oclc/56368411","WorldCat Record")</f>
        <v/>
      </c>
      <c r="AU898" t="inlineStr">
        <is>
          <t>354743232:eng</t>
        </is>
      </c>
      <c r="AV898" t="inlineStr">
        <is>
          <t>56368411</t>
        </is>
      </c>
      <c r="AW898" t="inlineStr">
        <is>
          <t>991004715599702656</t>
        </is>
      </c>
      <c r="AX898" t="inlineStr">
        <is>
          <t>991004715599702656</t>
        </is>
      </c>
      <c r="AY898" t="inlineStr">
        <is>
          <t>2260154060002656</t>
        </is>
      </c>
      <c r="AZ898" t="inlineStr">
        <is>
          <t>BOOK</t>
        </is>
      </c>
      <c r="BB898" t="inlineStr">
        <is>
          <t>9780930741945</t>
        </is>
      </c>
      <c r="BC898" t="inlineStr">
        <is>
          <t>32285005183453</t>
        </is>
      </c>
      <c r="BD898" t="inlineStr">
        <is>
          <t>893789021</t>
        </is>
      </c>
    </row>
    <row r="899">
      <c r="A899" t="inlineStr">
        <is>
          <t>No</t>
        </is>
      </c>
      <c r="B899" t="inlineStr">
        <is>
          <t>GN662 .H68 1974</t>
        </is>
      </c>
      <c r="C899" t="inlineStr">
        <is>
          <t>0                      GN 0662000H  68          1974</t>
        </is>
      </c>
      <c r="D899" t="inlineStr">
        <is>
          <t>The Pacific islanders [by] William Howells.</t>
        </is>
      </c>
      <c r="F899" t="inlineStr">
        <is>
          <t>No</t>
        </is>
      </c>
      <c r="G899" t="inlineStr">
        <is>
          <t>1</t>
        </is>
      </c>
      <c r="H899" t="inlineStr">
        <is>
          <t>No</t>
        </is>
      </c>
      <c r="I899" t="inlineStr">
        <is>
          <t>No</t>
        </is>
      </c>
      <c r="J899" t="inlineStr">
        <is>
          <t>0</t>
        </is>
      </c>
      <c r="K899" t="inlineStr">
        <is>
          <t>Howells, W. W. (William White), 1908-2005.</t>
        </is>
      </c>
      <c r="L899" t="inlineStr">
        <is>
          <t>New York, Scribner [1974, c1973]</t>
        </is>
      </c>
      <c r="M899" t="inlineStr">
        <is>
          <t>1974</t>
        </is>
      </c>
      <c r="O899" t="inlineStr">
        <is>
          <t>eng</t>
        </is>
      </c>
      <c r="P899" t="inlineStr">
        <is>
          <t>nyu</t>
        </is>
      </c>
      <c r="Q899" t="inlineStr">
        <is>
          <t>Peoples of the world series</t>
        </is>
      </c>
      <c r="R899" t="inlineStr">
        <is>
          <t xml:space="preserve">GN </t>
        </is>
      </c>
      <c r="S899" t="n">
        <v>4</v>
      </c>
      <c r="T899" t="n">
        <v>4</v>
      </c>
      <c r="U899" t="inlineStr">
        <is>
          <t>2006-04-25</t>
        </is>
      </c>
      <c r="V899" t="inlineStr">
        <is>
          <t>2006-04-25</t>
        </is>
      </c>
      <c r="W899" t="inlineStr">
        <is>
          <t>1997-05-29</t>
        </is>
      </c>
      <c r="X899" t="inlineStr">
        <is>
          <t>1997-05-29</t>
        </is>
      </c>
      <c r="Y899" t="n">
        <v>571</v>
      </c>
      <c r="Z899" t="n">
        <v>543</v>
      </c>
      <c r="AA899" t="n">
        <v>646</v>
      </c>
      <c r="AB899" t="n">
        <v>5</v>
      </c>
      <c r="AC899" t="n">
        <v>5</v>
      </c>
      <c r="AD899" t="n">
        <v>11</v>
      </c>
      <c r="AE899" t="n">
        <v>14</v>
      </c>
      <c r="AF899" t="n">
        <v>4</v>
      </c>
      <c r="AG899" t="n">
        <v>5</v>
      </c>
      <c r="AH899" t="n">
        <v>0</v>
      </c>
      <c r="AI899" t="n">
        <v>1</v>
      </c>
      <c r="AJ899" t="n">
        <v>4</v>
      </c>
      <c r="AK899" t="n">
        <v>6</v>
      </c>
      <c r="AL899" t="n">
        <v>4</v>
      </c>
      <c r="AM899" t="n">
        <v>4</v>
      </c>
      <c r="AN899" t="n">
        <v>0</v>
      </c>
      <c r="AO899" t="n">
        <v>0</v>
      </c>
      <c r="AP899" t="inlineStr">
        <is>
          <t>No</t>
        </is>
      </c>
      <c r="AQ899" t="inlineStr">
        <is>
          <t>Yes</t>
        </is>
      </c>
      <c r="AR899">
        <f>HYPERLINK("http://catalog.hathitrust.org/Record/007152070","HathiTrust Record")</f>
        <v/>
      </c>
      <c r="AS899">
        <f>HYPERLINK("https://creighton-primo.hosted.exlibrisgroup.com/primo-explore/search?tab=default_tab&amp;search_scope=EVERYTHING&amp;vid=01CRU&amp;lang=en_US&amp;offset=0&amp;query=any,contains,991003376119702656","Catalog Record")</f>
        <v/>
      </c>
      <c r="AT899">
        <f>HYPERLINK("http://www.worldcat.org/oclc/913317","WorldCat Record")</f>
        <v/>
      </c>
      <c r="AU899" t="inlineStr">
        <is>
          <t>47543245:eng</t>
        </is>
      </c>
      <c r="AV899" t="inlineStr">
        <is>
          <t>913317</t>
        </is>
      </c>
      <c r="AW899" t="inlineStr">
        <is>
          <t>991003376119702656</t>
        </is>
      </c>
      <c r="AX899" t="inlineStr">
        <is>
          <t>991003376119702656</t>
        </is>
      </c>
      <c r="AY899" t="inlineStr">
        <is>
          <t>2265745440002656</t>
        </is>
      </c>
      <c r="AZ899" t="inlineStr">
        <is>
          <t>BOOK</t>
        </is>
      </c>
      <c r="BB899" t="inlineStr">
        <is>
          <t>9780684137858</t>
        </is>
      </c>
      <c r="BC899" t="inlineStr">
        <is>
          <t>32285004688312</t>
        </is>
      </c>
      <c r="BD899" t="inlineStr">
        <is>
          <t>893592472</t>
        </is>
      </c>
    </row>
    <row r="900">
      <c r="A900" t="inlineStr">
        <is>
          <t>No</t>
        </is>
      </c>
      <c r="B900" t="inlineStr">
        <is>
          <t>GN663 .P48 2003</t>
        </is>
      </c>
      <c r="C900" t="inlineStr">
        <is>
          <t>0                      GN 0663000P  48          2003</t>
        </is>
      </c>
      <c r="D900" t="inlineStr">
        <is>
          <t>Sea of glory : America's voyage of discovery : the U.S. Exploring Expedition, 1838-1842 / Nathaniel Philbrick.</t>
        </is>
      </c>
      <c r="F900" t="inlineStr">
        <is>
          <t>No</t>
        </is>
      </c>
      <c r="G900" t="inlineStr">
        <is>
          <t>1</t>
        </is>
      </c>
      <c r="H900" t="inlineStr">
        <is>
          <t>No</t>
        </is>
      </c>
      <c r="I900" t="inlineStr">
        <is>
          <t>No</t>
        </is>
      </c>
      <c r="J900" t="inlineStr">
        <is>
          <t>0</t>
        </is>
      </c>
      <c r="K900" t="inlineStr">
        <is>
          <t>Philbrick, Nathaniel.</t>
        </is>
      </c>
      <c r="L900" t="inlineStr">
        <is>
          <t>New York : Viking, 2003.</t>
        </is>
      </c>
      <c r="M900" t="inlineStr">
        <is>
          <t>2003</t>
        </is>
      </c>
      <c r="O900" t="inlineStr">
        <is>
          <t>eng</t>
        </is>
      </c>
      <c r="P900" t="inlineStr">
        <is>
          <t>nyu</t>
        </is>
      </c>
      <c r="R900" t="inlineStr">
        <is>
          <t xml:space="preserve">GN </t>
        </is>
      </c>
      <c r="S900" t="n">
        <v>3</v>
      </c>
      <c r="T900" t="n">
        <v>3</v>
      </c>
      <c r="U900" t="inlineStr">
        <is>
          <t>2004-03-11</t>
        </is>
      </c>
      <c r="V900" t="inlineStr">
        <is>
          <t>2004-03-11</t>
        </is>
      </c>
      <c r="W900" t="inlineStr">
        <is>
          <t>2004-01-05</t>
        </is>
      </c>
      <c r="X900" t="inlineStr">
        <is>
          <t>2004-01-05</t>
        </is>
      </c>
      <c r="Y900" t="n">
        <v>1844</v>
      </c>
      <c r="Z900" t="n">
        <v>1782</v>
      </c>
      <c r="AA900" t="n">
        <v>2149</v>
      </c>
      <c r="AB900" t="n">
        <v>20</v>
      </c>
      <c r="AC900" t="n">
        <v>25</v>
      </c>
      <c r="AD900" t="n">
        <v>37</v>
      </c>
      <c r="AE900" t="n">
        <v>38</v>
      </c>
      <c r="AF900" t="n">
        <v>15</v>
      </c>
      <c r="AG900" t="n">
        <v>16</v>
      </c>
      <c r="AH900" t="n">
        <v>9</v>
      </c>
      <c r="AI900" t="n">
        <v>9</v>
      </c>
      <c r="AJ900" t="n">
        <v>13</v>
      </c>
      <c r="AK900" t="n">
        <v>13</v>
      </c>
      <c r="AL900" t="n">
        <v>9</v>
      </c>
      <c r="AM900" t="n">
        <v>9</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HYPERLINK("https://creighton-primo.hosted.exlibrisgroup.com/primo-explore/search?tab=default_tab&amp;search_scope=EVERYTHING&amp;vid=01CRU&amp;lang=en_US&amp;offset=0&amp;query=any,contains,991004199859702656","Catalog Record")</f>
        <v/>
      </c>
      <c r="AT900">
        <f>HYPERLINK("http://www.worldcat.org/oclc/52086279","WorldCat Record")</f>
        <v/>
      </c>
      <c r="AU900" t="inlineStr">
        <is>
          <t>659512:eng</t>
        </is>
      </c>
      <c r="AV900" t="inlineStr">
        <is>
          <t>52086279</t>
        </is>
      </c>
      <c r="AW900" t="inlineStr">
        <is>
          <t>991004199859702656</t>
        </is>
      </c>
      <c r="AX900" t="inlineStr">
        <is>
          <t>991004199859702656</t>
        </is>
      </c>
      <c r="AY900" t="inlineStr">
        <is>
          <t>2256776640002656</t>
        </is>
      </c>
      <c r="AZ900" t="inlineStr">
        <is>
          <t>BOOK</t>
        </is>
      </c>
      <c r="BB900" t="inlineStr">
        <is>
          <t>9780670032310</t>
        </is>
      </c>
      <c r="BC900" t="inlineStr">
        <is>
          <t>32285004848627</t>
        </is>
      </c>
      <c r="BD900" t="inlineStr">
        <is>
          <t>893532112</t>
        </is>
      </c>
    </row>
    <row r="901">
      <c r="A901" t="inlineStr">
        <is>
          <t>No</t>
        </is>
      </c>
      <c r="B901" t="inlineStr">
        <is>
          <t>GN665 .B76 1982</t>
        </is>
      </c>
      <c r="C901" t="inlineStr">
        <is>
          <t>0                      GN 0665000B  76          1982</t>
        </is>
      </c>
      <c r="D901" t="inlineStr">
        <is>
          <t>Aboriginal Australians : black response to white dominance, 1788-1980 / Richard Broome.</t>
        </is>
      </c>
      <c r="F901" t="inlineStr">
        <is>
          <t>No</t>
        </is>
      </c>
      <c r="G901" t="inlineStr">
        <is>
          <t>1</t>
        </is>
      </c>
      <c r="H901" t="inlineStr">
        <is>
          <t>No</t>
        </is>
      </c>
      <c r="I901" t="inlineStr">
        <is>
          <t>No</t>
        </is>
      </c>
      <c r="J901" t="inlineStr">
        <is>
          <t>0</t>
        </is>
      </c>
      <c r="K901" t="inlineStr">
        <is>
          <t>Broome, Richard, 1948-</t>
        </is>
      </c>
      <c r="L901" t="inlineStr">
        <is>
          <t>Sydney ; Boston : Allen &amp; Unwin, c1982, 1983 printing.</t>
        </is>
      </c>
      <c r="M901" t="inlineStr">
        <is>
          <t>1982</t>
        </is>
      </c>
      <c r="O901" t="inlineStr">
        <is>
          <t>eng</t>
        </is>
      </c>
      <c r="P901" t="inlineStr">
        <is>
          <t xml:space="preserve">at </t>
        </is>
      </c>
      <c r="Q901" t="inlineStr">
        <is>
          <t>The Australian experience ; no. 4</t>
        </is>
      </c>
      <c r="R901" t="inlineStr">
        <is>
          <t xml:space="preserve">GN </t>
        </is>
      </c>
      <c r="S901" t="n">
        <v>20</v>
      </c>
      <c r="T901" t="n">
        <v>20</v>
      </c>
      <c r="U901" t="inlineStr">
        <is>
          <t>2006-04-24</t>
        </is>
      </c>
      <c r="V901" t="inlineStr">
        <is>
          <t>2006-04-24</t>
        </is>
      </c>
      <c r="W901" t="inlineStr">
        <is>
          <t>1990-11-09</t>
        </is>
      </c>
      <c r="X901" t="inlineStr">
        <is>
          <t>1990-11-09</t>
        </is>
      </c>
      <c r="Y901" t="n">
        <v>493</v>
      </c>
      <c r="Z901" t="n">
        <v>307</v>
      </c>
      <c r="AA901" t="n">
        <v>389</v>
      </c>
      <c r="AB901" t="n">
        <v>3</v>
      </c>
      <c r="AC901" t="n">
        <v>3</v>
      </c>
      <c r="AD901" t="n">
        <v>11</v>
      </c>
      <c r="AE901" t="n">
        <v>11</v>
      </c>
      <c r="AF901" t="n">
        <v>5</v>
      </c>
      <c r="AG901" t="n">
        <v>5</v>
      </c>
      <c r="AH901" t="n">
        <v>3</v>
      </c>
      <c r="AI901" t="n">
        <v>3</v>
      </c>
      <c r="AJ901" t="n">
        <v>2</v>
      </c>
      <c r="AK901" t="n">
        <v>2</v>
      </c>
      <c r="AL901" t="n">
        <v>2</v>
      </c>
      <c r="AM901" t="n">
        <v>2</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HYPERLINK("https://creighton-primo.hosted.exlibrisgroup.com/primo-explore/search?tab=default_tab&amp;search_scope=EVERYTHING&amp;vid=01CRU&amp;lang=en_US&amp;offset=0&amp;query=any,contains,991000039719702656","Catalog Record")</f>
        <v/>
      </c>
      <c r="AT901">
        <f>HYPERLINK("http://www.worldcat.org/oclc/8635768","WorldCat Record")</f>
        <v/>
      </c>
      <c r="AU901" t="inlineStr">
        <is>
          <t>796476827:eng</t>
        </is>
      </c>
      <c r="AV901" t="inlineStr">
        <is>
          <t>8635768</t>
        </is>
      </c>
      <c r="AW901" t="inlineStr">
        <is>
          <t>991000039719702656</t>
        </is>
      </c>
      <c r="AX901" t="inlineStr">
        <is>
          <t>991000039719702656</t>
        </is>
      </c>
      <c r="AY901" t="inlineStr">
        <is>
          <t>2268541690002656</t>
        </is>
      </c>
      <c r="AZ901" t="inlineStr">
        <is>
          <t>BOOK</t>
        </is>
      </c>
      <c r="BB901" t="inlineStr">
        <is>
          <t>9780868610511</t>
        </is>
      </c>
      <c r="BC901" t="inlineStr">
        <is>
          <t>32285000385756</t>
        </is>
      </c>
      <c r="BD901" t="inlineStr">
        <is>
          <t>893802430</t>
        </is>
      </c>
    </row>
    <row r="902">
      <c r="A902" t="inlineStr">
        <is>
          <t>No</t>
        </is>
      </c>
      <c r="B902" t="inlineStr">
        <is>
          <t>GN666 .A217 1999</t>
        </is>
      </c>
      <c r="C902" t="inlineStr">
        <is>
          <t>0                      GN 0666000A  217         1999</t>
        </is>
      </c>
      <c r="D902" t="inlineStr">
        <is>
          <t>Aboriginal heroes of the resistance : from Pemulwuy to Mabo / editor, Paul W. Newbury.</t>
        </is>
      </c>
      <c r="F902" t="inlineStr">
        <is>
          <t>No</t>
        </is>
      </c>
      <c r="G902" t="inlineStr">
        <is>
          <t>1</t>
        </is>
      </c>
      <c r="H902" t="inlineStr">
        <is>
          <t>No</t>
        </is>
      </c>
      <c r="I902" t="inlineStr">
        <is>
          <t>No</t>
        </is>
      </c>
      <c r="J902" t="inlineStr">
        <is>
          <t>0</t>
        </is>
      </c>
      <c r="L902" t="inlineStr">
        <is>
          <t>Surry Hills, NSW : Action for World Development, 1999.</t>
        </is>
      </c>
      <c r="M902" t="inlineStr">
        <is>
          <t>1999</t>
        </is>
      </c>
      <c r="N902" t="inlineStr">
        <is>
          <t>New ed.</t>
        </is>
      </c>
      <c r="O902" t="inlineStr">
        <is>
          <t>eng</t>
        </is>
      </c>
      <c r="P902" t="inlineStr">
        <is>
          <t xml:space="preserve">at </t>
        </is>
      </c>
      <c r="R902" t="inlineStr">
        <is>
          <t xml:space="preserve">GN </t>
        </is>
      </c>
      <c r="S902" t="n">
        <v>1</v>
      </c>
      <c r="T902" t="n">
        <v>1</v>
      </c>
      <c r="U902" t="inlineStr">
        <is>
          <t>2006-09-14</t>
        </is>
      </c>
      <c r="V902" t="inlineStr">
        <is>
          <t>2006-09-14</t>
        </is>
      </c>
      <c r="W902" t="inlineStr">
        <is>
          <t>2006-09-14</t>
        </is>
      </c>
      <c r="X902" t="inlineStr">
        <is>
          <t>2006-09-14</t>
        </is>
      </c>
      <c r="Y902" t="n">
        <v>88</v>
      </c>
      <c r="Z902" t="n">
        <v>7</v>
      </c>
      <c r="AA902" t="n">
        <v>7</v>
      </c>
      <c r="AB902" t="n">
        <v>2</v>
      </c>
      <c r="AC902" t="n">
        <v>2</v>
      </c>
      <c r="AD902" t="n">
        <v>1</v>
      </c>
      <c r="AE902" t="n">
        <v>1</v>
      </c>
      <c r="AF902" t="n">
        <v>0</v>
      </c>
      <c r="AG902" t="n">
        <v>0</v>
      </c>
      <c r="AH902" t="n">
        <v>0</v>
      </c>
      <c r="AI902" t="n">
        <v>0</v>
      </c>
      <c r="AJ902" t="n">
        <v>0</v>
      </c>
      <c r="AK902" t="n">
        <v>0</v>
      </c>
      <c r="AL902" t="n">
        <v>1</v>
      </c>
      <c r="AM902" t="n">
        <v>1</v>
      </c>
      <c r="AN902" t="n">
        <v>0</v>
      </c>
      <c r="AO902" t="n">
        <v>0</v>
      </c>
      <c r="AP902" t="inlineStr">
        <is>
          <t>No</t>
        </is>
      </c>
      <c r="AQ902" t="inlineStr">
        <is>
          <t>No</t>
        </is>
      </c>
      <c r="AS902">
        <f>HYPERLINK("https://creighton-primo.hosted.exlibrisgroup.com/primo-explore/search?tab=default_tab&amp;search_scope=EVERYTHING&amp;vid=01CRU&amp;lang=en_US&amp;offset=0&amp;query=any,contains,991004920599702656","Catalog Record")</f>
        <v/>
      </c>
      <c r="AT902">
        <f>HYPERLINK("http://www.worldcat.org/oclc/49001746","WorldCat Record")</f>
        <v/>
      </c>
      <c r="AU902" t="inlineStr">
        <is>
          <t>37879805:eng</t>
        </is>
      </c>
      <c r="AV902" t="inlineStr">
        <is>
          <t>49001746</t>
        </is>
      </c>
      <c r="AW902" t="inlineStr">
        <is>
          <t>991004920599702656</t>
        </is>
      </c>
      <c r="AX902" t="inlineStr">
        <is>
          <t>991004920599702656</t>
        </is>
      </c>
      <c r="AY902" t="inlineStr">
        <is>
          <t>2270270320002656</t>
        </is>
      </c>
      <c r="AZ902" t="inlineStr">
        <is>
          <t>BOOK</t>
        </is>
      </c>
      <c r="BB902" t="inlineStr">
        <is>
          <t>9780959375374</t>
        </is>
      </c>
      <c r="BC902" t="inlineStr">
        <is>
          <t>32285005223861</t>
        </is>
      </c>
      <c r="BD902" t="inlineStr">
        <is>
          <t>893594232</t>
        </is>
      </c>
    </row>
    <row r="903">
      <c r="A903" t="inlineStr">
        <is>
          <t>No</t>
        </is>
      </c>
      <c r="B903" t="inlineStr">
        <is>
          <t>GN666 .B57</t>
        </is>
      </c>
      <c r="C903" t="inlineStr">
        <is>
          <t>0                      GN 0666000B  57</t>
        </is>
      </c>
      <c r="D903" t="inlineStr">
        <is>
          <t>Not slaves, not citizens; the aboriginal problem in Western Australia, 1898-1954.</t>
        </is>
      </c>
      <c r="F903" t="inlineStr">
        <is>
          <t>No</t>
        </is>
      </c>
      <c r="G903" t="inlineStr">
        <is>
          <t>1</t>
        </is>
      </c>
      <c r="H903" t="inlineStr">
        <is>
          <t>No</t>
        </is>
      </c>
      <c r="I903" t="inlineStr">
        <is>
          <t>No</t>
        </is>
      </c>
      <c r="J903" t="inlineStr">
        <is>
          <t>0</t>
        </is>
      </c>
      <c r="K903" t="inlineStr">
        <is>
          <t>Biskup, Peter.</t>
        </is>
      </c>
      <c r="L903" t="inlineStr">
        <is>
          <t>St. Lucia, University of Queensland Press; New York, Crane, Russak [1973]</t>
        </is>
      </c>
      <c r="M903" t="inlineStr">
        <is>
          <t>1973</t>
        </is>
      </c>
      <c r="O903" t="inlineStr">
        <is>
          <t>eng</t>
        </is>
      </c>
      <c r="P903" t="inlineStr">
        <is>
          <t xml:space="preserve">at </t>
        </is>
      </c>
      <c r="R903" t="inlineStr">
        <is>
          <t xml:space="preserve">GN </t>
        </is>
      </c>
      <c r="S903" t="n">
        <v>5</v>
      </c>
      <c r="T903" t="n">
        <v>5</v>
      </c>
      <c r="U903" t="inlineStr">
        <is>
          <t>2006-04-24</t>
        </is>
      </c>
      <c r="V903" t="inlineStr">
        <is>
          <t>2006-04-24</t>
        </is>
      </c>
      <c r="W903" t="inlineStr">
        <is>
          <t>1997-05-29</t>
        </is>
      </c>
      <c r="X903" t="inlineStr">
        <is>
          <t>1997-05-29</t>
        </is>
      </c>
      <c r="Y903" t="n">
        <v>503</v>
      </c>
      <c r="Z903" t="n">
        <v>349</v>
      </c>
      <c r="AA903" t="n">
        <v>350</v>
      </c>
      <c r="AB903" t="n">
        <v>5</v>
      </c>
      <c r="AC903" t="n">
        <v>5</v>
      </c>
      <c r="AD903" t="n">
        <v>17</v>
      </c>
      <c r="AE903" t="n">
        <v>17</v>
      </c>
      <c r="AF903" t="n">
        <v>5</v>
      </c>
      <c r="AG903" t="n">
        <v>5</v>
      </c>
      <c r="AH903" t="n">
        <v>3</v>
      </c>
      <c r="AI903" t="n">
        <v>3</v>
      </c>
      <c r="AJ903" t="n">
        <v>5</v>
      </c>
      <c r="AK903" t="n">
        <v>5</v>
      </c>
      <c r="AL903" t="n">
        <v>4</v>
      </c>
      <c r="AM903" t="n">
        <v>4</v>
      </c>
      <c r="AN903" t="n">
        <v>1</v>
      </c>
      <c r="AO903" t="n">
        <v>1</v>
      </c>
      <c r="AP903" t="inlineStr">
        <is>
          <t>No</t>
        </is>
      </c>
      <c r="AQ903" t="inlineStr">
        <is>
          <t>No</t>
        </is>
      </c>
      <c r="AS903">
        <f>HYPERLINK("https://creighton-primo.hosted.exlibrisgroup.com/primo-explore/search?tab=default_tab&amp;search_scope=EVERYTHING&amp;vid=01CRU&amp;lang=en_US&amp;offset=0&amp;query=any,contains,991003055189702656","Catalog Record")</f>
        <v/>
      </c>
      <c r="AT903">
        <f>HYPERLINK("http://www.worldcat.org/oclc/613724","WorldCat Record")</f>
        <v/>
      </c>
      <c r="AU903" t="inlineStr">
        <is>
          <t>230528138:eng</t>
        </is>
      </c>
      <c r="AV903" t="inlineStr">
        <is>
          <t>613724</t>
        </is>
      </c>
      <c r="AW903" t="inlineStr">
        <is>
          <t>991003055189702656</t>
        </is>
      </c>
      <c r="AX903" t="inlineStr">
        <is>
          <t>991003055189702656</t>
        </is>
      </c>
      <c r="AY903" t="inlineStr">
        <is>
          <t>2268320470002656</t>
        </is>
      </c>
      <c r="AZ903" t="inlineStr">
        <is>
          <t>BOOK</t>
        </is>
      </c>
      <c r="BB903" t="inlineStr">
        <is>
          <t>9780702207297</t>
        </is>
      </c>
      <c r="BC903" t="inlineStr">
        <is>
          <t>32285002697125</t>
        </is>
      </c>
      <c r="BD903" t="inlineStr">
        <is>
          <t>893799340</t>
        </is>
      </c>
    </row>
    <row r="904">
      <c r="A904" t="inlineStr">
        <is>
          <t>No</t>
        </is>
      </c>
      <c r="B904" t="inlineStr">
        <is>
          <t>GN666 .C38</t>
        </is>
      </c>
      <c r="C904" t="inlineStr">
        <is>
          <t>0                      GN 0666000C  38</t>
        </is>
      </c>
      <c r="D904" t="inlineStr">
        <is>
          <t>Medicine is the law; studies in psychiatric anthropology of Australian tribal societies. Foreword by William P. Lebra.</t>
        </is>
      </c>
      <c r="F904" t="inlineStr">
        <is>
          <t>No</t>
        </is>
      </c>
      <c r="G904" t="inlineStr">
        <is>
          <t>1</t>
        </is>
      </c>
      <c r="H904" t="inlineStr">
        <is>
          <t>No</t>
        </is>
      </c>
      <c r="I904" t="inlineStr">
        <is>
          <t>No</t>
        </is>
      </c>
      <c r="J904" t="inlineStr">
        <is>
          <t>0</t>
        </is>
      </c>
      <c r="K904" t="inlineStr">
        <is>
          <t>Cawte, John.</t>
        </is>
      </c>
      <c r="L904" t="inlineStr">
        <is>
          <t>Honolulu, University Press of Hawaii [1974]</t>
        </is>
      </c>
      <c r="M904" t="inlineStr">
        <is>
          <t>1974</t>
        </is>
      </c>
      <c r="O904" t="inlineStr">
        <is>
          <t>eng</t>
        </is>
      </c>
      <c r="P904" t="inlineStr">
        <is>
          <t>hiu</t>
        </is>
      </c>
      <c r="R904" t="inlineStr">
        <is>
          <t xml:space="preserve">GN </t>
        </is>
      </c>
      <c r="S904" t="n">
        <v>9</v>
      </c>
      <c r="T904" t="n">
        <v>9</v>
      </c>
      <c r="U904" t="inlineStr">
        <is>
          <t>2006-04-24</t>
        </is>
      </c>
      <c r="V904" t="inlineStr">
        <is>
          <t>2006-04-24</t>
        </is>
      </c>
      <c r="W904" t="inlineStr">
        <is>
          <t>1997-05-29</t>
        </is>
      </c>
      <c r="X904" t="inlineStr">
        <is>
          <t>1997-05-29</t>
        </is>
      </c>
      <c r="Y904" t="n">
        <v>387</v>
      </c>
      <c r="Z904" t="n">
        <v>297</v>
      </c>
      <c r="AA904" t="n">
        <v>305</v>
      </c>
      <c r="AB904" t="n">
        <v>3</v>
      </c>
      <c r="AC904" t="n">
        <v>3</v>
      </c>
      <c r="AD904" t="n">
        <v>10</v>
      </c>
      <c r="AE904" t="n">
        <v>10</v>
      </c>
      <c r="AF904" t="n">
        <v>2</v>
      </c>
      <c r="AG904" t="n">
        <v>2</v>
      </c>
      <c r="AH904" t="n">
        <v>5</v>
      </c>
      <c r="AI904" t="n">
        <v>5</v>
      </c>
      <c r="AJ904" t="n">
        <v>4</v>
      </c>
      <c r="AK904" t="n">
        <v>4</v>
      </c>
      <c r="AL904" t="n">
        <v>2</v>
      </c>
      <c r="AM904" t="n">
        <v>2</v>
      </c>
      <c r="AN904" t="n">
        <v>0</v>
      </c>
      <c r="AO904" t="n">
        <v>0</v>
      </c>
      <c r="AP904" t="inlineStr">
        <is>
          <t>No</t>
        </is>
      </c>
      <c r="AQ904" t="inlineStr">
        <is>
          <t>Yes</t>
        </is>
      </c>
      <c r="AR904">
        <f>HYPERLINK("http://catalog.hathitrust.org/Record/001275415","HathiTrust Record")</f>
        <v/>
      </c>
      <c r="AS904">
        <f>HYPERLINK("https://creighton-primo.hosted.exlibrisgroup.com/primo-explore/search?tab=default_tab&amp;search_scope=EVERYTHING&amp;vid=01CRU&amp;lang=en_US&amp;offset=0&amp;query=any,contains,991003336779702656","Catalog Record")</f>
        <v/>
      </c>
      <c r="AT904">
        <f>HYPERLINK("http://www.worldcat.org/oclc/867509","WorldCat Record")</f>
        <v/>
      </c>
      <c r="AU904" t="inlineStr">
        <is>
          <t>1836607:eng</t>
        </is>
      </c>
      <c r="AV904" t="inlineStr">
        <is>
          <t>867509</t>
        </is>
      </c>
      <c r="AW904" t="inlineStr">
        <is>
          <t>991003336779702656</t>
        </is>
      </c>
      <c r="AX904" t="inlineStr">
        <is>
          <t>991003336779702656</t>
        </is>
      </c>
      <c r="AY904" t="inlineStr">
        <is>
          <t>2265804760002656</t>
        </is>
      </c>
      <c r="AZ904" t="inlineStr">
        <is>
          <t>BOOK</t>
        </is>
      </c>
      <c r="BB904" t="inlineStr">
        <is>
          <t>9780824802516</t>
        </is>
      </c>
      <c r="BC904" t="inlineStr">
        <is>
          <t>32285002697133</t>
        </is>
      </c>
      <c r="BD904" t="inlineStr">
        <is>
          <t>893598487</t>
        </is>
      </c>
    </row>
    <row r="905">
      <c r="A905" t="inlineStr">
        <is>
          <t>No</t>
        </is>
      </c>
      <c r="B905" t="inlineStr">
        <is>
          <t>GN666 .M29 2004</t>
        </is>
      </c>
      <c r="C905" t="inlineStr">
        <is>
          <t>0                      GN 0666000M  29          2004</t>
        </is>
      </c>
      <c r="D905" t="inlineStr">
        <is>
          <t>Going the Whiteman's way : kinship and marriage among Australian Aborigines / David McKnight.</t>
        </is>
      </c>
      <c r="F905" t="inlineStr">
        <is>
          <t>No</t>
        </is>
      </c>
      <c r="G905" t="inlineStr">
        <is>
          <t>1</t>
        </is>
      </c>
      <c r="H905" t="inlineStr">
        <is>
          <t>No</t>
        </is>
      </c>
      <c r="I905" t="inlineStr">
        <is>
          <t>No</t>
        </is>
      </c>
      <c r="J905" t="inlineStr">
        <is>
          <t>0</t>
        </is>
      </c>
      <c r="K905" t="inlineStr">
        <is>
          <t>McKnight, David, 1935-2006.</t>
        </is>
      </c>
      <c r="L905" t="inlineStr">
        <is>
          <t>Aldershot, Hants, England ; Burlington, VT : Ashgate, c2004.</t>
        </is>
      </c>
      <c r="M905" t="inlineStr">
        <is>
          <t>2004</t>
        </is>
      </c>
      <c r="O905" t="inlineStr">
        <is>
          <t>eng</t>
        </is>
      </c>
      <c r="P905" t="inlineStr">
        <is>
          <t>enk</t>
        </is>
      </c>
      <c r="Q905" t="inlineStr">
        <is>
          <t>Anthropology and cultural history in Asia and the Indo-Pacific</t>
        </is>
      </c>
      <c r="R905" t="inlineStr">
        <is>
          <t xml:space="preserve">GN </t>
        </is>
      </c>
      <c r="S905" t="n">
        <v>1</v>
      </c>
      <c r="T905" t="n">
        <v>1</v>
      </c>
      <c r="U905" t="inlineStr">
        <is>
          <t>2006-02-21</t>
        </is>
      </c>
      <c r="V905" t="inlineStr">
        <is>
          <t>2006-02-21</t>
        </is>
      </c>
      <c r="W905" t="inlineStr">
        <is>
          <t>2006-02-09</t>
        </is>
      </c>
      <c r="X905" t="inlineStr">
        <is>
          <t>2006-02-09</t>
        </is>
      </c>
      <c r="Y905" t="n">
        <v>215</v>
      </c>
      <c r="Z905" t="n">
        <v>125</v>
      </c>
      <c r="AA905" t="n">
        <v>127</v>
      </c>
      <c r="AB905" t="n">
        <v>2</v>
      </c>
      <c r="AC905" t="n">
        <v>2</v>
      </c>
      <c r="AD905" t="n">
        <v>7</v>
      </c>
      <c r="AE905" t="n">
        <v>7</v>
      </c>
      <c r="AF905" t="n">
        <v>1</v>
      </c>
      <c r="AG905" t="n">
        <v>1</v>
      </c>
      <c r="AH905" t="n">
        <v>2</v>
      </c>
      <c r="AI905" t="n">
        <v>2</v>
      </c>
      <c r="AJ905" t="n">
        <v>5</v>
      </c>
      <c r="AK905" t="n">
        <v>5</v>
      </c>
      <c r="AL905" t="n">
        <v>1</v>
      </c>
      <c r="AM905" t="n">
        <v>1</v>
      </c>
      <c r="AN905" t="n">
        <v>0</v>
      </c>
      <c r="AO905" t="n">
        <v>0</v>
      </c>
      <c r="AP905" t="inlineStr">
        <is>
          <t>No</t>
        </is>
      </c>
      <c r="AQ905" t="inlineStr">
        <is>
          <t>Yes</t>
        </is>
      </c>
      <c r="AR905">
        <f>HYPERLINK("http://catalog.hathitrust.org/Record/004971302","HathiTrust Record")</f>
        <v/>
      </c>
      <c r="AS905">
        <f>HYPERLINK("https://creighton-primo.hosted.exlibrisgroup.com/primo-explore/search?tab=default_tab&amp;search_scope=EVERYTHING&amp;vid=01CRU&amp;lang=en_US&amp;offset=0&amp;query=any,contains,991004736739702656","Catalog Record")</f>
        <v/>
      </c>
      <c r="AT905">
        <f>HYPERLINK("http://www.worldcat.org/oclc/54407733","WorldCat Record")</f>
        <v/>
      </c>
      <c r="AU905" t="inlineStr">
        <is>
          <t>294286016:eng</t>
        </is>
      </c>
      <c r="AV905" t="inlineStr">
        <is>
          <t>54407733</t>
        </is>
      </c>
      <c r="AW905" t="inlineStr">
        <is>
          <t>991004736739702656</t>
        </is>
      </c>
      <c r="AX905" t="inlineStr">
        <is>
          <t>991004736739702656</t>
        </is>
      </c>
      <c r="AY905" t="inlineStr">
        <is>
          <t>2260265290002656</t>
        </is>
      </c>
      <c r="AZ905" t="inlineStr">
        <is>
          <t>BOOK</t>
        </is>
      </c>
      <c r="BB905" t="inlineStr">
        <is>
          <t>9780754642381</t>
        </is>
      </c>
      <c r="BC905" t="inlineStr">
        <is>
          <t>32285005159248</t>
        </is>
      </c>
      <c r="BD905" t="inlineStr">
        <is>
          <t>893436684</t>
        </is>
      </c>
    </row>
    <row r="906">
      <c r="A906" t="inlineStr">
        <is>
          <t>No</t>
        </is>
      </c>
      <c r="B906" t="inlineStr">
        <is>
          <t>GN666 .S85 1999</t>
        </is>
      </c>
      <c r="C906" t="inlineStr">
        <is>
          <t>0                      GN 0666000S  85          1999</t>
        </is>
      </c>
      <c r="D906" t="inlineStr">
        <is>
          <t>The struggle for aboriginal rights : a documentary history / [compiled by] Bain Attwood and Andrew Markus.</t>
        </is>
      </c>
      <c r="F906" t="inlineStr">
        <is>
          <t>No</t>
        </is>
      </c>
      <c r="G906" t="inlineStr">
        <is>
          <t>1</t>
        </is>
      </c>
      <c r="H906" t="inlineStr">
        <is>
          <t>No</t>
        </is>
      </c>
      <c r="I906" t="inlineStr">
        <is>
          <t>No</t>
        </is>
      </c>
      <c r="J906" t="inlineStr">
        <is>
          <t>0</t>
        </is>
      </c>
      <c r="L906" t="inlineStr">
        <is>
          <t>[St. Leonards], NSW, Australia : Allen &amp; Unwin, 1999.</t>
        </is>
      </c>
      <c r="M906" t="inlineStr">
        <is>
          <t>1999</t>
        </is>
      </c>
      <c r="O906" t="inlineStr">
        <is>
          <t>eng</t>
        </is>
      </c>
      <c r="P906" t="inlineStr">
        <is>
          <t xml:space="preserve">at </t>
        </is>
      </c>
      <c r="R906" t="inlineStr">
        <is>
          <t xml:space="preserve">GN </t>
        </is>
      </c>
      <c r="S906" t="n">
        <v>1</v>
      </c>
      <c r="T906" t="n">
        <v>1</v>
      </c>
      <c r="U906" t="inlineStr">
        <is>
          <t>2002-01-10</t>
        </is>
      </c>
      <c r="V906" t="inlineStr">
        <is>
          <t>2002-01-10</t>
        </is>
      </c>
      <c r="W906" t="inlineStr">
        <is>
          <t>2002-01-10</t>
        </is>
      </c>
      <c r="X906" t="inlineStr">
        <is>
          <t>2002-01-10</t>
        </is>
      </c>
      <c r="Y906" t="n">
        <v>570</v>
      </c>
      <c r="Z906" t="n">
        <v>367</v>
      </c>
      <c r="AA906" t="n">
        <v>391</v>
      </c>
      <c r="AB906" t="n">
        <v>3</v>
      </c>
      <c r="AC906" t="n">
        <v>3</v>
      </c>
      <c r="AD906" t="n">
        <v>24</v>
      </c>
      <c r="AE906" t="n">
        <v>24</v>
      </c>
      <c r="AF906" t="n">
        <v>11</v>
      </c>
      <c r="AG906" t="n">
        <v>11</v>
      </c>
      <c r="AH906" t="n">
        <v>8</v>
      </c>
      <c r="AI906" t="n">
        <v>8</v>
      </c>
      <c r="AJ906" t="n">
        <v>9</v>
      </c>
      <c r="AK906" t="n">
        <v>9</v>
      </c>
      <c r="AL906" t="n">
        <v>2</v>
      </c>
      <c r="AM906" t="n">
        <v>2</v>
      </c>
      <c r="AN906" t="n">
        <v>1</v>
      </c>
      <c r="AO906" t="n">
        <v>1</v>
      </c>
      <c r="AP906" t="inlineStr">
        <is>
          <t>No</t>
        </is>
      </c>
      <c r="AQ906" t="inlineStr">
        <is>
          <t>No</t>
        </is>
      </c>
      <c r="AS906">
        <f>HYPERLINK("https://creighton-primo.hosted.exlibrisgroup.com/primo-explore/search?tab=default_tab&amp;search_scope=EVERYTHING&amp;vid=01CRU&amp;lang=en_US&amp;offset=0&amp;query=any,contains,991003697609702656","Catalog Record")</f>
        <v/>
      </c>
      <c r="AT906">
        <f>HYPERLINK("http://www.worldcat.org/oclc/40792431","WorldCat Record")</f>
        <v/>
      </c>
      <c r="AU906" t="inlineStr">
        <is>
          <t>366123939:eng</t>
        </is>
      </c>
      <c r="AV906" t="inlineStr">
        <is>
          <t>40792431</t>
        </is>
      </c>
      <c r="AW906" t="inlineStr">
        <is>
          <t>991003697609702656</t>
        </is>
      </c>
      <c r="AX906" t="inlineStr">
        <is>
          <t>991003697609702656</t>
        </is>
      </c>
      <c r="AY906" t="inlineStr">
        <is>
          <t>2260880650002656</t>
        </is>
      </c>
      <c r="AZ906" t="inlineStr">
        <is>
          <t>BOOK</t>
        </is>
      </c>
      <c r="BB906" t="inlineStr">
        <is>
          <t>9781864485844</t>
        </is>
      </c>
      <c r="BC906" t="inlineStr">
        <is>
          <t>32285004447883</t>
        </is>
      </c>
      <c r="BD906" t="inlineStr">
        <is>
          <t>893342901</t>
        </is>
      </c>
    </row>
    <row r="907">
      <c r="A907" t="inlineStr">
        <is>
          <t>No</t>
        </is>
      </c>
      <c r="B907" t="inlineStr">
        <is>
          <t>GN667.W5 A73 1995</t>
        </is>
      </c>
      <c r="C907" t="inlineStr">
        <is>
          <t>0                      GN 0667000W  5                  A  73          1995</t>
        </is>
      </c>
      <c r="D907" t="inlineStr">
        <is>
          <t>Dreamkeepers : a spirit-journey into aboriginal Australia / Harvey Arden ; photographs by Harvey Arden and Mike Osborn.</t>
        </is>
      </c>
      <c r="F907" t="inlineStr">
        <is>
          <t>No</t>
        </is>
      </c>
      <c r="G907" t="inlineStr">
        <is>
          <t>1</t>
        </is>
      </c>
      <c r="H907" t="inlineStr">
        <is>
          <t>No</t>
        </is>
      </c>
      <c r="I907" t="inlineStr">
        <is>
          <t>No</t>
        </is>
      </c>
      <c r="J907" t="inlineStr">
        <is>
          <t>0</t>
        </is>
      </c>
      <c r="K907" t="inlineStr">
        <is>
          <t>Arden, Harvey.</t>
        </is>
      </c>
      <c r="L907" t="inlineStr">
        <is>
          <t>New York : HarperPerennial, 1995.</t>
        </is>
      </c>
      <c r="M907" t="inlineStr">
        <is>
          <t>1995</t>
        </is>
      </c>
      <c r="N907" t="inlineStr">
        <is>
          <t>1st HarperPerennial ed.</t>
        </is>
      </c>
      <c r="O907" t="inlineStr">
        <is>
          <t>eng</t>
        </is>
      </c>
      <c r="P907" t="inlineStr">
        <is>
          <t>nyu</t>
        </is>
      </c>
      <c r="R907" t="inlineStr">
        <is>
          <t xml:space="preserve">GN </t>
        </is>
      </c>
      <c r="S907" t="n">
        <v>1</v>
      </c>
      <c r="T907" t="n">
        <v>1</v>
      </c>
      <c r="U907" t="inlineStr">
        <is>
          <t>2008-06-11</t>
        </is>
      </c>
      <c r="V907" t="inlineStr">
        <is>
          <t>2008-06-11</t>
        </is>
      </c>
      <c r="W907" t="inlineStr">
        <is>
          <t>2008-06-11</t>
        </is>
      </c>
      <c r="X907" t="inlineStr">
        <is>
          <t>2008-06-11</t>
        </is>
      </c>
      <c r="Y907" t="n">
        <v>76</v>
      </c>
      <c r="Z907" t="n">
        <v>66</v>
      </c>
      <c r="AA907" t="n">
        <v>607</v>
      </c>
      <c r="AB907" t="n">
        <v>1</v>
      </c>
      <c r="AC907" t="n">
        <v>6</v>
      </c>
      <c r="AD907" t="n">
        <v>2</v>
      </c>
      <c r="AE907" t="n">
        <v>20</v>
      </c>
      <c r="AF907" t="n">
        <v>1</v>
      </c>
      <c r="AG907" t="n">
        <v>5</v>
      </c>
      <c r="AH907" t="n">
        <v>2</v>
      </c>
      <c r="AI907" t="n">
        <v>7</v>
      </c>
      <c r="AJ907" t="n">
        <v>0</v>
      </c>
      <c r="AK907" t="n">
        <v>8</v>
      </c>
      <c r="AL907" t="n">
        <v>0</v>
      </c>
      <c r="AM907" t="n">
        <v>5</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HYPERLINK("https://creighton-primo.hosted.exlibrisgroup.com/primo-explore/search?tab=default_tab&amp;search_scope=EVERYTHING&amp;vid=01CRU&amp;lang=en_US&amp;offset=0&amp;query=any,contains,991005234309702656","Catalog Record")</f>
        <v/>
      </c>
      <c r="AT907">
        <f>HYPERLINK("http://www.worldcat.org/oclc/32438492","WorldCat Record")</f>
        <v/>
      </c>
      <c r="AU907" t="inlineStr">
        <is>
          <t>31330716:eng</t>
        </is>
      </c>
      <c r="AV907" t="inlineStr">
        <is>
          <t>32438492</t>
        </is>
      </c>
      <c r="AW907" t="inlineStr">
        <is>
          <t>991005234309702656</t>
        </is>
      </c>
      <c r="AX907" t="inlineStr">
        <is>
          <t>991005234309702656</t>
        </is>
      </c>
      <c r="AY907" t="inlineStr">
        <is>
          <t>2261657770002656</t>
        </is>
      </c>
      <c r="AZ907" t="inlineStr">
        <is>
          <t>BOOK</t>
        </is>
      </c>
      <c r="BB907" t="inlineStr">
        <is>
          <t>9780060925802</t>
        </is>
      </c>
      <c r="BC907" t="inlineStr">
        <is>
          <t>32285005444541</t>
        </is>
      </c>
      <c r="BD907" t="inlineStr">
        <is>
          <t>893431096</t>
        </is>
      </c>
    </row>
    <row r="908">
      <c r="A908" t="inlineStr">
        <is>
          <t>No</t>
        </is>
      </c>
      <c r="B908" t="inlineStr">
        <is>
          <t>GN667.W5 M67 1990</t>
        </is>
      </c>
      <c r="C908" t="inlineStr">
        <is>
          <t>0                      GN 0667000W  5                  M  67          1990</t>
        </is>
      </c>
      <c r="D908" t="inlineStr">
        <is>
          <t>My place / Sally Morgan.</t>
        </is>
      </c>
      <c r="F908" t="inlineStr">
        <is>
          <t>No</t>
        </is>
      </c>
      <c r="G908" t="inlineStr">
        <is>
          <t>1</t>
        </is>
      </c>
      <c r="H908" t="inlineStr">
        <is>
          <t>No</t>
        </is>
      </c>
      <c r="I908" t="inlineStr">
        <is>
          <t>No</t>
        </is>
      </c>
      <c r="J908" t="inlineStr">
        <is>
          <t>0</t>
        </is>
      </c>
      <c r="K908" t="inlineStr">
        <is>
          <t>Morgan, Sally, 1951 January 18-</t>
        </is>
      </c>
      <c r="L908" t="inlineStr">
        <is>
          <t>New York : Arcade Pub., 1990.</t>
        </is>
      </c>
      <c r="M908" t="inlineStr">
        <is>
          <t>1990</t>
        </is>
      </c>
      <c r="N908" t="inlineStr">
        <is>
          <t>1st Arcade ed.</t>
        </is>
      </c>
      <c r="O908" t="inlineStr">
        <is>
          <t>eng</t>
        </is>
      </c>
      <c r="P908" t="inlineStr">
        <is>
          <t>nyu</t>
        </is>
      </c>
      <c r="R908" t="inlineStr">
        <is>
          <t xml:space="preserve">GN </t>
        </is>
      </c>
      <c r="S908" t="n">
        <v>3</v>
      </c>
      <c r="T908" t="n">
        <v>3</v>
      </c>
      <c r="U908" t="inlineStr">
        <is>
          <t>2000-09-25</t>
        </is>
      </c>
      <c r="V908" t="inlineStr">
        <is>
          <t>2000-09-25</t>
        </is>
      </c>
      <c r="W908" t="inlineStr">
        <is>
          <t>1990-08-01</t>
        </is>
      </c>
      <c r="X908" t="inlineStr">
        <is>
          <t>1990-08-01</t>
        </is>
      </c>
      <c r="Y908" t="n">
        <v>108</v>
      </c>
      <c r="Z908" t="n">
        <v>102</v>
      </c>
      <c r="AA908" t="n">
        <v>796</v>
      </c>
      <c r="AB908" t="n">
        <v>1</v>
      </c>
      <c r="AC908" t="n">
        <v>6</v>
      </c>
      <c r="AD908" t="n">
        <v>1</v>
      </c>
      <c r="AE908" t="n">
        <v>19</v>
      </c>
      <c r="AF908" t="n">
        <v>0</v>
      </c>
      <c r="AG908" t="n">
        <v>7</v>
      </c>
      <c r="AH908" t="n">
        <v>1</v>
      </c>
      <c r="AI908" t="n">
        <v>6</v>
      </c>
      <c r="AJ908" t="n">
        <v>0</v>
      </c>
      <c r="AK908" t="n">
        <v>8</v>
      </c>
      <c r="AL908" t="n">
        <v>0</v>
      </c>
      <c r="AM908" t="n">
        <v>3</v>
      </c>
      <c r="AN908" t="n">
        <v>0</v>
      </c>
      <c r="AO908" t="n">
        <v>0</v>
      </c>
      <c r="AP908" t="inlineStr">
        <is>
          <t>No</t>
        </is>
      </c>
      <c r="AQ908" t="inlineStr">
        <is>
          <t>No</t>
        </is>
      </c>
      <c r="AS908">
        <f>HYPERLINK("https://creighton-primo.hosted.exlibrisgroup.com/primo-explore/search?tab=default_tab&amp;search_scope=EVERYTHING&amp;vid=01CRU&amp;lang=en_US&amp;offset=0&amp;query=any,contains,991001606459702656","Catalog Record")</f>
        <v/>
      </c>
      <c r="AT908">
        <f>HYPERLINK("http://www.worldcat.org/oclc/20693098","WorldCat Record")</f>
        <v/>
      </c>
      <c r="AU908" t="inlineStr">
        <is>
          <t>11165366:eng</t>
        </is>
      </c>
      <c r="AV908" t="inlineStr">
        <is>
          <t>20693098</t>
        </is>
      </c>
      <c r="AW908" t="inlineStr">
        <is>
          <t>991001606459702656</t>
        </is>
      </c>
      <c r="AX908" t="inlineStr">
        <is>
          <t>991001606459702656</t>
        </is>
      </c>
      <c r="AY908" t="inlineStr">
        <is>
          <t>2256474740002656</t>
        </is>
      </c>
      <c r="AZ908" t="inlineStr">
        <is>
          <t>BOOK</t>
        </is>
      </c>
      <c r="BB908" t="inlineStr">
        <is>
          <t>9781559700542</t>
        </is>
      </c>
      <c r="BC908" t="inlineStr">
        <is>
          <t>32285000241447</t>
        </is>
      </c>
      <c r="BD908" t="inlineStr">
        <is>
          <t>893690703</t>
        </is>
      </c>
    </row>
    <row r="909">
      <c r="A909" t="inlineStr">
        <is>
          <t>No</t>
        </is>
      </c>
      <c r="B909" t="inlineStr">
        <is>
          <t>GN668 .D5613 1976</t>
        </is>
      </c>
      <c r="C909" t="inlineStr">
        <is>
          <t>0                      GN 0668000D  5613        1976</t>
        </is>
      </c>
      <c r="D909" t="inlineStr">
        <is>
          <t>The forgotten people of the Pacific / Philippe Diolé. ; translated from the French by J. F. Bernard.</t>
        </is>
      </c>
      <c r="F909" t="inlineStr">
        <is>
          <t>No</t>
        </is>
      </c>
      <c r="G909" t="inlineStr">
        <is>
          <t>1</t>
        </is>
      </c>
      <c r="H909" t="inlineStr">
        <is>
          <t>No</t>
        </is>
      </c>
      <c r="I909" t="inlineStr">
        <is>
          <t>No</t>
        </is>
      </c>
      <c r="J909" t="inlineStr">
        <is>
          <t>0</t>
        </is>
      </c>
      <c r="K909" t="inlineStr">
        <is>
          <t>Diolé, Philippe.</t>
        </is>
      </c>
      <c r="L909" t="inlineStr">
        <is>
          <t>Woodbury, N.Y. : Barron's, c1976.</t>
        </is>
      </c>
      <c r="M909" t="inlineStr">
        <is>
          <t>1976</t>
        </is>
      </c>
      <c r="N909" t="inlineStr">
        <is>
          <t>1st U.S. ed.</t>
        </is>
      </c>
      <c r="O909" t="inlineStr">
        <is>
          <t>eng</t>
        </is>
      </c>
      <c r="P909" t="inlineStr">
        <is>
          <t>nyu</t>
        </is>
      </c>
      <c r="R909" t="inlineStr">
        <is>
          <t xml:space="preserve">GN </t>
        </is>
      </c>
      <c r="S909" t="n">
        <v>3</v>
      </c>
      <c r="T909" t="n">
        <v>3</v>
      </c>
      <c r="U909" t="inlineStr">
        <is>
          <t>1994-12-03</t>
        </is>
      </c>
      <c r="V909" t="inlineStr">
        <is>
          <t>1994-12-03</t>
        </is>
      </c>
      <c r="W909" t="inlineStr">
        <is>
          <t>1990-10-01</t>
        </is>
      </c>
      <c r="X909" t="inlineStr">
        <is>
          <t>1990-10-01</t>
        </is>
      </c>
      <c r="Y909" t="n">
        <v>218</v>
      </c>
      <c r="Z909" t="n">
        <v>186</v>
      </c>
      <c r="AA909" t="n">
        <v>207</v>
      </c>
      <c r="AB909" t="n">
        <v>2</v>
      </c>
      <c r="AC909" t="n">
        <v>2</v>
      </c>
      <c r="AD909" t="n">
        <v>2</v>
      </c>
      <c r="AE909" t="n">
        <v>2</v>
      </c>
      <c r="AF909" t="n">
        <v>0</v>
      </c>
      <c r="AG909" t="n">
        <v>0</v>
      </c>
      <c r="AH909" t="n">
        <v>0</v>
      </c>
      <c r="AI909" t="n">
        <v>0</v>
      </c>
      <c r="AJ909" t="n">
        <v>1</v>
      </c>
      <c r="AK909" t="n">
        <v>1</v>
      </c>
      <c r="AL909" t="n">
        <v>1</v>
      </c>
      <c r="AM909" t="n">
        <v>1</v>
      </c>
      <c r="AN909" t="n">
        <v>0</v>
      </c>
      <c r="AO909" t="n">
        <v>0</v>
      </c>
      <c r="AP909" t="inlineStr">
        <is>
          <t>No</t>
        </is>
      </c>
      <c r="AQ909" t="inlineStr">
        <is>
          <t>No</t>
        </is>
      </c>
      <c r="AS909">
        <f>HYPERLINK("https://creighton-primo.hosted.exlibrisgroup.com/primo-explore/search?tab=default_tab&amp;search_scope=EVERYTHING&amp;vid=01CRU&amp;lang=en_US&amp;offset=0&amp;query=any,contains,991004286839702656","Catalog Record")</f>
        <v/>
      </c>
      <c r="AT909">
        <f>HYPERLINK("http://www.worldcat.org/oclc/2929226","WorldCat Record")</f>
        <v/>
      </c>
      <c r="AU909" t="inlineStr">
        <is>
          <t>6758223:eng</t>
        </is>
      </c>
      <c r="AV909" t="inlineStr">
        <is>
          <t>2929226</t>
        </is>
      </c>
      <c r="AW909" t="inlineStr">
        <is>
          <t>991004286839702656</t>
        </is>
      </c>
      <c r="AX909" t="inlineStr">
        <is>
          <t>991004286839702656</t>
        </is>
      </c>
      <c r="AY909" t="inlineStr">
        <is>
          <t>2267747220002656</t>
        </is>
      </c>
      <c r="AZ909" t="inlineStr">
        <is>
          <t>BOOK</t>
        </is>
      </c>
      <c r="BB909" t="inlineStr">
        <is>
          <t>9780812051292</t>
        </is>
      </c>
      <c r="BC909" t="inlineStr">
        <is>
          <t>32285000317338</t>
        </is>
      </c>
      <c r="BD909" t="inlineStr">
        <is>
          <t>893599661</t>
        </is>
      </c>
    </row>
    <row r="910">
      <c r="A910" t="inlineStr">
        <is>
          <t>No</t>
        </is>
      </c>
      <c r="B910" t="inlineStr">
        <is>
          <t>GN668 .E44 1976</t>
        </is>
      </c>
      <c r="C910" t="inlineStr">
        <is>
          <t>0                      GN 0668000E  44          1976</t>
        </is>
      </c>
      <c r="D910" t="inlineStr">
        <is>
          <t>Social anthropology in Melanesia : a review of research / A. P. Elkin</t>
        </is>
      </c>
      <c r="F910" t="inlineStr">
        <is>
          <t>No</t>
        </is>
      </c>
      <c r="G910" t="inlineStr">
        <is>
          <t>1</t>
        </is>
      </c>
      <c r="H910" t="inlineStr">
        <is>
          <t>No</t>
        </is>
      </c>
      <c r="I910" t="inlineStr">
        <is>
          <t>No</t>
        </is>
      </c>
      <c r="J910" t="inlineStr">
        <is>
          <t>0</t>
        </is>
      </c>
      <c r="K910" t="inlineStr">
        <is>
          <t>Elkin, A. P. (Adolphus Peter), 1891-1979.</t>
        </is>
      </c>
      <c r="L910" t="inlineStr">
        <is>
          <t>Westport, Conn. : Greenwood Press, 1976.</t>
        </is>
      </c>
      <c r="M910" t="inlineStr">
        <is>
          <t>1976</t>
        </is>
      </c>
      <c r="O910" t="inlineStr">
        <is>
          <t>eng</t>
        </is>
      </c>
      <c r="P910" t="inlineStr">
        <is>
          <t>ctu</t>
        </is>
      </c>
      <c r="R910" t="inlineStr">
        <is>
          <t xml:space="preserve">GN </t>
        </is>
      </c>
      <c r="S910" t="n">
        <v>2</v>
      </c>
      <c r="T910" t="n">
        <v>2</v>
      </c>
      <c r="U910" t="inlineStr">
        <is>
          <t>2010-06-22</t>
        </is>
      </c>
      <c r="V910" t="inlineStr">
        <is>
          <t>2010-06-22</t>
        </is>
      </c>
      <c r="W910" t="inlineStr">
        <is>
          <t>1997-05-29</t>
        </is>
      </c>
      <c r="X910" t="inlineStr">
        <is>
          <t>1997-05-29</t>
        </is>
      </c>
      <c r="Y910" t="n">
        <v>62</v>
      </c>
      <c r="Z910" t="n">
        <v>51</v>
      </c>
      <c r="AA910" t="n">
        <v>278</v>
      </c>
      <c r="AB910" t="n">
        <v>1</v>
      </c>
      <c r="AC910" t="n">
        <v>1</v>
      </c>
      <c r="AD910" t="n">
        <v>1</v>
      </c>
      <c r="AE910" t="n">
        <v>8</v>
      </c>
      <c r="AF910" t="n">
        <v>1</v>
      </c>
      <c r="AG910" t="n">
        <v>4</v>
      </c>
      <c r="AH910" t="n">
        <v>1</v>
      </c>
      <c r="AI910" t="n">
        <v>3</v>
      </c>
      <c r="AJ910" t="n">
        <v>0</v>
      </c>
      <c r="AK910" t="n">
        <v>5</v>
      </c>
      <c r="AL910" t="n">
        <v>0</v>
      </c>
      <c r="AM910" t="n">
        <v>0</v>
      </c>
      <c r="AN910" t="n">
        <v>0</v>
      </c>
      <c r="AO910" t="n">
        <v>0</v>
      </c>
      <c r="AP910" t="inlineStr">
        <is>
          <t>No</t>
        </is>
      </c>
      <c r="AQ910" t="inlineStr">
        <is>
          <t>Yes</t>
        </is>
      </c>
      <c r="AR910">
        <f>HYPERLINK("http://catalog.hathitrust.org/Record/004421991","HathiTrust Record")</f>
        <v/>
      </c>
      <c r="AS910">
        <f>HYPERLINK("https://creighton-primo.hosted.exlibrisgroup.com/primo-explore/search?tab=default_tab&amp;search_scope=EVERYTHING&amp;vid=01CRU&amp;lang=en_US&amp;offset=0&amp;query=any,contains,991004030469702656","Catalog Record")</f>
        <v/>
      </c>
      <c r="AT910">
        <f>HYPERLINK("http://www.worldcat.org/oclc/2151135","WorldCat Record")</f>
        <v/>
      </c>
      <c r="AU910" t="inlineStr">
        <is>
          <t>1823161:eng</t>
        </is>
      </c>
      <c r="AV910" t="inlineStr">
        <is>
          <t>2151135</t>
        </is>
      </c>
      <c r="AW910" t="inlineStr">
        <is>
          <t>991004030469702656</t>
        </is>
      </c>
      <c r="AX910" t="inlineStr">
        <is>
          <t>991004030469702656</t>
        </is>
      </c>
      <c r="AY910" t="inlineStr">
        <is>
          <t>2261430700002656</t>
        </is>
      </c>
      <c r="AZ910" t="inlineStr">
        <is>
          <t>BOOK</t>
        </is>
      </c>
      <c r="BB910" t="inlineStr">
        <is>
          <t>9780837189338</t>
        </is>
      </c>
      <c r="BC910" t="inlineStr">
        <is>
          <t>32285002697141</t>
        </is>
      </c>
      <c r="BD910" t="inlineStr">
        <is>
          <t>893627947</t>
        </is>
      </c>
    </row>
    <row r="911">
      <c r="A911" t="inlineStr">
        <is>
          <t>No</t>
        </is>
      </c>
      <c r="B911" t="inlineStr">
        <is>
          <t>GN670 .B36</t>
        </is>
      </c>
      <c r="C911" t="inlineStr">
        <is>
          <t>0                      GN 0670000B  36</t>
        </is>
      </c>
      <c r="D911" t="inlineStr">
        <is>
          <t>The Polynesians : prehistory of an island people / Peter Bellwood.</t>
        </is>
      </c>
      <c r="F911" t="inlineStr">
        <is>
          <t>No</t>
        </is>
      </c>
      <c r="G911" t="inlineStr">
        <is>
          <t>1</t>
        </is>
      </c>
      <c r="H911" t="inlineStr">
        <is>
          <t>No</t>
        </is>
      </c>
      <c r="I911" t="inlineStr">
        <is>
          <t>No</t>
        </is>
      </c>
      <c r="J911" t="inlineStr">
        <is>
          <t>0</t>
        </is>
      </c>
      <c r="K911" t="inlineStr">
        <is>
          <t>Bellwood, Peter S.</t>
        </is>
      </c>
      <c r="L911" t="inlineStr">
        <is>
          <t>London : Thames and Hudson, 1978.</t>
        </is>
      </c>
      <c r="M911" t="inlineStr">
        <is>
          <t>1978</t>
        </is>
      </c>
      <c r="O911" t="inlineStr">
        <is>
          <t>eng</t>
        </is>
      </c>
      <c r="P911" t="inlineStr">
        <is>
          <t>enk</t>
        </is>
      </c>
      <c r="Q911" t="inlineStr">
        <is>
          <t>Ancient peoples and places</t>
        </is>
      </c>
      <c r="R911" t="inlineStr">
        <is>
          <t xml:space="preserve">GN </t>
        </is>
      </c>
      <c r="S911" t="n">
        <v>5</v>
      </c>
      <c r="T911" t="n">
        <v>5</v>
      </c>
      <c r="U911" t="inlineStr">
        <is>
          <t>2010-06-22</t>
        </is>
      </c>
      <c r="V911" t="inlineStr">
        <is>
          <t>2010-06-22</t>
        </is>
      </c>
      <c r="W911" t="inlineStr">
        <is>
          <t>1990-10-01</t>
        </is>
      </c>
      <c r="X911" t="inlineStr">
        <is>
          <t>1990-10-01</t>
        </is>
      </c>
      <c r="Y911" t="n">
        <v>797</v>
      </c>
      <c r="Z911" t="n">
        <v>606</v>
      </c>
      <c r="AA911" t="n">
        <v>713</v>
      </c>
      <c r="AB911" t="n">
        <v>3</v>
      </c>
      <c r="AC911" t="n">
        <v>5</v>
      </c>
      <c r="AD911" t="n">
        <v>15</v>
      </c>
      <c r="AE911" t="n">
        <v>20</v>
      </c>
      <c r="AF911" t="n">
        <v>5</v>
      </c>
      <c r="AG911" t="n">
        <v>7</v>
      </c>
      <c r="AH911" t="n">
        <v>3</v>
      </c>
      <c r="AI911" t="n">
        <v>4</v>
      </c>
      <c r="AJ911" t="n">
        <v>10</v>
      </c>
      <c r="AK911" t="n">
        <v>10</v>
      </c>
      <c r="AL911" t="n">
        <v>2</v>
      </c>
      <c r="AM911" t="n">
        <v>4</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HYPERLINK("https://creighton-primo.hosted.exlibrisgroup.com/primo-explore/search?tab=default_tab&amp;search_scope=EVERYTHING&amp;vid=01CRU&amp;lang=en_US&amp;offset=0&amp;query=any,contains,991004617849702656","Catalog Record")</f>
        <v/>
      </c>
      <c r="AT911">
        <f>HYPERLINK("http://www.worldcat.org/oclc/4271708","WorldCat Record")</f>
        <v/>
      </c>
      <c r="AU911" t="inlineStr">
        <is>
          <t>325106801:eng</t>
        </is>
      </c>
      <c r="AV911" t="inlineStr">
        <is>
          <t>4271708</t>
        </is>
      </c>
      <c r="AW911" t="inlineStr">
        <is>
          <t>991004617849702656</t>
        </is>
      </c>
      <c r="AX911" t="inlineStr">
        <is>
          <t>991004617849702656</t>
        </is>
      </c>
      <c r="AY911" t="inlineStr">
        <is>
          <t>2257983640002656</t>
        </is>
      </c>
      <c r="AZ911" t="inlineStr">
        <is>
          <t>BOOK</t>
        </is>
      </c>
      <c r="BB911" t="inlineStr">
        <is>
          <t>9780500020937</t>
        </is>
      </c>
      <c r="BC911" t="inlineStr">
        <is>
          <t>32285000317346</t>
        </is>
      </c>
      <c r="BD911" t="inlineStr">
        <is>
          <t>893807281</t>
        </is>
      </c>
    </row>
    <row r="912">
      <c r="A912" t="inlineStr">
        <is>
          <t>No</t>
        </is>
      </c>
      <c r="B912" t="inlineStr">
        <is>
          <t>GN671.C3 W55 1995</t>
        </is>
      </c>
      <c r="C912" t="inlineStr">
        <is>
          <t>0                      GN 0671000C  3                  W  55          1995</t>
        </is>
      </c>
      <c r="D912" t="inlineStr">
        <is>
          <t>Speaking to power : gender and politics in the western Pacific / Lynn B. Wilson.</t>
        </is>
      </c>
      <c r="F912" t="inlineStr">
        <is>
          <t>No</t>
        </is>
      </c>
      <c r="G912" t="inlineStr">
        <is>
          <t>1</t>
        </is>
      </c>
      <c r="H912" t="inlineStr">
        <is>
          <t>No</t>
        </is>
      </c>
      <c r="I912" t="inlineStr">
        <is>
          <t>No</t>
        </is>
      </c>
      <c r="J912" t="inlineStr">
        <is>
          <t>0</t>
        </is>
      </c>
      <c r="K912" t="inlineStr">
        <is>
          <t>Wilson, Lynn B., 1953-</t>
        </is>
      </c>
      <c r="L912" t="inlineStr">
        <is>
          <t>New York : Routledge, 1995.</t>
        </is>
      </c>
      <c r="M912" t="inlineStr">
        <is>
          <t>1995</t>
        </is>
      </c>
      <c r="O912" t="inlineStr">
        <is>
          <t>eng</t>
        </is>
      </c>
      <c r="P912" t="inlineStr">
        <is>
          <t>nyu</t>
        </is>
      </c>
      <c r="R912" t="inlineStr">
        <is>
          <t xml:space="preserve">GN </t>
        </is>
      </c>
      <c r="S912" t="n">
        <v>4</v>
      </c>
      <c r="T912" t="n">
        <v>4</v>
      </c>
      <c r="U912" t="inlineStr">
        <is>
          <t>1998-03-15</t>
        </is>
      </c>
      <c r="V912" t="inlineStr">
        <is>
          <t>1998-03-15</t>
        </is>
      </c>
      <c r="W912" t="inlineStr">
        <is>
          <t>1997-05-29</t>
        </is>
      </c>
      <c r="X912" t="inlineStr">
        <is>
          <t>1997-05-29</t>
        </is>
      </c>
      <c r="Y912" t="n">
        <v>297</v>
      </c>
      <c r="Z912" t="n">
        <v>208</v>
      </c>
      <c r="AA912" t="n">
        <v>218</v>
      </c>
      <c r="AB912" t="n">
        <v>2</v>
      </c>
      <c r="AC912" t="n">
        <v>2</v>
      </c>
      <c r="AD912" t="n">
        <v>8</v>
      </c>
      <c r="AE912" t="n">
        <v>8</v>
      </c>
      <c r="AF912" t="n">
        <v>0</v>
      </c>
      <c r="AG912" t="n">
        <v>0</v>
      </c>
      <c r="AH912" t="n">
        <v>4</v>
      </c>
      <c r="AI912" t="n">
        <v>4</v>
      </c>
      <c r="AJ912" t="n">
        <v>5</v>
      </c>
      <c r="AK912" t="n">
        <v>5</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HYPERLINK("https://creighton-primo.hosted.exlibrisgroup.com/primo-explore/search?tab=default_tab&amp;search_scope=EVERYTHING&amp;vid=01CRU&amp;lang=en_US&amp;offset=0&amp;query=any,contains,991002349289702656","Catalog Record")</f>
        <v/>
      </c>
      <c r="AT912">
        <f>HYPERLINK("http://www.worldcat.org/oclc/30594107","WorldCat Record")</f>
        <v/>
      </c>
      <c r="AU912" t="inlineStr">
        <is>
          <t>32774603:eng</t>
        </is>
      </c>
      <c r="AV912" t="inlineStr">
        <is>
          <t>30594107</t>
        </is>
      </c>
      <c r="AW912" t="inlineStr">
        <is>
          <t>991002349289702656</t>
        </is>
      </c>
      <c r="AX912" t="inlineStr">
        <is>
          <t>991002349289702656</t>
        </is>
      </c>
      <c r="AY912" t="inlineStr">
        <is>
          <t>2263823090002656</t>
        </is>
      </c>
      <c r="AZ912" t="inlineStr">
        <is>
          <t>BOOK</t>
        </is>
      </c>
      <c r="BB912" t="inlineStr">
        <is>
          <t>9780415909235</t>
        </is>
      </c>
      <c r="BC912" t="inlineStr">
        <is>
          <t>32285002612462</t>
        </is>
      </c>
      <c r="BD912" t="inlineStr">
        <is>
          <t>893809437</t>
        </is>
      </c>
    </row>
    <row r="913">
      <c r="A913" t="inlineStr">
        <is>
          <t>No</t>
        </is>
      </c>
      <c r="B913" t="inlineStr">
        <is>
          <t>GN671.N5 B73</t>
        </is>
      </c>
      <c r="C913" t="inlineStr">
        <is>
          <t>0                      GN 0671000N  5                  B  73</t>
        </is>
      </c>
      <c r="D913" t="inlineStr">
        <is>
          <t>Highland peoples of New Guinea / Paula Brown.</t>
        </is>
      </c>
      <c r="F913" t="inlineStr">
        <is>
          <t>No</t>
        </is>
      </c>
      <c r="G913" t="inlineStr">
        <is>
          <t>1</t>
        </is>
      </c>
      <c r="H913" t="inlineStr">
        <is>
          <t>No</t>
        </is>
      </c>
      <c r="I913" t="inlineStr">
        <is>
          <t>No</t>
        </is>
      </c>
      <c r="J913" t="inlineStr">
        <is>
          <t>0</t>
        </is>
      </c>
      <c r="K913" t="inlineStr">
        <is>
          <t>Brown, Paula, 1925-2009.</t>
        </is>
      </c>
      <c r="L913" t="inlineStr">
        <is>
          <t>Cambridge ; New York : Cambridge University Press, 1978.</t>
        </is>
      </c>
      <c r="M913" t="inlineStr">
        <is>
          <t>1978</t>
        </is>
      </c>
      <c r="O913" t="inlineStr">
        <is>
          <t>eng</t>
        </is>
      </c>
      <c r="P913" t="inlineStr">
        <is>
          <t>mau</t>
        </is>
      </c>
      <c r="R913" t="inlineStr">
        <is>
          <t xml:space="preserve">GN </t>
        </is>
      </c>
      <c r="S913" t="n">
        <v>33</v>
      </c>
      <c r="T913" t="n">
        <v>33</v>
      </c>
      <c r="U913" t="inlineStr">
        <is>
          <t>2006-04-05</t>
        </is>
      </c>
      <c r="V913" t="inlineStr">
        <is>
          <t>2006-04-05</t>
        </is>
      </c>
      <c r="W913" t="inlineStr">
        <is>
          <t>1997-06-30</t>
        </is>
      </c>
      <c r="X913" t="inlineStr">
        <is>
          <t>1997-06-30</t>
        </is>
      </c>
      <c r="Y913" t="n">
        <v>705</v>
      </c>
      <c r="Z913" t="n">
        <v>521</v>
      </c>
      <c r="AA913" t="n">
        <v>531</v>
      </c>
      <c r="AB913" t="n">
        <v>4</v>
      </c>
      <c r="AC913" t="n">
        <v>4</v>
      </c>
      <c r="AD913" t="n">
        <v>20</v>
      </c>
      <c r="AE913" t="n">
        <v>20</v>
      </c>
      <c r="AF913" t="n">
        <v>8</v>
      </c>
      <c r="AG913" t="n">
        <v>8</v>
      </c>
      <c r="AH913" t="n">
        <v>5</v>
      </c>
      <c r="AI913" t="n">
        <v>5</v>
      </c>
      <c r="AJ913" t="n">
        <v>8</v>
      </c>
      <c r="AK913" t="n">
        <v>8</v>
      </c>
      <c r="AL913" t="n">
        <v>3</v>
      </c>
      <c r="AM913" t="n">
        <v>3</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HYPERLINK("https://creighton-primo.hosted.exlibrisgroup.com/primo-explore/search?tab=default_tab&amp;search_scope=EVERYTHING&amp;vid=01CRU&amp;lang=en_US&amp;offset=0&amp;query=any,contains,991004362379702656","Catalog Record")</f>
        <v/>
      </c>
      <c r="AT913">
        <f>HYPERLINK("http://www.worldcat.org/oclc/3168079","WorldCat Record")</f>
        <v/>
      </c>
      <c r="AU913" t="inlineStr">
        <is>
          <t>346635311:eng</t>
        </is>
      </c>
      <c r="AV913" t="inlineStr">
        <is>
          <t>3168079</t>
        </is>
      </c>
      <c r="AW913" t="inlineStr">
        <is>
          <t>991004362379702656</t>
        </is>
      </c>
      <c r="AX913" t="inlineStr">
        <is>
          <t>991004362379702656</t>
        </is>
      </c>
      <c r="AY913" t="inlineStr">
        <is>
          <t>2262282520002656</t>
        </is>
      </c>
      <c r="AZ913" t="inlineStr">
        <is>
          <t>BOOK</t>
        </is>
      </c>
      <c r="BB913" t="inlineStr">
        <is>
          <t>9780521217484</t>
        </is>
      </c>
      <c r="BC913" t="inlineStr">
        <is>
          <t>32285002754272</t>
        </is>
      </c>
      <c r="BD913" t="inlineStr">
        <is>
          <t>893343743</t>
        </is>
      </c>
    </row>
    <row r="914">
      <c r="A914" t="inlineStr">
        <is>
          <t>No</t>
        </is>
      </c>
      <c r="B914" t="inlineStr">
        <is>
          <t>GN671.N5 G45 1986</t>
        </is>
      </c>
      <c r="C914" t="inlineStr">
        <is>
          <t>0                      GN 0671000N  5                  G  45          1986</t>
        </is>
      </c>
      <c r="D914" t="inlineStr">
        <is>
          <t>Gender and society in the New Guinea Highlands : an anthropological perspective on antagonism toward women / Marilyn G. Gelber.</t>
        </is>
      </c>
      <c r="F914" t="inlineStr">
        <is>
          <t>No</t>
        </is>
      </c>
      <c r="G914" t="inlineStr">
        <is>
          <t>1</t>
        </is>
      </c>
      <c r="H914" t="inlineStr">
        <is>
          <t>No</t>
        </is>
      </c>
      <c r="I914" t="inlineStr">
        <is>
          <t>No</t>
        </is>
      </c>
      <c r="J914" t="inlineStr">
        <is>
          <t>0</t>
        </is>
      </c>
      <c r="K914" t="inlineStr">
        <is>
          <t>Gelber, Marilyn G.</t>
        </is>
      </c>
      <c r="L914" t="inlineStr">
        <is>
          <t>Boulder : Westview Press, 1986.</t>
        </is>
      </c>
      <c r="M914" t="inlineStr">
        <is>
          <t>1986</t>
        </is>
      </c>
      <c r="O914" t="inlineStr">
        <is>
          <t>eng</t>
        </is>
      </c>
      <c r="P914" t="inlineStr">
        <is>
          <t>cou</t>
        </is>
      </c>
      <c r="Q914" t="inlineStr">
        <is>
          <t>Women in cross-cultural perspective</t>
        </is>
      </c>
      <c r="R914" t="inlineStr">
        <is>
          <t xml:space="preserve">GN </t>
        </is>
      </c>
      <c r="S914" t="n">
        <v>28</v>
      </c>
      <c r="T914" t="n">
        <v>28</v>
      </c>
      <c r="U914" t="inlineStr">
        <is>
          <t>1999-01-27</t>
        </is>
      </c>
      <c r="V914" t="inlineStr">
        <is>
          <t>1999-01-27</t>
        </is>
      </c>
      <c r="W914" t="inlineStr">
        <is>
          <t>1990-09-24</t>
        </is>
      </c>
      <c r="X914" t="inlineStr">
        <is>
          <t>1990-09-24</t>
        </is>
      </c>
      <c r="Y914" t="n">
        <v>365</v>
      </c>
      <c r="Z914" t="n">
        <v>282</v>
      </c>
      <c r="AA914" t="n">
        <v>296</v>
      </c>
      <c r="AB914" t="n">
        <v>3</v>
      </c>
      <c r="AC914" t="n">
        <v>3</v>
      </c>
      <c r="AD914" t="n">
        <v>6</v>
      </c>
      <c r="AE914" t="n">
        <v>6</v>
      </c>
      <c r="AF914" t="n">
        <v>1</v>
      </c>
      <c r="AG914" t="n">
        <v>1</v>
      </c>
      <c r="AH914" t="n">
        <v>2</v>
      </c>
      <c r="AI914" t="n">
        <v>2</v>
      </c>
      <c r="AJ914" t="n">
        <v>2</v>
      </c>
      <c r="AK914" t="n">
        <v>2</v>
      </c>
      <c r="AL914" t="n">
        <v>2</v>
      </c>
      <c r="AM914" t="n">
        <v>2</v>
      </c>
      <c r="AN914" t="n">
        <v>0</v>
      </c>
      <c r="AO914" t="n">
        <v>0</v>
      </c>
      <c r="AP914" t="inlineStr">
        <is>
          <t>No</t>
        </is>
      </c>
      <c r="AQ914" t="inlineStr">
        <is>
          <t>Yes</t>
        </is>
      </c>
      <c r="AR914">
        <f>HYPERLINK("http://catalog.hathitrust.org/Record/000445315","HathiTrust Record")</f>
        <v/>
      </c>
      <c r="AS914">
        <f>HYPERLINK("https://creighton-primo.hosted.exlibrisgroup.com/primo-explore/search?tab=default_tab&amp;search_scope=EVERYTHING&amp;vid=01CRU&amp;lang=en_US&amp;offset=0&amp;query=any,contains,991000855589702656","Catalog Record")</f>
        <v/>
      </c>
      <c r="AT914">
        <f>HYPERLINK("http://www.worldcat.org/oclc/13644341","WorldCat Record")</f>
        <v/>
      </c>
      <c r="AU914" t="inlineStr">
        <is>
          <t>257245441:eng</t>
        </is>
      </c>
      <c r="AV914" t="inlineStr">
        <is>
          <t>13644341</t>
        </is>
      </c>
      <c r="AW914" t="inlineStr">
        <is>
          <t>991000855589702656</t>
        </is>
      </c>
      <c r="AX914" t="inlineStr">
        <is>
          <t>991000855589702656</t>
        </is>
      </c>
      <c r="AY914" t="inlineStr">
        <is>
          <t>2269213060002656</t>
        </is>
      </c>
      <c r="AZ914" t="inlineStr">
        <is>
          <t>BOOK</t>
        </is>
      </c>
      <c r="BB914" t="inlineStr">
        <is>
          <t>9780813372631</t>
        </is>
      </c>
      <c r="BC914" t="inlineStr">
        <is>
          <t>32285000278373</t>
        </is>
      </c>
      <c r="BD914" t="inlineStr">
        <is>
          <t>893720821</t>
        </is>
      </c>
    </row>
    <row r="915">
      <c r="A915" t="inlineStr">
        <is>
          <t>No</t>
        </is>
      </c>
      <c r="B915" t="inlineStr">
        <is>
          <t>GN671.N5 H3</t>
        </is>
      </c>
      <c r="C915" t="inlineStr">
        <is>
          <t>0                      GN 0671000N  5                  H  3</t>
        </is>
      </c>
      <c r="D915" t="inlineStr">
        <is>
          <t>Handbook on Netherlands New Guinea.</t>
        </is>
      </c>
      <c r="F915" t="inlineStr">
        <is>
          <t>No</t>
        </is>
      </c>
      <c r="G915" t="inlineStr">
        <is>
          <t>1</t>
        </is>
      </c>
      <c r="H915" t="inlineStr">
        <is>
          <t>No</t>
        </is>
      </c>
      <c r="I915" t="inlineStr">
        <is>
          <t>No</t>
        </is>
      </c>
      <c r="J915" t="inlineStr">
        <is>
          <t>0</t>
        </is>
      </c>
      <c r="L915" t="inlineStr">
        <is>
          <t>[Rotterdam] : New Guinea Institute of Rotterdam, 1958</t>
        </is>
      </c>
      <c r="M915" t="inlineStr">
        <is>
          <t>1958</t>
        </is>
      </c>
      <c r="O915" t="inlineStr">
        <is>
          <t>eng</t>
        </is>
      </c>
      <c r="P915" t="inlineStr">
        <is>
          <t xml:space="preserve">ne </t>
        </is>
      </c>
      <c r="R915" t="inlineStr">
        <is>
          <t xml:space="preserve">GN </t>
        </is>
      </c>
      <c r="S915" t="n">
        <v>2</v>
      </c>
      <c r="T915" t="n">
        <v>2</v>
      </c>
      <c r="U915" t="inlineStr">
        <is>
          <t>1998-10-15</t>
        </is>
      </c>
      <c r="V915" t="inlineStr">
        <is>
          <t>1998-10-15</t>
        </is>
      </c>
      <c r="W915" t="inlineStr">
        <is>
          <t>1997-06-02</t>
        </is>
      </c>
      <c r="X915" t="inlineStr">
        <is>
          <t>1997-06-02</t>
        </is>
      </c>
      <c r="Y915" t="n">
        <v>39</v>
      </c>
      <c r="Z915" t="n">
        <v>33</v>
      </c>
      <c r="AA915" t="n">
        <v>34</v>
      </c>
      <c r="AB915" t="n">
        <v>1</v>
      </c>
      <c r="AC915" t="n">
        <v>1</v>
      </c>
      <c r="AD915" t="n">
        <v>1</v>
      </c>
      <c r="AE915" t="n">
        <v>1</v>
      </c>
      <c r="AF915" t="n">
        <v>0</v>
      </c>
      <c r="AG915" t="n">
        <v>0</v>
      </c>
      <c r="AH915" t="n">
        <v>0</v>
      </c>
      <c r="AI915" t="n">
        <v>0</v>
      </c>
      <c r="AJ915" t="n">
        <v>1</v>
      </c>
      <c r="AK915" t="n">
        <v>1</v>
      </c>
      <c r="AL915" t="n">
        <v>0</v>
      </c>
      <c r="AM915" t="n">
        <v>0</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HYPERLINK("https://creighton-primo.hosted.exlibrisgroup.com/primo-explore/search?tab=default_tab&amp;search_scope=EVERYTHING&amp;vid=01CRU&amp;lang=en_US&amp;offset=0&amp;query=any,contains,991000246439702656","Catalog Record")</f>
        <v/>
      </c>
      <c r="AT915">
        <f>HYPERLINK("http://www.worldcat.org/oclc/9712926","WorldCat Record")</f>
        <v/>
      </c>
      <c r="AU915" t="inlineStr">
        <is>
          <t>43149155:eng</t>
        </is>
      </c>
      <c r="AV915" t="inlineStr">
        <is>
          <t>9712926</t>
        </is>
      </c>
      <c r="AW915" t="inlineStr">
        <is>
          <t>991000246439702656</t>
        </is>
      </c>
      <c r="AX915" t="inlineStr">
        <is>
          <t>991000246439702656</t>
        </is>
      </c>
      <c r="AY915" t="inlineStr">
        <is>
          <t>2264355400002656</t>
        </is>
      </c>
      <c r="AZ915" t="inlineStr">
        <is>
          <t>BOOK</t>
        </is>
      </c>
      <c r="BC915" t="inlineStr">
        <is>
          <t>32285002697158</t>
        </is>
      </c>
      <c r="BD915" t="inlineStr">
        <is>
          <t>893345507</t>
        </is>
      </c>
    </row>
    <row r="916">
      <c r="A916" t="inlineStr">
        <is>
          <t>No</t>
        </is>
      </c>
      <c r="B916" t="inlineStr">
        <is>
          <t>GN671.N5 M3</t>
        </is>
      </c>
      <c r="C916" t="inlineStr">
        <is>
          <t>0                      GN 0671000N  5                  M  3</t>
        </is>
      </c>
      <c r="D916" t="inlineStr">
        <is>
          <t>Argonauts of the western Pacific : an account of native enterprise and adventure in the archipelagoes of Melanesian New Guinea / with a preface by Sir James George Frazer ...</t>
        </is>
      </c>
      <c r="F916" t="inlineStr">
        <is>
          <t>No</t>
        </is>
      </c>
      <c r="G916" t="inlineStr">
        <is>
          <t>1</t>
        </is>
      </c>
      <c r="H916" t="inlineStr">
        <is>
          <t>No</t>
        </is>
      </c>
      <c r="I916" t="inlineStr">
        <is>
          <t>No</t>
        </is>
      </c>
      <c r="J916" t="inlineStr">
        <is>
          <t>0</t>
        </is>
      </c>
      <c r="K916" t="inlineStr">
        <is>
          <t>Malinowski, Bronislaw, 1884-1942.</t>
        </is>
      </c>
      <c r="L916" t="inlineStr">
        <is>
          <t>London, Routledge &amp; Kegan Paul [1953]</t>
        </is>
      </c>
      <c r="M916" t="inlineStr">
        <is>
          <t>1953</t>
        </is>
      </c>
      <c r="O916" t="inlineStr">
        <is>
          <t>eng</t>
        </is>
      </c>
      <c r="P916" t="inlineStr">
        <is>
          <t xml:space="preserve">xx </t>
        </is>
      </c>
      <c r="Q916" t="inlineStr">
        <is>
          <t>Studies in economics and political science ; No. 65 in the series of monographs by writers connected with the London School of Economics and Political Science</t>
        </is>
      </c>
      <c r="R916" t="inlineStr">
        <is>
          <t xml:space="preserve">GN </t>
        </is>
      </c>
      <c r="S916" t="n">
        <v>9</v>
      </c>
      <c r="T916" t="n">
        <v>9</v>
      </c>
      <c r="U916" t="inlineStr">
        <is>
          <t>2004-04-20</t>
        </is>
      </c>
      <c r="V916" t="inlineStr">
        <is>
          <t>2004-04-20</t>
        </is>
      </c>
      <c r="W916" t="inlineStr">
        <is>
          <t>1997-05-28</t>
        </is>
      </c>
      <c r="X916" t="inlineStr">
        <is>
          <t>1997-05-28</t>
        </is>
      </c>
      <c r="Y916" t="n">
        <v>25</v>
      </c>
      <c r="Z916" t="n">
        <v>15</v>
      </c>
      <c r="AA916" t="n">
        <v>1045</v>
      </c>
      <c r="AB916" t="n">
        <v>1</v>
      </c>
      <c r="AC916" t="n">
        <v>8</v>
      </c>
      <c r="AD916" t="n">
        <v>1</v>
      </c>
      <c r="AE916" t="n">
        <v>50</v>
      </c>
      <c r="AF916" t="n">
        <v>0</v>
      </c>
      <c r="AG916" t="n">
        <v>24</v>
      </c>
      <c r="AH916" t="n">
        <v>0</v>
      </c>
      <c r="AI916" t="n">
        <v>8</v>
      </c>
      <c r="AJ916" t="n">
        <v>1</v>
      </c>
      <c r="AK916" t="n">
        <v>21</v>
      </c>
      <c r="AL916" t="n">
        <v>0</v>
      </c>
      <c r="AM916" t="n">
        <v>7</v>
      </c>
      <c r="AN916" t="n">
        <v>0</v>
      </c>
      <c r="AO916" t="n">
        <v>1</v>
      </c>
      <c r="AP916" t="inlineStr">
        <is>
          <t>No</t>
        </is>
      </c>
      <c r="AQ916" t="inlineStr">
        <is>
          <t>No</t>
        </is>
      </c>
      <c r="AS916">
        <f>HYPERLINK("https://creighton-primo.hosted.exlibrisgroup.com/primo-explore/search?tab=default_tab&amp;search_scope=EVERYTHING&amp;vid=01CRU&amp;lang=en_US&amp;offset=0&amp;query=any,contains,991003809039702656","Catalog Record")</f>
        <v/>
      </c>
      <c r="AT916">
        <f>HYPERLINK("http://www.worldcat.org/oclc/1533301","WorldCat Record")</f>
        <v/>
      </c>
      <c r="AU916" t="inlineStr">
        <is>
          <t>487664:eng</t>
        </is>
      </c>
      <c r="AV916" t="inlineStr">
        <is>
          <t>1533301</t>
        </is>
      </c>
      <c r="AW916" t="inlineStr">
        <is>
          <t>991003809039702656</t>
        </is>
      </c>
      <c r="AX916" t="inlineStr">
        <is>
          <t>991003809039702656</t>
        </is>
      </c>
      <c r="AY916" t="inlineStr">
        <is>
          <t>2272641510002656</t>
        </is>
      </c>
      <c r="AZ916" t="inlineStr">
        <is>
          <t>BOOK</t>
        </is>
      </c>
      <c r="BC916" t="inlineStr">
        <is>
          <t>32285002697166</t>
        </is>
      </c>
      <c r="BD916" t="inlineStr">
        <is>
          <t>893512382</t>
        </is>
      </c>
    </row>
    <row r="917">
      <c r="A917" t="inlineStr">
        <is>
          <t>No</t>
        </is>
      </c>
      <c r="B917" t="inlineStr">
        <is>
          <t>GN671.N5 M4</t>
        </is>
      </c>
      <c r="C917" t="inlineStr">
        <is>
          <t>0                      GN 0671000N  5                  M  4</t>
        </is>
      </c>
      <c r="D917" t="inlineStr">
        <is>
          <t>Growing up in New Guinea; a comparative study of primitive education, by Margaret Mead.</t>
        </is>
      </c>
      <c r="F917" t="inlineStr">
        <is>
          <t>No</t>
        </is>
      </c>
      <c r="G917" t="inlineStr">
        <is>
          <t>1</t>
        </is>
      </c>
      <c r="H917" t="inlineStr">
        <is>
          <t>No</t>
        </is>
      </c>
      <c r="I917" t="inlineStr">
        <is>
          <t>No</t>
        </is>
      </c>
      <c r="J917" t="inlineStr">
        <is>
          <t>0</t>
        </is>
      </c>
      <c r="K917" t="inlineStr">
        <is>
          <t>Mead, Margaret, 1901-1978.</t>
        </is>
      </c>
      <c r="L917" t="inlineStr">
        <is>
          <t>New York, Blue Ribbon Books [c1930]</t>
        </is>
      </c>
      <c r="M917" t="inlineStr">
        <is>
          <t>1930</t>
        </is>
      </c>
      <c r="O917" t="inlineStr">
        <is>
          <t>eng</t>
        </is>
      </c>
      <c r="P917" t="inlineStr">
        <is>
          <t>nyu</t>
        </is>
      </c>
      <c r="R917" t="inlineStr">
        <is>
          <t xml:space="preserve">GN </t>
        </is>
      </c>
      <c r="S917" t="n">
        <v>10</v>
      </c>
      <c r="T917" t="n">
        <v>10</v>
      </c>
      <c r="U917" t="inlineStr">
        <is>
          <t>2000-10-02</t>
        </is>
      </c>
      <c r="V917" t="inlineStr">
        <is>
          <t>2000-10-02</t>
        </is>
      </c>
      <c r="W917" t="inlineStr">
        <is>
          <t>1997-05-29</t>
        </is>
      </c>
      <c r="X917" t="inlineStr">
        <is>
          <t>1997-05-29</t>
        </is>
      </c>
      <c r="Y917" t="n">
        <v>177</v>
      </c>
      <c r="Z917" t="n">
        <v>163</v>
      </c>
      <c r="AA917" t="n">
        <v>1656</v>
      </c>
      <c r="AB917" t="n">
        <v>1</v>
      </c>
      <c r="AC917" t="n">
        <v>9</v>
      </c>
      <c r="AD917" t="n">
        <v>5</v>
      </c>
      <c r="AE917" t="n">
        <v>50</v>
      </c>
      <c r="AF917" t="n">
        <v>2</v>
      </c>
      <c r="AG917" t="n">
        <v>22</v>
      </c>
      <c r="AH917" t="n">
        <v>2</v>
      </c>
      <c r="AI917" t="n">
        <v>11</v>
      </c>
      <c r="AJ917" t="n">
        <v>3</v>
      </c>
      <c r="AK917" t="n">
        <v>24</v>
      </c>
      <c r="AL917" t="n">
        <v>0</v>
      </c>
      <c r="AM917" t="n">
        <v>6</v>
      </c>
      <c r="AN917" t="n">
        <v>0</v>
      </c>
      <c r="AO917" t="n">
        <v>0</v>
      </c>
      <c r="AP917" t="inlineStr">
        <is>
          <t>No</t>
        </is>
      </c>
      <c r="AQ917" t="inlineStr">
        <is>
          <t>Yes</t>
        </is>
      </c>
      <c r="AR917">
        <f>HYPERLINK("http://catalog.hathitrust.org/Record/007709389","HathiTrust Record")</f>
        <v/>
      </c>
      <c r="AS917">
        <f>HYPERLINK("https://creighton-primo.hosted.exlibrisgroup.com/primo-explore/search?tab=default_tab&amp;search_scope=EVERYTHING&amp;vid=01CRU&amp;lang=en_US&amp;offset=0&amp;query=any,contains,991003542739702656","Catalog Record")</f>
        <v/>
      </c>
      <c r="AT917">
        <f>HYPERLINK("http://www.worldcat.org/oclc/1107521","WorldCat Record")</f>
        <v/>
      </c>
      <c r="AU917" t="inlineStr">
        <is>
          <t>3189517:eng</t>
        </is>
      </c>
      <c r="AV917" t="inlineStr">
        <is>
          <t>1107521</t>
        </is>
      </c>
      <c r="AW917" t="inlineStr">
        <is>
          <t>991003542739702656</t>
        </is>
      </c>
      <c r="AX917" t="inlineStr">
        <is>
          <t>991003542739702656</t>
        </is>
      </c>
      <c r="AY917" t="inlineStr">
        <is>
          <t>2257763940002656</t>
        </is>
      </c>
      <c r="AZ917" t="inlineStr">
        <is>
          <t>BOOK</t>
        </is>
      </c>
      <c r="BC917" t="inlineStr">
        <is>
          <t>32285002697190</t>
        </is>
      </c>
      <c r="BD917" t="inlineStr">
        <is>
          <t>893881284</t>
        </is>
      </c>
    </row>
    <row r="918">
      <c r="A918" t="inlineStr">
        <is>
          <t>No</t>
        </is>
      </c>
      <c r="B918" t="inlineStr">
        <is>
          <t>GN671.N5 W52</t>
        </is>
      </c>
      <c r="C918" t="inlineStr">
        <is>
          <t>0                      GN 0671000N  5                  W  52</t>
        </is>
      </c>
      <c r="D918" t="inlineStr">
        <is>
          <t>Orokaiva society, by F.E. Williams ... with an introduction by Sir Hubert Murray.</t>
        </is>
      </c>
      <c r="F918" t="inlineStr">
        <is>
          <t>No</t>
        </is>
      </c>
      <c r="G918" t="inlineStr">
        <is>
          <t>1</t>
        </is>
      </c>
      <c r="H918" t="inlineStr">
        <is>
          <t>No</t>
        </is>
      </c>
      <c r="I918" t="inlineStr">
        <is>
          <t>No</t>
        </is>
      </c>
      <c r="J918" t="inlineStr">
        <is>
          <t>0</t>
        </is>
      </c>
      <c r="K918" t="inlineStr">
        <is>
          <t>Williams, F. E. (Francis Edgar)</t>
        </is>
      </c>
      <c r="L918" t="inlineStr">
        <is>
          <t>London, Oxford university press, H. Milford, 1930.</t>
        </is>
      </c>
      <c r="M918" t="inlineStr">
        <is>
          <t>1930</t>
        </is>
      </c>
      <c r="O918" t="inlineStr">
        <is>
          <t>eng</t>
        </is>
      </c>
      <c r="P918" t="inlineStr">
        <is>
          <t>enk</t>
        </is>
      </c>
      <c r="R918" t="inlineStr">
        <is>
          <t xml:space="preserve">GN </t>
        </is>
      </c>
      <c r="S918" t="n">
        <v>5</v>
      </c>
      <c r="T918" t="n">
        <v>5</v>
      </c>
      <c r="U918" t="inlineStr">
        <is>
          <t>2004-11-04</t>
        </is>
      </c>
      <c r="V918" t="inlineStr">
        <is>
          <t>2004-11-04</t>
        </is>
      </c>
      <c r="W918" t="inlineStr">
        <is>
          <t>1997-05-29</t>
        </is>
      </c>
      <c r="X918" t="inlineStr">
        <is>
          <t>1997-05-29</t>
        </is>
      </c>
      <c r="Y918" t="n">
        <v>88</v>
      </c>
      <c r="Z918" t="n">
        <v>70</v>
      </c>
      <c r="AA918" t="n">
        <v>317</v>
      </c>
      <c r="AB918" t="n">
        <v>2</v>
      </c>
      <c r="AC918" t="n">
        <v>4</v>
      </c>
      <c r="AD918" t="n">
        <v>3</v>
      </c>
      <c r="AE918" t="n">
        <v>13</v>
      </c>
      <c r="AF918" t="n">
        <v>0</v>
      </c>
      <c r="AG918" t="n">
        <v>3</v>
      </c>
      <c r="AH918" t="n">
        <v>1</v>
      </c>
      <c r="AI918" t="n">
        <v>4</v>
      </c>
      <c r="AJ918" t="n">
        <v>1</v>
      </c>
      <c r="AK918" t="n">
        <v>6</v>
      </c>
      <c r="AL918" t="n">
        <v>1</v>
      </c>
      <c r="AM918" t="n">
        <v>3</v>
      </c>
      <c r="AN918" t="n">
        <v>0</v>
      </c>
      <c r="AO918" t="n">
        <v>0</v>
      </c>
      <c r="AP918" t="inlineStr">
        <is>
          <t>No</t>
        </is>
      </c>
      <c r="AQ918" t="inlineStr">
        <is>
          <t>Yes</t>
        </is>
      </c>
      <c r="AR918">
        <f>HYPERLINK("http://catalog.hathitrust.org/Record/007181855","HathiTrust Record")</f>
        <v/>
      </c>
      <c r="AS918">
        <f>HYPERLINK("https://creighton-primo.hosted.exlibrisgroup.com/primo-explore/search?tab=default_tab&amp;search_scope=EVERYTHING&amp;vid=01CRU&amp;lang=en_US&amp;offset=0&amp;query=any,contains,991001141819702656","Catalog Record")</f>
        <v/>
      </c>
      <c r="AT918">
        <f>HYPERLINK("http://www.worldcat.org/oclc/16747559","WorldCat Record")</f>
        <v/>
      </c>
      <c r="AU918" t="inlineStr">
        <is>
          <t>1735419:eng</t>
        </is>
      </c>
      <c r="AV918" t="inlineStr">
        <is>
          <t>16747559</t>
        </is>
      </c>
      <c r="AW918" t="inlineStr">
        <is>
          <t>991001141819702656</t>
        </is>
      </c>
      <c r="AX918" t="inlineStr">
        <is>
          <t>991001141819702656</t>
        </is>
      </c>
      <c r="AY918" t="inlineStr">
        <is>
          <t>2261315810002656</t>
        </is>
      </c>
      <c r="AZ918" t="inlineStr">
        <is>
          <t>BOOK</t>
        </is>
      </c>
      <c r="BC918" t="inlineStr">
        <is>
          <t>32285002697216</t>
        </is>
      </c>
      <c r="BD918" t="inlineStr">
        <is>
          <t>893250011</t>
        </is>
      </c>
    </row>
    <row r="919">
      <c r="A919" t="inlineStr">
        <is>
          <t>No</t>
        </is>
      </c>
      <c r="B919" t="inlineStr">
        <is>
          <t>GN69.8 .J33 1996</t>
        </is>
      </c>
      <c r="C919" t="inlineStr">
        <is>
          <t>0                      GN 0069800J  33          1996</t>
        </is>
      </c>
      <c r="D919" t="inlineStr">
        <is>
          <t>The bone detectives : how forensic anthropologists solve crimes and uncover mysteries of the dead / by Donna M. Jackson ; photographs by Charlie Fellenbaum.</t>
        </is>
      </c>
      <c r="F919" t="inlineStr">
        <is>
          <t>No</t>
        </is>
      </c>
      <c r="G919" t="inlineStr">
        <is>
          <t>1</t>
        </is>
      </c>
      <c r="H919" t="inlineStr">
        <is>
          <t>No</t>
        </is>
      </c>
      <c r="I919" t="inlineStr">
        <is>
          <t>No</t>
        </is>
      </c>
      <c r="J919" t="inlineStr">
        <is>
          <t>0</t>
        </is>
      </c>
      <c r="K919" t="inlineStr">
        <is>
          <t>Kallner, Donna Jackson, 1958-</t>
        </is>
      </c>
      <c r="L919" t="inlineStr">
        <is>
          <t>Boston : Little, Brown and Co.; c1996.</t>
        </is>
      </c>
      <c r="M919" t="inlineStr">
        <is>
          <t>1996</t>
        </is>
      </c>
      <c r="N919" t="inlineStr">
        <is>
          <t>1st ed.</t>
        </is>
      </c>
      <c r="O919" t="inlineStr">
        <is>
          <t>eng</t>
        </is>
      </c>
      <c r="P919" t="inlineStr">
        <is>
          <t>mau</t>
        </is>
      </c>
      <c r="R919" t="inlineStr">
        <is>
          <t xml:space="preserve">GN </t>
        </is>
      </c>
      <c r="S919" t="n">
        <v>4</v>
      </c>
      <c r="T919" t="n">
        <v>4</v>
      </c>
      <c r="U919" t="inlineStr">
        <is>
          <t>2006-03-13</t>
        </is>
      </c>
      <c r="V919" t="inlineStr">
        <is>
          <t>2006-03-13</t>
        </is>
      </c>
      <c r="W919" t="inlineStr">
        <is>
          <t>1999-12-20</t>
        </is>
      </c>
      <c r="X919" t="inlineStr">
        <is>
          <t>1999-12-20</t>
        </is>
      </c>
      <c r="Y919" t="n">
        <v>1640</v>
      </c>
      <c r="Z919" t="n">
        <v>1574</v>
      </c>
      <c r="AA919" t="n">
        <v>1592</v>
      </c>
      <c r="AB919" t="n">
        <v>20</v>
      </c>
      <c r="AC919" t="n">
        <v>20</v>
      </c>
      <c r="AD919" t="n">
        <v>14</v>
      </c>
      <c r="AE919" t="n">
        <v>14</v>
      </c>
      <c r="AF919" t="n">
        <v>6</v>
      </c>
      <c r="AG919" t="n">
        <v>6</v>
      </c>
      <c r="AH919" t="n">
        <v>2</v>
      </c>
      <c r="AI919" t="n">
        <v>2</v>
      </c>
      <c r="AJ919" t="n">
        <v>2</v>
      </c>
      <c r="AK919" t="n">
        <v>2</v>
      </c>
      <c r="AL919" t="n">
        <v>6</v>
      </c>
      <c r="AM919" t="n">
        <v>6</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HYPERLINK("https://creighton-primo.hosted.exlibrisgroup.com/primo-explore/search?tab=default_tab&amp;search_scope=EVERYTHING&amp;vid=01CRU&amp;lang=en_US&amp;offset=0&amp;query=any,contains,991004595129702656","Catalog Record")</f>
        <v/>
      </c>
      <c r="AT919">
        <f>HYPERLINK("http://www.worldcat.org/oclc/32546283","WorldCat Record")</f>
        <v/>
      </c>
      <c r="AU919" t="inlineStr">
        <is>
          <t>1086810439:eng</t>
        </is>
      </c>
      <c r="AV919" t="inlineStr">
        <is>
          <t>32546283</t>
        </is>
      </c>
      <c r="AW919" t="inlineStr">
        <is>
          <t>991004595129702656</t>
        </is>
      </c>
      <c r="AX919" t="inlineStr">
        <is>
          <t>991004595129702656</t>
        </is>
      </c>
      <c r="AY919" t="inlineStr">
        <is>
          <t>2264400980002656</t>
        </is>
      </c>
      <c r="AZ919" t="inlineStr">
        <is>
          <t>BOOK</t>
        </is>
      </c>
      <c r="BB919" t="inlineStr">
        <is>
          <t>9780316829359</t>
        </is>
      </c>
      <c r="BC919" t="inlineStr">
        <is>
          <t>32285003635041</t>
        </is>
      </c>
      <c r="BD919" t="inlineStr">
        <is>
          <t>893224300</t>
        </is>
      </c>
    </row>
    <row r="920">
      <c r="A920" t="inlineStr">
        <is>
          <t>No</t>
        </is>
      </c>
      <c r="B920" t="inlineStr">
        <is>
          <t>GN69.8 .N33 2000</t>
        </is>
      </c>
      <c r="C920" t="inlineStr">
        <is>
          <t>0                      GN 0069800N  33          2000</t>
        </is>
      </c>
      <c r="D920" t="inlineStr">
        <is>
          <t>Flesh and bone : an introduction to forensic anthropology / Myriam Nafte.</t>
        </is>
      </c>
      <c r="F920" t="inlineStr">
        <is>
          <t>No</t>
        </is>
      </c>
      <c r="G920" t="inlineStr">
        <is>
          <t>1</t>
        </is>
      </c>
      <c r="H920" t="inlineStr">
        <is>
          <t>No</t>
        </is>
      </c>
      <c r="I920" t="inlineStr">
        <is>
          <t>No</t>
        </is>
      </c>
      <c r="J920" t="inlineStr">
        <is>
          <t>0</t>
        </is>
      </c>
      <c r="K920" t="inlineStr">
        <is>
          <t>Nafte, Myriam.</t>
        </is>
      </c>
      <c r="L920" t="inlineStr">
        <is>
          <t>Durham, N.C. : Carolina Academic Press, c2000.</t>
        </is>
      </c>
      <c r="M920" t="inlineStr">
        <is>
          <t>2000</t>
        </is>
      </c>
      <c r="O920" t="inlineStr">
        <is>
          <t>eng</t>
        </is>
      </c>
      <c r="P920" t="inlineStr">
        <is>
          <t>ncu</t>
        </is>
      </c>
      <c r="R920" t="inlineStr">
        <is>
          <t xml:space="preserve">GN </t>
        </is>
      </c>
      <c r="S920" t="n">
        <v>5</v>
      </c>
      <c r="T920" t="n">
        <v>5</v>
      </c>
      <c r="U920" t="inlineStr">
        <is>
          <t>2007-09-27</t>
        </is>
      </c>
      <c r="V920" t="inlineStr">
        <is>
          <t>2007-09-27</t>
        </is>
      </c>
      <c r="W920" t="inlineStr">
        <is>
          <t>2001-11-06</t>
        </is>
      </c>
      <c r="X920" t="inlineStr">
        <is>
          <t>2001-11-06</t>
        </is>
      </c>
      <c r="Y920" t="n">
        <v>530</v>
      </c>
      <c r="Z920" t="n">
        <v>467</v>
      </c>
      <c r="AA920" t="n">
        <v>603</v>
      </c>
      <c r="AB920" t="n">
        <v>4</v>
      </c>
      <c r="AC920" t="n">
        <v>5</v>
      </c>
      <c r="AD920" t="n">
        <v>19</v>
      </c>
      <c r="AE920" t="n">
        <v>21</v>
      </c>
      <c r="AF920" t="n">
        <v>8</v>
      </c>
      <c r="AG920" t="n">
        <v>8</v>
      </c>
      <c r="AH920" t="n">
        <v>1</v>
      </c>
      <c r="AI920" t="n">
        <v>2</v>
      </c>
      <c r="AJ920" t="n">
        <v>9</v>
      </c>
      <c r="AK920" t="n">
        <v>10</v>
      </c>
      <c r="AL920" t="n">
        <v>3</v>
      </c>
      <c r="AM920" t="n">
        <v>4</v>
      </c>
      <c r="AN920" t="n">
        <v>1</v>
      </c>
      <c r="AO920" t="n">
        <v>1</v>
      </c>
      <c r="AP920" t="inlineStr">
        <is>
          <t>No</t>
        </is>
      </c>
      <c r="AQ920" t="inlineStr">
        <is>
          <t>Yes</t>
        </is>
      </c>
      <c r="AR920">
        <f>HYPERLINK("http://catalog.hathitrust.org/Record/004153921","HathiTrust Record")</f>
        <v/>
      </c>
      <c r="AS920">
        <f>HYPERLINK("https://creighton-primo.hosted.exlibrisgroup.com/primo-explore/search?tab=default_tab&amp;search_scope=EVERYTHING&amp;vid=01CRU&amp;lang=en_US&amp;offset=0&amp;query=any,contains,991003641419702656","Catalog Record")</f>
        <v/>
      </c>
      <c r="AT920">
        <f>HYPERLINK("http://www.worldcat.org/oclc/46317417","WorldCat Record")</f>
        <v/>
      </c>
      <c r="AU920" t="inlineStr">
        <is>
          <t>12496549:eng</t>
        </is>
      </c>
      <c r="AV920" t="inlineStr">
        <is>
          <t>46317417</t>
        </is>
      </c>
      <c r="AW920" t="inlineStr">
        <is>
          <t>991003641419702656</t>
        </is>
      </c>
      <c r="AX920" t="inlineStr">
        <is>
          <t>991003641419702656</t>
        </is>
      </c>
      <c r="AY920" t="inlineStr">
        <is>
          <t>2261516090002656</t>
        </is>
      </c>
      <c r="AZ920" t="inlineStr">
        <is>
          <t>BOOK</t>
        </is>
      </c>
      <c r="BB920" t="inlineStr">
        <is>
          <t>9780890896389</t>
        </is>
      </c>
      <c r="BC920" t="inlineStr">
        <is>
          <t>32285004418165</t>
        </is>
      </c>
      <c r="BD920" t="inlineStr">
        <is>
          <t>893252571</t>
        </is>
      </c>
    </row>
    <row r="921">
      <c r="A921" t="inlineStr">
        <is>
          <t>No</t>
        </is>
      </c>
      <c r="B921" t="inlineStr">
        <is>
          <t>GN700 .B7</t>
        </is>
      </c>
      <c r="C921" t="inlineStr">
        <is>
          <t>0                      GN 0700000B  7</t>
        </is>
      </c>
      <c r="D921" t="inlineStr">
        <is>
          <t>Courses toward urban life; archeological considerations of some cultural alternates. Edited by Robert J. Braidwood and Gordon R. Willey.</t>
        </is>
      </c>
      <c r="F921" t="inlineStr">
        <is>
          <t>No</t>
        </is>
      </c>
      <c r="G921" t="inlineStr">
        <is>
          <t>1</t>
        </is>
      </c>
      <c r="H921" t="inlineStr">
        <is>
          <t>No</t>
        </is>
      </c>
      <c r="I921" t="inlineStr">
        <is>
          <t>No</t>
        </is>
      </c>
      <c r="J921" t="inlineStr">
        <is>
          <t>0</t>
        </is>
      </c>
      <c r="K921" t="inlineStr">
        <is>
          <t>Braidwood, Robert J. (Robert John), 1907-2003, editor.</t>
        </is>
      </c>
      <c r="L921" t="inlineStr">
        <is>
          <t>Chicago, Aldine Pub. Co. [1962]</t>
        </is>
      </c>
      <c r="M921" t="inlineStr">
        <is>
          <t>1962</t>
        </is>
      </c>
      <c r="O921" t="inlineStr">
        <is>
          <t>eng</t>
        </is>
      </c>
      <c r="P921" t="inlineStr">
        <is>
          <t>ilu</t>
        </is>
      </c>
      <c r="Q921" t="inlineStr">
        <is>
          <t>Viking Fund publications in anthropology ; no. 32</t>
        </is>
      </c>
      <c r="R921" t="inlineStr">
        <is>
          <t xml:space="preserve">GN </t>
        </is>
      </c>
      <c r="S921" t="n">
        <v>5</v>
      </c>
      <c r="T921" t="n">
        <v>5</v>
      </c>
      <c r="U921" t="inlineStr">
        <is>
          <t>1999-03-19</t>
        </is>
      </c>
      <c r="V921" t="inlineStr">
        <is>
          <t>1999-03-19</t>
        </is>
      </c>
      <c r="W921" t="inlineStr">
        <is>
          <t>1997-05-29</t>
        </is>
      </c>
      <c r="X921" t="inlineStr">
        <is>
          <t>1997-05-29</t>
        </is>
      </c>
      <c r="Y921" t="n">
        <v>648</v>
      </c>
      <c r="Z921" t="n">
        <v>577</v>
      </c>
      <c r="AA921" t="n">
        <v>649</v>
      </c>
      <c r="AB921" t="n">
        <v>7</v>
      </c>
      <c r="AC921" t="n">
        <v>7</v>
      </c>
      <c r="AD921" t="n">
        <v>33</v>
      </c>
      <c r="AE921" t="n">
        <v>34</v>
      </c>
      <c r="AF921" t="n">
        <v>14</v>
      </c>
      <c r="AG921" t="n">
        <v>15</v>
      </c>
      <c r="AH921" t="n">
        <v>3</v>
      </c>
      <c r="AI921" t="n">
        <v>4</v>
      </c>
      <c r="AJ921" t="n">
        <v>16</v>
      </c>
      <c r="AK921" t="n">
        <v>16</v>
      </c>
      <c r="AL921" t="n">
        <v>6</v>
      </c>
      <c r="AM921" t="n">
        <v>6</v>
      </c>
      <c r="AN921" t="n">
        <v>0</v>
      </c>
      <c r="AO921" t="n">
        <v>0</v>
      </c>
      <c r="AP921" t="inlineStr">
        <is>
          <t>No</t>
        </is>
      </c>
      <c r="AQ921" t="inlineStr">
        <is>
          <t>No</t>
        </is>
      </c>
      <c r="AR921">
        <f>HYPERLINK("http://catalog.hathitrust.org/Record/001275510","HathiTrust Record")</f>
        <v/>
      </c>
      <c r="AS921">
        <f>HYPERLINK("https://creighton-primo.hosted.exlibrisgroup.com/primo-explore/search?tab=default_tab&amp;search_scope=EVERYTHING&amp;vid=01CRU&amp;lang=en_US&amp;offset=0&amp;query=any,contains,991002860159702656","Catalog Record")</f>
        <v/>
      </c>
      <c r="AT921">
        <f>HYPERLINK("http://www.worldcat.org/oclc/492374","WorldCat Record")</f>
        <v/>
      </c>
      <c r="AU921" t="inlineStr">
        <is>
          <t>889343648:eng</t>
        </is>
      </c>
      <c r="AV921" t="inlineStr">
        <is>
          <t>492374</t>
        </is>
      </c>
      <c r="AW921" t="inlineStr">
        <is>
          <t>991002860159702656</t>
        </is>
      </c>
      <c r="AX921" t="inlineStr">
        <is>
          <t>991002860159702656</t>
        </is>
      </c>
      <c r="AY921" t="inlineStr">
        <is>
          <t>2255351800002656</t>
        </is>
      </c>
      <c r="AZ921" t="inlineStr">
        <is>
          <t>BOOK</t>
        </is>
      </c>
      <c r="BC921" t="inlineStr">
        <is>
          <t>32285002697257</t>
        </is>
      </c>
      <c r="BD921" t="inlineStr">
        <is>
          <t>893227372</t>
        </is>
      </c>
    </row>
    <row r="922">
      <c r="A922" t="inlineStr">
        <is>
          <t>No</t>
        </is>
      </c>
      <c r="B922" t="inlineStr">
        <is>
          <t>GN720 .C66 2003</t>
        </is>
      </c>
      <c r="C922" t="inlineStr">
        <is>
          <t>0                      GN 0720000C  66          2003</t>
        </is>
      </c>
      <c r="D922" t="inlineStr">
        <is>
          <t>A brief history of the human race / Michael Cook.</t>
        </is>
      </c>
      <c r="F922" t="inlineStr">
        <is>
          <t>No</t>
        </is>
      </c>
      <c r="G922" t="inlineStr">
        <is>
          <t>1</t>
        </is>
      </c>
      <c r="H922" t="inlineStr">
        <is>
          <t>No</t>
        </is>
      </c>
      <c r="I922" t="inlineStr">
        <is>
          <t>No</t>
        </is>
      </c>
      <c r="J922" t="inlineStr">
        <is>
          <t>0</t>
        </is>
      </c>
      <c r="K922" t="inlineStr">
        <is>
          <t>Cook, M. A.</t>
        </is>
      </c>
      <c r="L922" t="inlineStr">
        <is>
          <t>New York : Norton, c2003.</t>
        </is>
      </c>
      <c r="M922" t="inlineStr">
        <is>
          <t>2003</t>
        </is>
      </c>
      <c r="N922" t="inlineStr">
        <is>
          <t>1st ed.</t>
        </is>
      </c>
      <c r="O922" t="inlineStr">
        <is>
          <t>eng</t>
        </is>
      </c>
      <c r="P922" t="inlineStr">
        <is>
          <t>nyu</t>
        </is>
      </c>
      <c r="R922" t="inlineStr">
        <is>
          <t xml:space="preserve">GN </t>
        </is>
      </c>
      <c r="S922" t="n">
        <v>1</v>
      </c>
      <c r="T922" t="n">
        <v>1</v>
      </c>
      <c r="U922" t="inlineStr">
        <is>
          <t>2004-01-29</t>
        </is>
      </c>
      <c r="V922" t="inlineStr">
        <is>
          <t>2004-01-29</t>
        </is>
      </c>
      <c r="W922" t="inlineStr">
        <is>
          <t>2003-12-11</t>
        </is>
      </c>
      <c r="X922" t="inlineStr">
        <is>
          <t>2003-12-11</t>
        </is>
      </c>
      <c r="Y922" t="n">
        <v>713</v>
      </c>
      <c r="Z922" t="n">
        <v>630</v>
      </c>
      <c r="AA922" t="n">
        <v>677</v>
      </c>
      <c r="AB922" t="n">
        <v>6</v>
      </c>
      <c r="AC922" t="n">
        <v>6</v>
      </c>
      <c r="AD922" t="n">
        <v>14</v>
      </c>
      <c r="AE922" t="n">
        <v>14</v>
      </c>
      <c r="AF922" t="n">
        <v>2</v>
      </c>
      <c r="AG922" t="n">
        <v>2</v>
      </c>
      <c r="AH922" t="n">
        <v>3</v>
      </c>
      <c r="AI922" t="n">
        <v>3</v>
      </c>
      <c r="AJ922" t="n">
        <v>7</v>
      </c>
      <c r="AK922" t="n">
        <v>7</v>
      </c>
      <c r="AL922" t="n">
        <v>4</v>
      </c>
      <c r="AM922" t="n">
        <v>4</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HYPERLINK("https://creighton-primo.hosted.exlibrisgroup.com/primo-explore/search?tab=default_tab&amp;search_scope=EVERYTHING&amp;vid=01CRU&amp;lang=en_US&amp;offset=0&amp;query=any,contains,991004175859702656","Catalog Record")</f>
        <v/>
      </c>
      <c r="AT922">
        <f>HYPERLINK("http://www.worldcat.org/oclc/52269227","WorldCat Record")</f>
        <v/>
      </c>
      <c r="AU922" t="inlineStr">
        <is>
          <t>690296:eng</t>
        </is>
      </c>
      <c r="AV922" t="inlineStr">
        <is>
          <t>52269227</t>
        </is>
      </c>
      <c r="AW922" t="inlineStr">
        <is>
          <t>991004175859702656</t>
        </is>
      </c>
      <c r="AX922" t="inlineStr">
        <is>
          <t>991004175859702656</t>
        </is>
      </c>
      <c r="AY922" t="inlineStr">
        <is>
          <t>2268507690002656</t>
        </is>
      </c>
      <c r="AZ922" t="inlineStr">
        <is>
          <t>BOOK</t>
        </is>
      </c>
      <c r="BB922" t="inlineStr">
        <is>
          <t>9780393052312</t>
        </is>
      </c>
      <c r="BC922" t="inlineStr">
        <is>
          <t>32285004846316</t>
        </is>
      </c>
      <c r="BD922" t="inlineStr">
        <is>
          <t>893411212</t>
        </is>
      </c>
    </row>
    <row r="923">
      <c r="A923" t="inlineStr">
        <is>
          <t>No</t>
        </is>
      </c>
      <c r="B923" t="inlineStr">
        <is>
          <t>GN739 .H64 1973</t>
        </is>
      </c>
      <c r="C923" t="inlineStr">
        <is>
          <t>0                      GN 0739000H  64          1973</t>
        </is>
      </c>
      <c r="D923" t="inlineStr">
        <is>
          <t>An introduction to prehistoric archeology / [by] Frank Hole [and] Robert F. Heizer.</t>
        </is>
      </c>
      <c r="F923" t="inlineStr">
        <is>
          <t>No</t>
        </is>
      </c>
      <c r="G923" t="inlineStr">
        <is>
          <t>1</t>
        </is>
      </c>
      <c r="H923" t="inlineStr">
        <is>
          <t>No</t>
        </is>
      </c>
      <c r="I923" t="inlineStr">
        <is>
          <t>No</t>
        </is>
      </c>
      <c r="J923" t="inlineStr">
        <is>
          <t>0</t>
        </is>
      </c>
      <c r="K923" t="inlineStr">
        <is>
          <t>Hole, Frank.</t>
        </is>
      </c>
      <c r="L923" t="inlineStr">
        <is>
          <t>New York : Holt, Rinehart and Winston, [1973]</t>
        </is>
      </c>
      <c r="M923" t="inlineStr">
        <is>
          <t>1973</t>
        </is>
      </c>
      <c r="N923" t="inlineStr">
        <is>
          <t>3d ed.</t>
        </is>
      </c>
      <c r="O923" t="inlineStr">
        <is>
          <t>eng</t>
        </is>
      </c>
      <c r="P923" t="inlineStr">
        <is>
          <t>nyu</t>
        </is>
      </c>
      <c r="R923" t="inlineStr">
        <is>
          <t xml:space="preserve">GN </t>
        </is>
      </c>
      <c r="S923" t="n">
        <v>2</v>
      </c>
      <c r="T923" t="n">
        <v>2</v>
      </c>
      <c r="U923" t="inlineStr">
        <is>
          <t>1995-02-07</t>
        </is>
      </c>
      <c r="V923" t="inlineStr">
        <is>
          <t>1995-02-07</t>
        </is>
      </c>
      <c r="W923" t="inlineStr">
        <is>
          <t>1990-10-08</t>
        </is>
      </c>
      <c r="X923" t="inlineStr">
        <is>
          <t>1990-10-08</t>
        </is>
      </c>
      <c r="Y923" t="n">
        <v>463</v>
      </c>
      <c r="Z923" t="n">
        <v>344</v>
      </c>
      <c r="AA923" t="n">
        <v>823</v>
      </c>
      <c r="AB923" t="n">
        <v>1</v>
      </c>
      <c r="AC923" t="n">
        <v>3</v>
      </c>
      <c r="AD923" t="n">
        <v>6</v>
      </c>
      <c r="AE923" t="n">
        <v>22</v>
      </c>
      <c r="AF923" t="n">
        <v>1</v>
      </c>
      <c r="AG923" t="n">
        <v>6</v>
      </c>
      <c r="AH923" t="n">
        <v>3</v>
      </c>
      <c r="AI923" t="n">
        <v>8</v>
      </c>
      <c r="AJ923" t="n">
        <v>5</v>
      </c>
      <c r="AK923" t="n">
        <v>11</v>
      </c>
      <c r="AL923" t="n">
        <v>0</v>
      </c>
      <c r="AM923" t="n">
        <v>2</v>
      </c>
      <c r="AN923" t="n">
        <v>0</v>
      </c>
      <c r="AO923" t="n">
        <v>0</v>
      </c>
      <c r="AP923" t="inlineStr">
        <is>
          <t>No</t>
        </is>
      </c>
      <c r="AQ923" t="inlineStr">
        <is>
          <t>Yes</t>
        </is>
      </c>
      <c r="AR923">
        <f>HYPERLINK("http://catalog.hathitrust.org/Record/004422011","HathiTrust Record")</f>
        <v/>
      </c>
      <c r="AS923">
        <f>HYPERLINK("https://creighton-primo.hosted.exlibrisgroup.com/primo-explore/search?tab=default_tab&amp;search_scope=EVERYTHING&amp;vid=01CRU&amp;lang=en_US&amp;offset=0&amp;query=any,contains,991003079029702656","Catalog Record")</f>
        <v/>
      </c>
      <c r="AT923">
        <f>HYPERLINK("http://www.worldcat.org/oclc/631894","WorldCat Record")</f>
        <v/>
      </c>
      <c r="AU923" t="inlineStr">
        <is>
          <t>1145924:eng</t>
        </is>
      </c>
      <c r="AV923" t="inlineStr">
        <is>
          <t>631894</t>
        </is>
      </c>
      <c r="AW923" t="inlineStr">
        <is>
          <t>991003079029702656</t>
        </is>
      </c>
      <c r="AX923" t="inlineStr">
        <is>
          <t>991003079029702656</t>
        </is>
      </c>
      <c r="AY923" t="inlineStr">
        <is>
          <t>2263104540002656</t>
        </is>
      </c>
      <c r="AZ923" t="inlineStr">
        <is>
          <t>BOOK</t>
        </is>
      </c>
      <c r="BB923" t="inlineStr">
        <is>
          <t>9780030057618</t>
        </is>
      </c>
      <c r="BC923" t="inlineStr">
        <is>
          <t>32285000334283</t>
        </is>
      </c>
      <c r="BD923" t="inlineStr">
        <is>
          <t>893711025</t>
        </is>
      </c>
    </row>
    <row r="924">
      <c r="A924" t="inlineStr">
        <is>
          <t>No</t>
        </is>
      </c>
      <c r="B924" t="inlineStr">
        <is>
          <t>GN740 .F33 1986</t>
        </is>
      </c>
      <c r="C924" t="inlineStr">
        <is>
          <t>0                      GN 0740000F  33          1986</t>
        </is>
      </c>
      <c r="D924" t="inlineStr">
        <is>
          <t>People of the earth : an introduction to world prehistory / Brian M. Fagan.</t>
        </is>
      </c>
      <c r="F924" t="inlineStr">
        <is>
          <t>No</t>
        </is>
      </c>
      <c r="G924" t="inlineStr">
        <is>
          <t>1</t>
        </is>
      </c>
      <c r="H924" t="inlineStr">
        <is>
          <t>No</t>
        </is>
      </c>
      <c r="I924" t="inlineStr">
        <is>
          <t>No</t>
        </is>
      </c>
      <c r="J924" t="inlineStr">
        <is>
          <t>0</t>
        </is>
      </c>
      <c r="K924" t="inlineStr">
        <is>
          <t>Fagan, Brian M.</t>
        </is>
      </c>
      <c r="L924" t="inlineStr">
        <is>
          <t>Boston : Little, Brown, c1986.</t>
        </is>
      </c>
      <c r="M924" t="inlineStr">
        <is>
          <t>1986</t>
        </is>
      </c>
      <c r="N924" t="inlineStr">
        <is>
          <t>5th ed.</t>
        </is>
      </c>
      <c r="O924" t="inlineStr">
        <is>
          <t>eng</t>
        </is>
      </c>
      <c r="P924" t="inlineStr">
        <is>
          <t>mau</t>
        </is>
      </c>
      <c r="R924" t="inlineStr">
        <is>
          <t xml:space="preserve">GN </t>
        </is>
      </c>
      <c r="S924" t="n">
        <v>5</v>
      </c>
      <c r="T924" t="n">
        <v>5</v>
      </c>
      <c r="U924" t="inlineStr">
        <is>
          <t>1997-04-13</t>
        </is>
      </c>
      <c r="V924" t="inlineStr">
        <is>
          <t>1997-04-13</t>
        </is>
      </c>
      <c r="W924" t="inlineStr">
        <is>
          <t>1990-10-01</t>
        </is>
      </c>
      <c r="X924" t="inlineStr">
        <is>
          <t>1990-10-01</t>
        </is>
      </c>
      <c r="Y924" t="n">
        <v>162</v>
      </c>
      <c r="Z924" t="n">
        <v>114</v>
      </c>
      <c r="AA924" t="n">
        <v>776</v>
      </c>
      <c r="AB924" t="n">
        <v>1</v>
      </c>
      <c r="AC924" t="n">
        <v>4</v>
      </c>
      <c r="AD924" t="n">
        <v>1</v>
      </c>
      <c r="AE924" t="n">
        <v>17</v>
      </c>
      <c r="AF924" t="n">
        <v>1</v>
      </c>
      <c r="AG924" t="n">
        <v>6</v>
      </c>
      <c r="AH924" t="n">
        <v>0</v>
      </c>
      <c r="AI924" t="n">
        <v>3</v>
      </c>
      <c r="AJ924" t="n">
        <v>1</v>
      </c>
      <c r="AK924" t="n">
        <v>9</v>
      </c>
      <c r="AL924" t="n">
        <v>0</v>
      </c>
      <c r="AM924" t="n">
        <v>3</v>
      </c>
      <c r="AN924" t="n">
        <v>0</v>
      </c>
      <c r="AO924" t="n">
        <v>0</v>
      </c>
      <c r="AP924" t="inlineStr">
        <is>
          <t>No</t>
        </is>
      </c>
      <c r="AQ924" t="inlineStr">
        <is>
          <t>Yes</t>
        </is>
      </c>
      <c r="AR924">
        <f>HYPERLINK("http://catalog.hathitrust.org/Record/007103866","HathiTrust Record")</f>
        <v/>
      </c>
      <c r="AS924">
        <f>HYPERLINK("https://creighton-primo.hosted.exlibrisgroup.com/primo-explore/search?tab=default_tab&amp;search_scope=EVERYTHING&amp;vid=01CRU&amp;lang=en_US&amp;offset=0&amp;query=any,contains,991000605109702656","Catalog Record")</f>
        <v/>
      </c>
      <c r="AT924">
        <f>HYPERLINK("http://www.worldcat.org/oclc/11865923","WorldCat Record")</f>
        <v/>
      </c>
      <c r="AU924" t="inlineStr">
        <is>
          <t>372560:eng</t>
        </is>
      </c>
      <c r="AV924" t="inlineStr">
        <is>
          <t>11865923</t>
        </is>
      </c>
      <c r="AW924" t="inlineStr">
        <is>
          <t>991000605109702656</t>
        </is>
      </c>
      <c r="AX924" t="inlineStr">
        <is>
          <t>991000605109702656</t>
        </is>
      </c>
      <c r="AY924" t="inlineStr">
        <is>
          <t>2264446040002656</t>
        </is>
      </c>
      <c r="AZ924" t="inlineStr">
        <is>
          <t>BOOK</t>
        </is>
      </c>
      <c r="BB924" t="inlineStr">
        <is>
          <t>9780316273220</t>
        </is>
      </c>
      <c r="BC924" t="inlineStr">
        <is>
          <t>32285000317429</t>
        </is>
      </c>
      <c r="BD924" t="inlineStr">
        <is>
          <t>893496387</t>
        </is>
      </c>
    </row>
    <row r="925">
      <c r="A925" t="inlineStr">
        <is>
          <t>No</t>
        </is>
      </c>
      <c r="B925" t="inlineStr">
        <is>
          <t>GN740 .G36 1994</t>
        </is>
      </c>
      <c r="C925" t="inlineStr">
        <is>
          <t>0                      GN 0740000G  36          1994</t>
        </is>
      </c>
      <c r="D925" t="inlineStr">
        <is>
          <t>Timewalkers : the prehistory of global colonization / Clive Gamble.</t>
        </is>
      </c>
      <c r="F925" t="inlineStr">
        <is>
          <t>No</t>
        </is>
      </c>
      <c r="G925" t="inlineStr">
        <is>
          <t>1</t>
        </is>
      </c>
      <c r="H925" t="inlineStr">
        <is>
          <t>No</t>
        </is>
      </c>
      <c r="I925" t="inlineStr">
        <is>
          <t>No</t>
        </is>
      </c>
      <c r="J925" t="inlineStr">
        <is>
          <t>0</t>
        </is>
      </c>
      <c r="K925" t="inlineStr">
        <is>
          <t>Gamble, Clive.</t>
        </is>
      </c>
      <c r="L925" t="inlineStr">
        <is>
          <t>Cambridge, Mass. : Harvard University Press, 1994, c1993.</t>
        </is>
      </c>
      <c r="M925" t="inlineStr">
        <is>
          <t>1994</t>
        </is>
      </c>
      <c r="O925" t="inlineStr">
        <is>
          <t>eng</t>
        </is>
      </c>
      <c r="P925" t="inlineStr">
        <is>
          <t>mau</t>
        </is>
      </c>
      <c r="R925" t="inlineStr">
        <is>
          <t xml:space="preserve">GN </t>
        </is>
      </c>
      <c r="S925" t="n">
        <v>1</v>
      </c>
      <c r="T925" t="n">
        <v>1</v>
      </c>
      <c r="U925" t="inlineStr">
        <is>
          <t>2007-02-05</t>
        </is>
      </c>
      <c r="V925" t="inlineStr">
        <is>
          <t>2007-02-05</t>
        </is>
      </c>
      <c r="W925" t="inlineStr">
        <is>
          <t>1995-06-20</t>
        </is>
      </c>
      <c r="X925" t="inlineStr">
        <is>
          <t>1995-06-20</t>
        </is>
      </c>
      <c r="Y925" t="n">
        <v>650</v>
      </c>
      <c r="Z925" t="n">
        <v>586</v>
      </c>
      <c r="AA925" t="n">
        <v>648</v>
      </c>
      <c r="AB925" t="n">
        <v>5</v>
      </c>
      <c r="AC925" t="n">
        <v>5</v>
      </c>
      <c r="AD925" t="n">
        <v>20</v>
      </c>
      <c r="AE925" t="n">
        <v>21</v>
      </c>
      <c r="AF925" t="n">
        <v>6</v>
      </c>
      <c r="AG925" t="n">
        <v>6</v>
      </c>
      <c r="AH925" t="n">
        <v>7</v>
      </c>
      <c r="AI925" t="n">
        <v>7</v>
      </c>
      <c r="AJ925" t="n">
        <v>9</v>
      </c>
      <c r="AK925" t="n">
        <v>10</v>
      </c>
      <c r="AL925" t="n">
        <v>4</v>
      </c>
      <c r="AM925" t="n">
        <v>4</v>
      </c>
      <c r="AN925" t="n">
        <v>0</v>
      </c>
      <c r="AO925" t="n">
        <v>0</v>
      </c>
      <c r="AP925" t="inlineStr">
        <is>
          <t>No</t>
        </is>
      </c>
      <c r="AQ925" t="inlineStr">
        <is>
          <t>Yes</t>
        </is>
      </c>
      <c r="AR925">
        <f>HYPERLINK("http://catalog.hathitrust.org/Record/002804146","HathiTrust Record")</f>
        <v/>
      </c>
      <c r="AS925">
        <f>HYPERLINK("https://creighton-primo.hosted.exlibrisgroup.com/primo-explore/search?tab=default_tab&amp;search_scope=EVERYTHING&amp;vid=01CRU&amp;lang=en_US&amp;offset=0&amp;query=any,contains,991002217099702656","Catalog Record")</f>
        <v/>
      </c>
      <c r="AT925">
        <f>HYPERLINK("http://www.worldcat.org/oclc/28549150","WorldCat Record")</f>
        <v/>
      </c>
      <c r="AU925" t="inlineStr">
        <is>
          <t>6733782:eng</t>
        </is>
      </c>
      <c r="AV925" t="inlineStr">
        <is>
          <t>28549150</t>
        </is>
      </c>
      <c r="AW925" t="inlineStr">
        <is>
          <t>991002217099702656</t>
        </is>
      </c>
      <c r="AX925" t="inlineStr">
        <is>
          <t>991002217099702656</t>
        </is>
      </c>
      <c r="AY925" t="inlineStr">
        <is>
          <t>2261339680002656</t>
        </is>
      </c>
      <c r="AZ925" t="inlineStr">
        <is>
          <t>BOOK</t>
        </is>
      </c>
      <c r="BB925" t="inlineStr">
        <is>
          <t>9780674892026</t>
        </is>
      </c>
      <c r="BC925" t="inlineStr">
        <is>
          <t>32285002052131</t>
        </is>
      </c>
      <c r="BD925" t="inlineStr">
        <is>
          <t>893804362</t>
        </is>
      </c>
    </row>
    <row r="926">
      <c r="A926" t="inlineStr">
        <is>
          <t>No</t>
        </is>
      </c>
      <c r="B926" t="inlineStr">
        <is>
          <t>GN740 .W46</t>
        </is>
      </c>
      <c r="C926" t="inlineStr">
        <is>
          <t>0                      GN 0740000W  46</t>
        </is>
      </c>
      <c r="D926" t="inlineStr">
        <is>
          <t>Patterns in prehistory : mankind's first three million years / Robert J. Wenke.</t>
        </is>
      </c>
      <c r="F926" t="inlineStr">
        <is>
          <t>No</t>
        </is>
      </c>
      <c r="G926" t="inlineStr">
        <is>
          <t>1</t>
        </is>
      </c>
      <c r="H926" t="inlineStr">
        <is>
          <t>No</t>
        </is>
      </c>
      <c r="I926" t="inlineStr">
        <is>
          <t>No</t>
        </is>
      </c>
      <c r="J926" t="inlineStr">
        <is>
          <t>0</t>
        </is>
      </c>
      <c r="K926" t="inlineStr">
        <is>
          <t>Wenke, Robert J.</t>
        </is>
      </c>
      <c r="L926" t="inlineStr">
        <is>
          <t>New York : Oxford University Press, 1980.</t>
        </is>
      </c>
      <c r="M926" t="inlineStr">
        <is>
          <t>1980</t>
        </is>
      </c>
      <c r="O926" t="inlineStr">
        <is>
          <t>eng</t>
        </is>
      </c>
      <c r="P926" t="inlineStr">
        <is>
          <t>nyu</t>
        </is>
      </c>
      <c r="R926" t="inlineStr">
        <is>
          <t xml:space="preserve">GN </t>
        </is>
      </c>
      <c r="S926" t="n">
        <v>5</v>
      </c>
      <c r="T926" t="n">
        <v>5</v>
      </c>
      <c r="U926" t="inlineStr">
        <is>
          <t>1997-04-13</t>
        </is>
      </c>
      <c r="V926" t="inlineStr">
        <is>
          <t>1997-04-13</t>
        </is>
      </c>
      <c r="W926" t="inlineStr">
        <is>
          <t>1990-06-22</t>
        </is>
      </c>
      <c r="X926" t="inlineStr">
        <is>
          <t>1990-06-22</t>
        </is>
      </c>
      <c r="Y926" t="n">
        <v>625</v>
      </c>
      <c r="Z926" t="n">
        <v>542</v>
      </c>
      <c r="AA926" t="n">
        <v>1257</v>
      </c>
      <c r="AB926" t="n">
        <v>3</v>
      </c>
      <c r="AC926" t="n">
        <v>14</v>
      </c>
      <c r="AD926" t="n">
        <v>13</v>
      </c>
      <c r="AE926" t="n">
        <v>38</v>
      </c>
      <c r="AF926" t="n">
        <v>3</v>
      </c>
      <c r="AG926" t="n">
        <v>14</v>
      </c>
      <c r="AH926" t="n">
        <v>5</v>
      </c>
      <c r="AI926" t="n">
        <v>8</v>
      </c>
      <c r="AJ926" t="n">
        <v>8</v>
      </c>
      <c r="AK926" t="n">
        <v>15</v>
      </c>
      <c r="AL926" t="n">
        <v>2</v>
      </c>
      <c r="AM926" t="n">
        <v>11</v>
      </c>
      <c r="AN926" t="n">
        <v>0</v>
      </c>
      <c r="AO926" t="n">
        <v>0</v>
      </c>
      <c r="AP926" t="inlineStr">
        <is>
          <t>No</t>
        </is>
      </c>
      <c r="AQ926" t="inlineStr">
        <is>
          <t>Yes</t>
        </is>
      </c>
      <c r="AR926">
        <f>HYPERLINK("http://catalog.hathitrust.org/Record/000023096","HathiTrust Record")</f>
        <v/>
      </c>
      <c r="AS926">
        <f>HYPERLINK("https://creighton-primo.hosted.exlibrisgroup.com/primo-explore/search?tab=default_tab&amp;search_scope=EVERYTHING&amp;vid=01CRU&amp;lang=en_US&amp;offset=0&amp;query=any,contains,991004647839702656","Catalog Record")</f>
        <v/>
      </c>
      <c r="AT926">
        <f>HYPERLINK("http://www.worldcat.org/oclc/4492726","WorldCat Record")</f>
        <v/>
      </c>
      <c r="AU926" t="inlineStr">
        <is>
          <t>3765628:eng</t>
        </is>
      </c>
      <c r="AV926" t="inlineStr">
        <is>
          <t>4492726</t>
        </is>
      </c>
      <c r="AW926" t="inlineStr">
        <is>
          <t>991004647839702656</t>
        </is>
      </c>
      <c r="AX926" t="inlineStr">
        <is>
          <t>991004647839702656</t>
        </is>
      </c>
      <c r="AY926" t="inlineStr">
        <is>
          <t>2263553300002656</t>
        </is>
      </c>
      <c r="AZ926" t="inlineStr">
        <is>
          <t>BOOK</t>
        </is>
      </c>
      <c r="BB926" t="inlineStr">
        <is>
          <t>9780195025569</t>
        </is>
      </c>
      <c r="BC926" t="inlineStr">
        <is>
          <t>32285000212679</t>
        </is>
      </c>
      <c r="BD926" t="inlineStr">
        <is>
          <t>893325599</t>
        </is>
      </c>
    </row>
    <row r="927">
      <c r="A927" t="inlineStr">
        <is>
          <t>No</t>
        </is>
      </c>
      <c r="B927" t="inlineStr">
        <is>
          <t>GN741 .B8 1971</t>
        </is>
      </c>
      <c r="C927" t="inlineStr">
        <is>
          <t>0                      GN 0741000B  8           1971</t>
        </is>
      </c>
      <c r="D927" t="inlineStr">
        <is>
          <t>Environment and archeology; an ecological approach to prehistory [by] Karl W. Butzer.</t>
        </is>
      </c>
      <c r="F927" t="inlineStr">
        <is>
          <t>No</t>
        </is>
      </c>
      <c r="G927" t="inlineStr">
        <is>
          <t>1</t>
        </is>
      </c>
      <c r="H927" t="inlineStr">
        <is>
          <t>No</t>
        </is>
      </c>
      <c r="I927" t="inlineStr">
        <is>
          <t>No</t>
        </is>
      </c>
      <c r="J927" t="inlineStr">
        <is>
          <t>0</t>
        </is>
      </c>
      <c r="K927" t="inlineStr">
        <is>
          <t>Butzer, Karl W.</t>
        </is>
      </c>
      <c r="L927" t="inlineStr">
        <is>
          <t>Chicago, Aldine-Atherton [1971]</t>
        </is>
      </c>
      <c r="M927" t="inlineStr">
        <is>
          <t>1971</t>
        </is>
      </c>
      <c r="N927" t="inlineStr">
        <is>
          <t>2d ed.</t>
        </is>
      </c>
      <c r="O927" t="inlineStr">
        <is>
          <t>eng</t>
        </is>
      </c>
      <c r="P927" t="inlineStr">
        <is>
          <t>ilu</t>
        </is>
      </c>
      <c r="R927" t="inlineStr">
        <is>
          <t xml:space="preserve">GN </t>
        </is>
      </c>
      <c r="S927" t="n">
        <v>1</v>
      </c>
      <c r="T927" t="n">
        <v>1</v>
      </c>
      <c r="U927" t="inlineStr">
        <is>
          <t>2008-10-26</t>
        </is>
      </c>
      <c r="V927" t="inlineStr">
        <is>
          <t>2008-10-26</t>
        </is>
      </c>
      <c r="W927" t="inlineStr">
        <is>
          <t>1997-05-29</t>
        </is>
      </c>
      <c r="X927" t="inlineStr">
        <is>
          <t>1997-05-29</t>
        </is>
      </c>
      <c r="Y927" t="n">
        <v>748</v>
      </c>
      <c r="Z927" t="n">
        <v>650</v>
      </c>
      <c r="AA927" t="n">
        <v>681</v>
      </c>
      <c r="AB927" t="n">
        <v>6</v>
      </c>
      <c r="AC927" t="n">
        <v>6</v>
      </c>
      <c r="AD927" t="n">
        <v>26</v>
      </c>
      <c r="AE927" t="n">
        <v>26</v>
      </c>
      <c r="AF927" t="n">
        <v>8</v>
      </c>
      <c r="AG927" t="n">
        <v>8</v>
      </c>
      <c r="AH927" t="n">
        <v>6</v>
      </c>
      <c r="AI927" t="n">
        <v>6</v>
      </c>
      <c r="AJ927" t="n">
        <v>14</v>
      </c>
      <c r="AK927" t="n">
        <v>14</v>
      </c>
      <c r="AL927" t="n">
        <v>5</v>
      </c>
      <c r="AM927" t="n">
        <v>5</v>
      </c>
      <c r="AN927" t="n">
        <v>0</v>
      </c>
      <c r="AO927" t="n">
        <v>0</v>
      </c>
      <c r="AP927" t="inlineStr">
        <is>
          <t>No</t>
        </is>
      </c>
      <c r="AQ927" t="inlineStr">
        <is>
          <t>Yes</t>
        </is>
      </c>
      <c r="AR927">
        <f>HYPERLINK("http://catalog.hathitrust.org/Record/001485903","HathiTrust Record")</f>
        <v/>
      </c>
      <c r="AS927">
        <f>HYPERLINK("https://creighton-primo.hosted.exlibrisgroup.com/primo-explore/search?tab=default_tab&amp;search_scope=EVERYTHING&amp;vid=01CRU&amp;lang=en_US&amp;offset=0&amp;query=any,contains,991000922489702656","Catalog Record")</f>
        <v/>
      </c>
      <c r="AT927">
        <f>HYPERLINK("http://www.worldcat.org/oclc/162181","WorldCat Record")</f>
        <v/>
      </c>
      <c r="AU927" t="inlineStr">
        <is>
          <t>1270906:eng</t>
        </is>
      </c>
      <c r="AV927" t="inlineStr">
        <is>
          <t>162181</t>
        </is>
      </c>
      <c r="AW927" t="inlineStr">
        <is>
          <t>991000922489702656</t>
        </is>
      </c>
      <c r="AX927" t="inlineStr">
        <is>
          <t>991000922489702656</t>
        </is>
      </c>
      <c r="AY927" t="inlineStr">
        <is>
          <t>2268890840002656</t>
        </is>
      </c>
      <c r="AZ927" t="inlineStr">
        <is>
          <t>BOOK</t>
        </is>
      </c>
      <c r="BB927" t="inlineStr">
        <is>
          <t>9780202330235</t>
        </is>
      </c>
      <c r="BC927" t="inlineStr">
        <is>
          <t>32285002697380</t>
        </is>
      </c>
      <c r="BD927" t="inlineStr">
        <is>
          <t>893596032</t>
        </is>
      </c>
    </row>
    <row r="928">
      <c r="A928" t="inlineStr">
        <is>
          <t>No</t>
        </is>
      </c>
      <c r="B928" t="inlineStr">
        <is>
          <t>GN743 .H78 1963</t>
        </is>
      </c>
      <c r="C928" t="inlineStr">
        <is>
          <t>0                      GN 0743000H  78          1963</t>
        </is>
      </c>
      <c r="D928" t="inlineStr">
        <is>
          <t>Back of history : the story of our own origins / Illustrated by Nancy Gahan. Published in co-operation with the American Museum of Natural History.</t>
        </is>
      </c>
      <c r="F928" t="inlineStr">
        <is>
          <t>No</t>
        </is>
      </c>
      <c r="G928" t="inlineStr">
        <is>
          <t>1</t>
        </is>
      </c>
      <c r="H928" t="inlineStr">
        <is>
          <t>No</t>
        </is>
      </c>
      <c r="I928" t="inlineStr">
        <is>
          <t>No</t>
        </is>
      </c>
      <c r="J928" t="inlineStr">
        <is>
          <t>0</t>
        </is>
      </c>
      <c r="K928" t="inlineStr">
        <is>
          <t>Howells, W. W. (William White), 1908-2005.</t>
        </is>
      </c>
      <c r="L928" t="inlineStr">
        <is>
          <t>Garden City, N.Y. : Doubleday, 1963.</t>
        </is>
      </c>
      <c r="M928" t="inlineStr">
        <is>
          <t>1963</t>
        </is>
      </c>
      <c r="N928" t="inlineStr">
        <is>
          <t>Rev. ed. Published in co-operation with the American Museum of Natural History.</t>
        </is>
      </c>
      <c r="O928" t="inlineStr">
        <is>
          <t>eng</t>
        </is>
      </c>
      <c r="P928" t="inlineStr">
        <is>
          <t>nyu</t>
        </is>
      </c>
      <c r="Q928" t="inlineStr">
        <is>
          <t>The Natural history library ; N34</t>
        </is>
      </c>
      <c r="R928" t="inlineStr">
        <is>
          <t xml:space="preserve">GN </t>
        </is>
      </c>
      <c r="S928" t="n">
        <v>3</v>
      </c>
      <c r="T928" t="n">
        <v>3</v>
      </c>
      <c r="U928" t="inlineStr">
        <is>
          <t>1995-02-06</t>
        </is>
      </c>
      <c r="V928" t="inlineStr">
        <is>
          <t>1995-02-06</t>
        </is>
      </c>
      <c r="W928" t="inlineStr">
        <is>
          <t>1990-10-01</t>
        </is>
      </c>
      <c r="X928" t="inlineStr">
        <is>
          <t>1990-10-01</t>
        </is>
      </c>
      <c r="Y928" t="n">
        <v>463</v>
      </c>
      <c r="Z928" t="n">
        <v>410</v>
      </c>
      <c r="AA928" t="n">
        <v>971</v>
      </c>
      <c r="AB928" t="n">
        <v>2</v>
      </c>
      <c r="AC928" t="n">
        <v>7</v>
      </c>
      <c r="AD928" t="n">
        <v>19</v>
      </c>
      <c r="AE928" t="n">
        <v>40</v>
      </c>
      <c r="AF928" t="n">
        <v>8</v>
      </c>
      <c r="AG928" t="n">
        <v>16</v>
      </c>
      <c r="AH928" t="n">
        <v>4</v>
      </c>
      <c r="AI928" t="n">
        <v>7</v>
      </c>
      <c r="AJ928" t="n">
        <v>10</v>
      </c>
      <c r="AK928" t="n">
        <v>19</v>
      </c>
      <c r="AL928" t="n">
        <v>1</v>
      </c>
      <c r="AM928" t="n">
        <v>5</v>
      </c>
      <c r="AN928" t="n">
        <v>0</v>
      </c>
      <c r="AO928" t="n">
        <v>0</v>
      </c>
      <c r="AP928" t="inlineStr">
        <is>
          <t>No</t>
        </is>
      </c>
      <c r="AQ928" t="inlineStr">
        <is>
          <t>No</t>
        </is>
      </c>
      <c r="AR928">
        <f>HYPERLINK("http://catalog.hathitrust.org/Record/010826477","HathiTrust Record")</f>
        <v/>
      </c>
      <c r="AS928">
        <f>HYPERLINK("https://creighton-primo.hosted.exlibrisgroup.com/primo-explore/search?tab=default_tab&amp;search_scope=EVERYTHING&amp;vid=01CRU&amp;lang=en_US&amp;offset=0&amp;query=any,contains,991003432319702656","Catalog Record")</f>
        <v/>
      </c>
      <c r="AT928">
        <f>HYPERLINK("http://www.worldcat.org/oclc/967090","WorldCat Record")</f>
        <v/>
      </c>
      <c r="AU928" t="inlineStr">
        <is>
          <t>802429494:eng</t>
        </is>
      </c>
      <c r="AV928" t="inlineStr">
        <is>
          <t>967090</t>
        </is>
      </c>
      <c r="AW928" t="inlineStr">
        <is>
          <t>991003432319702656</t>
        </is>
      </c>
      <c r="AX928" t="inlineStr">
        <is>
          <t>991003432319702656</t>
        </is>
      </c>
      <c r="AY928" t="inlineStr">
        <is>
          <t>2263997320002656</t>
        </is>
      </c>
      <c r="AZ928" t="inlineStr">
        <is>
          <t>BOOK</t>
        </is>
      </c>
      <c r="BC928" t="inlineStr">
        <is>
          <t>32285000317437</t>
        </is>
      </c>
      <c r="BD928" t="inlineStr">
        <is>
          <t>893228051</t>
        </is>
      </c>
    </row>
    <row r="929">
      <c r="A929" t="inlineStr">
        <is>
          <t>No</t>
        </is>
      </c>
      <c r="B929" t="inlineStr">
        <is>
          <t>GN751 .A8</t>
        </is>
      </c>
      <c r="C929" t="inlineStr">
        <is>
          <t>0                      GN 0751000A  8</t>
        </is>
      </c>
      <c r="D929" t="inlineStr">
        <is>
          <t>Atlantis, fact or fiction? / Edited by Edwin S. Ramage ; contributors, J. Rufus Fears ... [et al.].</t>
        </is>
      </c>
      <c r="F929" t="inlineStr">
        <is>
          <t>No</t>
        </is>
      </c>
      <c r="G929" t="inlineStr">
        <is>
          <t>1</t>
        </is>
      </c>
      <c r="H929" t="inlineStr">
        <is>
          <t>No</t>
        </is>
      </c>
      <c r="I929" t="inlineStr">
        <is>
          <t>No</t>
        </is>
      </c>
      <c r="J929" t="inlineStr">
        <is>
          <t>0</t>
        </is>
      </c>
      <c r="L929" t="inlineStr">
        <is>
          <t>Bloomington : Indiana University Press, c1978.</t>
        </is>
      </c>
      <c r="M929" t="inlineStr">
        <is>
          <t>1978</t>
        </is>
      </c>
      <c r="O929" t="inlineStr">
        <is>
          <t>eng</t>
        </is>
      </c>
      <c r="P929" t="inlineStr">
        <is>
          <t>inu</t>
        </is>
      </c>
      <c r="R929" t="inlineStr">
        <is>
          <t xml:space="preserve">GN </t>
        </is>
      </c>
      <c r="S929" t="n">
        <v>11</v>
      </c>
      <c r="T929" t="n">
        <v>11</v>
      </c>
      <c r="U929" t="inlineStr">
        <is>
          <t>2000-10-26</t>
        </is>
      </c>
      <c r="V929" t="inlineStr">
        <is>
          <t>2000-10-26</t>
        </is>
      </c>
      <c r="W929" t="inlineStr">
        <is>
          <t>1990-06-22</t>
        </is>
      </c>
      <c r="X929" t="inlineStr">
        <is>
          <t>1990-06-22</t>
        </is>
      </c>
      <c r="Y929" t="n">
        <v>964</v>
      </c>
      <c r="Z929" t="n">
        <v>865</v>
      </c>
      <c r="AA929" t="n">
        <v>875</v>
      </c>
      <c r="AB929" t="n">
        <v>8</v>
      </c>
      <c r="AC929" t="n">
        <v>8</v>
      </c>
      <c r="AD929" t="n">
        <v>31</v>
      </c>
      <c r="AE929" t="n">
        <v>31</v>
      </c>
      <c r="AF929" t="n">
        <v>13</v>
      </c>
      <c r="AG929" t="n">
        <v>13</v>
      </c>
      <c r="AH929" t="n">
        <v>6</v>
      </c>
      <c r="AI929" t="n">
        <v>6</v>
      </c>
      <c r="AJ929" t="n">
        <v>12</v>
      </c>
      <c r="AK929" t="n">
        <v>12</v>
      </c>
      <c r="AL929" t="n">
        <v>5</v>
      </c>
      <c r="AM929" t="n">
        <v>5</v>
      </c>
      <c r="AN929" t="n">
        <v>1</v>
      </c>
      <c r="AO929" t="n">
        <v>1</v>
      </c>
      <c r="AP929" t="inlineStr">
        <is>
          <t>No</t>
        </is>
      </c>
      <c r="AQ929" t="inlineStr">
        <is>
          <t>Yes</t>
        </is>
      </c>
      <c r="AR929">
        <f>HYPERLINK("http://catalog.hathitrust.org/Record/000131625","HathiTrust Record")</f>
        <v/>
      </c>
      <c r="AS929">
        <f>HYPERLINK("https://creighton-primo.hosted.exlibrisgroup.com/primo-explore/search?tab=default_tab&amp;search_scope=EVERYTHING&amp;vid=01CRU&amp;lang=en_US&amp;offset=0&amp;query=any,contains,991004499289702656","Catalog Record")</f>
        <v/>
      </c>
      <c r="AT929">
        <f>HYPERLINK("http://www.worldcat.org/oclc/3710585","WorldCat Record")</f>
        <v/>
      </c>
      <c r="AU929" t="inlineStr">
        <is>
          <t>365333111:eng</t>
        </is>
      </c>
      <c r="AV929" t="inlineStr">
        <is>
          <t>3710585</t>
        </is>
      </c>
      <c r="AW929" t="inlineStr">
        <is>
          <t>991004499289702656</t>
        </is>
      </c>
      <c r="AX929" t="inlineStr">
        <is>
          <t>991004499289702656</t>
        </is>
      </c>
      <c r="AY929" t="inlineStr">
        <is>
          <t>2263901620002656</t>
        </is>
      </c>
      <c r="AZ929" t="inlineStr">
        <is>
          <t>BOOK</t>
        </is>
      </c>
      <c r="BB929" t="inlineStr">
        <is>
          <t>9780253104823</t>
        </is>
      </c>
      <c r="BC929" t="inlineStr">
        <is>
          <t>32285000212687</t>
        </is>
      </c>
      <c r="BD929" t="inlineStr">
        <is>
          <t>893593743</t>
        </is>
      </c>
    </row>
    <row r="930">
      <c r="A930" t="inlineStr">
        <is>
          <t>No</t>
        </is>
      </c>
      <c r="B930" t="inlineStr">
        <is>
          <t>GN751 .B388 1984</t>
        </is>
      </c>
      <c r="C930" t="inlineStr">
        <is>
          <t>0                      GN 0751000B  388         1984</t>
        </is>
      </c>
      <c r="D930" t="inlineStr">
        <is>
          <t>Atlantis, the eighth continent / Charles Berlitz.</t>
        </is>
      </c>
      <c r="F930" t="inlineStr">
        <is>
          <t>No</t>
        </is>
      </c>
      <c r="G930" t="inlineStr">
        <is>
          <t>1</t>
        </is>
      </c>
      <c r="H930" t="inlineStr">
        <is>
          <t>No</t>
        </is>
      </c>
      <c r="I930" t="inlineStr">
        <is>
          <t>Yes</t>
        </is>
      </c>
      <c r="J930" t="inlineStr">
        <is>
          <t>0</t>
        </is>
      </c>
      <c r="K930" t="inlineStr">
        <is>
          <t>Berlitz, Charles, 1914-2003.</t>
        </is>
      </c>
      <c r="L930" t="inlineStr">
        <is>
          <t>New York : G.P. Putnam's, c1984.</t>
        </is>
      </c>
      <c r="M930" t="inlineStr">
        <is>
          <t>1984</t>
        </is>
      </c>
      <c r="O930" t="inlineStr">
        <is>
          <t>eng</t>
        </is>
      </c>
      <c r="P930" t="inlineStr">
        <is>
          <t>nyu</t>
        </is>
      </c>
      <c r="R930" t="inlineStr">
        <is>
          <t xml:space="preserve">GN </t>
        </is>
      </c>
      <c r="S930" t="n">
        <v>6</v>
      </c>
      <c r="T930" t="n">
        <v>6</v>
      </c>
      <c r="U930" t="inlineStr">
        <is>
          <t>1998-10-08</t>
        </is>
      </c>
      <c r="V930" t="inlineStr">
        <is>
          <t>1998-10-08</t>
        </is>
      </c>
      <c r="W930" t="inlineStr">
        <is>
          <t>1994-12-15</t>
        </is>
      </c>
      <c r="X930" t="inlineStr">
        <is>
          <t>1994-12-15</t>
        </is>
      </c>
      <c r="Y930" t="n">
        <v>1030</v>
      </c>
      <c r="Z930" t="n">
        <v>997</v>
      </c>
      <c r="AA930" t="n">
        <v>1053</v>
      </c>
      <c r="AB930" t="n">
        <v>9</v>
      </c>
      <c r="AC930" t="n">
        <v>10</v>
      </c>
      <c r="AD930" t="n">
        <v>9</v>
      </c>
      <c r="AE930" t="n">
        <v>9</v>
      </c>
      <c r="AF930" t="n">
        <v>4</v>
      </c>
      <c r="AG930" t="n">
        <v>4</v>
      </c>
      <c r="AH930" t="n">
        <v>0</v>
      </c>
      <c r="AI930" t="n">
        <v>0</v>
      </c>
      <c r="AJ930" t="n">
        <v>3</v>
      </c>
      <c r="AK930" t="n">
        <v>3</v>
      </c>
      <c r="AL930" t="n">
        <v>4</v>
      </c>
      <c r="AM930" t="n">
        <v>4</v>
      </c>
      <c r="AN930" t="n">
        <v>0</v>
      </c>
      <c r="AO930" t="n">
        <v>0</v>
      </c>
      <c r="AP930" t="inlineStr">
        <is>
          <t>No</t>
        </is>
      </c>
      <c r="AQ930" t="inlineStr">
        <is>
          <t>Yes</t>
        </is>
      </c>
      <c r="AR930">
        <f>HYPERLINK("http://catalog.hathitrust.org/Record/000326808","HathiTrust Record")</f>
        <v/>
      </c>
      <c r="AS930">
        <f>HYPERLINK("https://creighton-primo.hosted.exlibrisgroup.com/primo-explore/search?tab=default_tab&amp;search_scope=EVERYTHING&amp;vid=01CRU&amp;lang=en_US&amp;offset=0&amp;query=any,contains,991000336269702656","Catalog Record")</f>
        <v/>
      </c>
      <c r="AT930">
        <f>HYPERLINK("http://www.worldcat.org/oclc/10229945","WorldCat Record")</f>
        <v/>
      </c>
      <c r="AU930" t="inlineStr">
        <is>
          <t>117451065:eng</t>
        </is>
      </c>
      <c r="AV930" t="inlineStr">
        <is>
          <t>10229945</t>
        </is>
      </c>
      <c r="AW930" t="inlineStr">
        <is>
          <t>991000336269702656</t>
        </is>
      </c>
      <c r="AX930" t="inlineStr">
        <is>
          <t>991000336269702656</t>
        </is>
      </c>
      <c r="AY930" t="inlineStr">
        <is>
          <t>2262243880002656</t>
        </is>
      </c>
      <c r="AZ930" t="inlineStr">
        <is>
          <t>BOOK</t>
        </is>
      </c>
      <c r="BB930" t="inlineStr">
        <is>
          <t>9780399128929</t>
        </is>
      </c>
      <c r="BC930" t="inlineStr">
        <is>
          <t>32285000182641</t>
        </is>
      </c>
      <c r="BD930" t="inlineStr">
        <is>
          <t>893695756</t>
        </is>
      </c>
    </row>
    <row r="931">
      <c r="A931" t="inlineStr">
        <is>
          <t>No</t>
        </is>
      </c>
      <c r="B931" t="inlineStr">
        <is>
          <t>GN751 .B388 1985</t>
        </is>
      </c>
      <c r="C931" t="inlineStr">
        <is>
          <t>0                      GN 0751000B  388         1985</t>
        </is>
      </c>
      <c r="D931" t="inlineStr">
        <is>
          <t>Atlantis, the eighth continent / Charles Berlitz.</t>
        </is>
      </c>
      <c r="F931" t="inlineStr">
        <is>
          <t>No</t>
        </is>
      </c>
      <c r="G931" t="inlineStr">
        <is>
          <t>1</t>
        </is>
      </c>
      <c r="H931" t="inlineStr">
        <is>
          <t>No</t>
        </is>
      </c>
      <c r="I931" t="inlineStr">
        <is>
          <t>Yes</t>
        </is>
      </c>
      <c r="J931" t="inlineStr">
        <is>
          <t>0</t>
        </is>
      </c>
      <c r="K931" t="inlineStr">
        <is>
          <t>Berlitz, Charles, 1914-2003.</t>
        </is>
      </c>
      <c r="L931" t="inlineStr">
        <is>
          <t>New York : Ballantine Books, 1985, c1984.</t>
        </is>
      </c>
      <c r="M931" t="inlineStr">
        <is>
          <t>1985</t>
        </is>
      </c>
      <c r="O931" t="inlineStr">
        <is>
          <t>eng</t>
        </is>
      </c>
      <c r="P931" t="inlineStr">
        <is>
          <t>nyu</t>
        </is>
      </c>
      <c r="R931" t="inlineStr">
        <is>
          <t xml:space="preserve">GN </t>
        </is>
      </c>
      <c r="S931" t="n">
        <v>14</v>
      </c>
      <c r="T931" t="n">
        <v>14</v>
      </c>
      <c r="U931" t="inlineStr">
        <is>
          <t>2000-10-26</t>
        </is>
      </c>
      <c r="V931" t="inlineStr">
        <is>
          <t>2000-10-26</t>
        </is>
      </c>
      <c r="W931" t="inlineStr">
        <is>
          <t>1992-08-31</t>
        </is>
      </c>
      <c r="X931" t="inlineStr">
        <is>
          <t>1992-08-31</t>
        </is>
      </c>
      <c r="Y931" t="n">
        <v>79</v>
      </c>
      <c r="Z931" t="n">
        <v>76</v>
      </c>
      <c r="AA931" t="n">
        <v>1053</v>
      </c>
      <c r="AB931" t="n">
        <v>2</v>
      </c>
      <c r="AC931" t="n">
        <v>10</v>
      </c>
      <c r="AD931" t="n">
        <v>0</v>
      </c>
      <c r="AE931" t="n">
        <v>9</v>
      </c>
      <c r="AF931" t="n">
        <v>0</v>
      </c>
      <c r="AG931" t="n">
        <v>4</v>
      </c>
      <c r="AH931" t="n">
        <v>0</v>
      </c>
      <c r="AI931" t="n">
        <v>0</v>
      </c>
      <c r="AJ931" t="n">
        <v>0</v>
      </c>
      <c r="AK931" t="n">
        <v>3</v>
      </c>
      <c r="AL931" t="n">
        <v>0</v>
      </c>
      <c r="AM931" t="n">
        <v>4</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HYPERLINK("https://creighton-primo.hosted.exlibrisgroup.com/primo-explore/search?tab=default_tab&amp;search_scope=EVERYTHING&amp;vid=01CRU&amp;lang=en_US&amp;offset=0&amp;query=any,contains,991000665799702656","Catalog Record")</f>
        <v/>
      </c>
      <c r="AT931">
        <f>HYPERLINK("http://www.worldcat.org/oclc/12277198","WorldCat Record")</f>
        <v/>
      </c>
      <c r="AU931" t="inlineStr">
        <is>
          <t>117451065:eng</t>
        </is>
      </c>
      <c r="AV931" t="inlineStr">
        <is>
          <t>12277198</t>
        </is>
      </c>
      <c r="AW931" t="inlineStr">
        <is>
          <t>991000665799702656</t>
        </is>
      </c>
      <c r="AX931" t="inlineStr">
        <is>
          <t>991000665799702656</t>
        </is>
      </c>
      <c r="AY931" t="inlineStr">
        <is>
          <t>2267451950002656</t>
        </is>
      </c>
      <c r="AZ931" t="inlineStr">
        <is>
          <t>BOOK</t>
        </is>
      </c>
      <c r="BB931" t="inlineStr">
        <is>
          <t>9780449207420</t>
        </is>
      </c>
      <c r="BC931" t="inlineStr">
        <is>
          <t>32285001199859</t>
        </is>
      </c>
      <c r="BD931" t="inlineStr">
        <is>
          <t>893237504</t>
        </is>
      </c>
    </row>
    <row r="932">
      <c r="A932" t="inlineStr">
        <is>
          <t>No</t>
        </is>
      </c>
      <c r="B932" t="inlineStr">
        <is>
          <t>GN771 .W93 1982</t>
        </is>
      </c>
      <c r="C932" t="inlineStr">
        <is>
          <t>0                      GN 0771000W  93          1982</t>
        </is>
      </c>
      <c r="D932" t="inlineStr">
        <is>
          <t>The Palaeolithic Age / John Wymer.</t>
        </is>
      </c>
      <c r="F932" t="inlineStr">
        <is>
          <t>No</t>
        </is>
      </c>
      <c r="G932" t="inlineStr">
        <is>
          <t>1</t>
        </is>
      </c>
      <c r="H932" t="inlineStr">
        <is>
          <t>No</t>
        </is>
      </c>
      <c r="I932" t="inlineStr">
        <is>
          <t>No</t>
        </is>
      </c>
      <c r="J932" t="inlineStr">
        <is>
          <t>0</t>
        </is>
      </c>
      <c r="K932" t="inlineStr">
        <is>
          <t>Wymer, John.</t>
        </is>
      </c>
      <c r="L932" t="inlineStr">
        <is>
          <t>New York : St. Martin's Press, 1981, c1982.</t>
        </is>
      </c>
      <c r="M932" t="inlineStr">
        <is>
          <t>1981</t>
        </is>
      </c>
      <c r="O932" t="inlineStr">
        <is>
          <t>eng</t>
        </is>
      </c>
      <c r="P932" t="inlineStr">
        <is>
          <t>nyu</t>
        </is>
      </c>
      <c r="R932" t="inlineStr">
        <is>
          <t xml:space="preserve">GN </t>
        </is>
      </c>
      <c r="S932" t="n">
        <v>1</v>
      </c>
      <c r="T932" t="n">
        <v>1</v>
      </c>
      <c r="U932" t="inlineStr">
        <is>
          <t>1992-03-02</t>
        </is>
      </c>
      <c r="V932" t="inlineStr">
        <is>
          <t>1992-03-02</t>
        </is>
      </c>
      <c r="W932" t="inlineStr">
        <is>
          <t>1990-10-01</t>
        </is>
      </c>
      <c r="X932" t="inlineStr">
        <is>
          <t>1990-10-01</t>
        </is>
      </c>
      <c r="Y932" t="n">
        <v>320</v>
      </c>
      <c r="Z932" t="n">
        <v>290</v>
      </c>
      <c r="AA932" t="n">
        <v>342</v>
      </c>
      <c r="AB932" t="n">
        <v>1</v>
      </c>
      <c r="AC932" t="n">
        <v>2</v>
      </c>
      <c r="AD932" t="n">
        <v>3</v>
      </c>
      <c r="AE932" t="n">
        <v>4</v>
      </c>
      <c r="AF932" t="n">
        <v>0</v>
      </c>
      <c r="AG932" t="n">
        <v>0</v>
      </c>
      <c r="AH932" t="n">
        <v>1</v>
      </c>
      <c r="AI932" t="n">
        <v>1</v>
      </c>
      <c r="AJ932" t="n">
        <v>2</v>
      </c>
      <c r="AK932" t="n">
        <v>2</v>
      </c>
      <c r="AL932" t="n">
        <v>0</v>
      </c>
      <c r="AM932" t="n">
        <v>1</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HYPERLINK("https://creighton-primo.hosted.exlibrisgroup.com/primo-explore/search?tab=default_tab&amp;search_scope=EVERYTHING&amp;vid=01CRU&amp;lang=en_US&amp;offset=0&amp;query=any,contains,991005197179702656","Catalog Record")</f>
        <v/>
      </c>
      <c r="AT932">
        <f>HYPERLINK("http://www.worldcat.org/oclc/8051567","WorldCat Record")</f>
        <v/>
      </c>
      <c r="AU932" t="inlineStr">
        <is>
          <t>443527:eng</t>
        </is>
      </c>
      <c r="AV932" t="inlineStr">
        <is>
          <t>8051567</t>
        </is>
      </c>
      <c r="AW932" t="inlineStr">
        <is>
          <t>991005197179702656</t>
        </is>
      </c>
      <c r="AX932" t="inlineStr">
        <is>
          <t>991005197179702656</t>
        </is>
      </c>
      <c r="AY932" t="inlineStr">
        <is>
          <t>2258836430002656</t>
        </is>
      </c>
      <c r="AZ932" t="inlineStr">
        <is>
          <t>BOOK</t>
        </is>
      </c>
      <c r="BB932" t="inlineStr">
        <is>
          <t>9780312594763</t>
        </is>
      </c>
      <c r="BC932" t="inlineStr">
        <is>
          <t>32285000317452</t>
        </is>
      </c>
      <c r="BD932" t="inlineStr">
        <is>
          <t>893783182</t>
        </is>
      </c>
    </row>
    <row r="933">
      <c r="A933" t="inlineStr">
        <is>
          <t>No</t>
        </is>
      </c>
      <c r="B933" t="inlineStr">
        <is>
          <t>GN772.22.F7 B32 1988</t>
        </is>
      </c>
      <c r="C933" t="inlineStr">
        <is>
          <t>0                      GN 0772220F  7                  B  32          1988</t>
        </is>
      </c>
      <c r="D933" t="inlineStr">
        <is>
          <t>Images of the Ice Age / Paul G. Bahn &amp; Jean Vertut.</t>
        </is>
      </c>
      <c r="F933" t="inlineStr">
        <is>
          <t>No</t>
        </is>
      </c>
      <c r="G933" t="inlineStr">
        <is>
          <t>1</t>
        </is>
      </c>
      <c r="H933" t="inlineStr">
        <is>
          <t>No</t>
        </is>
      </c>
      <c r="I933" t="inlineStr">
        <is>
          <t>No</t>
        </is>
      </c>
      <c r="J933" t="inlineStr">
        <is>
          <t>0</t>
        </is>
      </c>
      <c r="K933" t="inlineStr">
        <is>
          <t>Bahn, Paul G.</t>
        </is>
      </c>
      <c r="L933" t="inlineStr">
        <is>
          <t>New York : Facts on File, c1988.</t>
        </is>
      </c>
      <c r="M933" t="inlineStr">
        <is>
          <t>1988</t>
        </is>
      </c>
      <c r="O933" t="inlineStr">
        <is>
          <t>eng</t>
        </is>
      </c>
      <c r="P933" t="inlineStr">
        <is>
          <t>nyu</t>
        </is>
      </c>
      <c r="R933" t="inlineStr">
        <is>
          <t xml:space="preserve">GN </t>
        </is>
      </c>
      <c r="S933" t="n">
        <v>0</v>
      </c>
      <c r="T933" t="n">
        <v>0</v>
      </c>
      <c r="U933" t="inlineStr">
        <is>
          <t>2003-10-02</t>
        </is>
      </c>
      <c r="V933" t="inlineStr">
        <is>
          <t>2003-10-02</t>
        </is>
      </c>
      <c r="W933" t="inlineStr">
        <is>
          <t>1990-07-05</t>
        </is>
      </c>
      <c r="X933" t="inlineStr">
        <is>
          <t>1990-07-05</t>
        </is>
      </c>
      <c r="Y933" t="n">
        <v>620</v>
      </c>
      <c r="Z933" t="n">
        <v>541</v>
      </c>
      <c r="AA933" t="n">
        <v>697</v>
      </c>
      <c r="AB933" t="n">
        <v>2</v>
      </c>
      <c r="AC933" t="n">
        <v>3</v>
      </c>
      <c r="AD933" t="n">
        <v>12</v>
      </c>
      <c r="AE933" t="n">
        <v>16</v>
      </c>
      <c r="AF933" t="n">
        <v>9</v>
      </c>
      <c r="AG933" t="n">
        <v>9</v>
      </c>
      <c r="AH933" t="n">
        <v>3</v>
      </c>
      <c r="AI933" t="n">
        <v>5</v>
      </c>
      <c r="AJ933" t="n">
        <v>5</v>
      </c>
      <c r="AK933" t="n">
        <v>7</v>
      </c>
      <c r="AL933" t="n">
        <v>0</v>
      </c>
      <c r="AM933" t="n">
        <v>1</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HYPERLINK("https://creighton-primo.hosted.exlibrisgroup.com/primo-explore/search?tab=default_tab&amp;search_scope=EVERYTHING&amp;vid=01CRU&amp;lang=en_US&amp;offset=0&amp;query=any,contains,991001400559702656","Catalog Record")</f>
        <v/>
      </c>
      <c r="AT933">
        <f>HYPERLINK("http://www.worldcat.org/oclc/18816943","WorldCat Record")</f>
        <v/>
      </c>
      <c r="AU933" t="inlineStr">
        <is>
          <t>18484618:eng</t>
        </is>
      </c>
      <c r="AV933" t="inlineStr">
        <is>
          <t>18816943</t>
        </is>
      </c>
      <c r="AW933" t="inlineStr">
        <is>
          <t>991001400559702656</t>
        </is>
      </c>
      <c r="AX933" t="inlineStr">
        <is>
          <t>991001400559702656</t>
        </is>
      </c>
      <c r="AY933" t="inlineStr">
        <is>
          <t>2266178820002656</t>
        </is>
      </c>
      <c r="AZ933" t="inlineStr">
        <is>
          <t>BOOK</t>
        </is>
      </c>
      <c r="BB933" t="inlineStr">
        <is>
          <t>9780816021307</t>
        </is>
      </c>
      <c r="BC933" t="inlineStr">
        <is>
          <t>32285000207471</t>
        </is>
      </c>
      <c r="BD933" t="inlineStr">
        <is>
          <t>893420302</t>
        </is>
      </c>
    </row>
    <row r="934">
      <c r="A934" t="inlineStr">
        <is>
          <t>No</t>
        </is>
      </c>
      <c r="B934" t="inlineStr">
        <is>
          <t>GN772.22.S6 B7</t>
        </is>
      </c>
      <c r="C934" t="inlineStr">
        <is>
          <t>0                      GN 0772220S  6                  B  7</t>
        </is>
      </c>
      <c r="D934" t="inlineStr">
        <is>
          <t>The hunters or the hunted? : An introduction to African cave taphonomy / C. K. Brain.</t>
        </is>
      </c>
      <c r="F934" t="inlineStr">
        <is>
          <t>No</t>
        </is>
      </c>
      <c r="G934" t="inlineStr">
        <is>
          <t>1</t>
        </is>
      </c>
      <c r="H934" t="inlineStr">
        <is>
          <t>No</t>
        </is>
      </c>
      <c r="I934" t="inlineStr">
        <is>
          <t>No</t>
        </is>
      </c>
      <c r="J934" t="inlineStr">
        <is>
          <t>0</t>
        </is>
      </c>
      <c r="K934" t="inlineStr">
        <is>
          <t>Brain, C. K. (Charles Kimberlin)</t>
        </is>
      </c>
      <c r="L934" t="inlineStr">
        <is>
          <t>Chicago : University of Chicago Press, 1981.</t>
        </is>
      </c>
      <c r="M934" t="inlineStr">
        <is>
          <t>1981</t>
        </is>
      </c>
      <c r="O934" t="inlineStr">
        <is>
          <t>eng</t>
        </is>
      </c>
      <c r="P934" t="inlineStr">
        <is>
          <t>ilu</t>
        </is>
      </c>
      <c r="R934" t="inlineStr">
        <is>
          <t xml:space="preserve">GN </t>
        </is>
      </c>
      <c r="S934" t="n">
        <v>2</v>
      </c>
      <c r="T934" t="n">
        <v>2</v>
      </c>
      <c r="U934" t="inlineStr">
        <is>
          <t>1994-02-18</t>
        </is>
      </c>
      <c r="V934" t="inlineStr">
        <is>
          <t>1994-02-18</t>
        </is>
      </c>
      <c r="W934" t="inlineStr">
        <is>
          <t>1990-10-01</t>
        </is>
      </c>
      <c r="X934" t="inlineStr">
        <is>
          <t>1990-10-01</t>
        </is>
      </c>
      <c r="Y934" t="n">
        <v>617</v>
      </c>
      <c r="Z934" t="n">
        <v>494</v>
      </c>
      <c r="AA934" t="n">
        <v>500</v>
      </c>
      <c r="AB934" t="n">
        <v>4</v>
      </c>
      <c r="AC934" t="n">
        <v>4</v>
      </c>
      <c r="AD934" t="n">
        <v>14</v>
      </c>
      <c r="AE934" t="n">
        <v>14</v>
      </c>
      <c r="AF934" t="n">
        <v>4</v>
      </c>
      <c r="AG934" t="n">
        <v>4</v>
      </c>
      <c r="AH934" t="n">
        <v>4</v>
      </c>
      <c r="AI934" t="n">
        <v>4</v>
      </c>
      <c r="AJ934" t="n">
        <v>7</v>
      </c>
      <c r="AK934" t="n">
        <v>7</v>
      </c>
      <c r="AL934" t="n">
        <v>3</v>
      </c>
      <c r="AM934" t="n">
        <v>3</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HYPERLINK("https://creighton-primo.hosted.exlibrisgroup.com/primo-explore/search?tab=default_tab&amp;search_scope=EVERYTHING&amp;vid=01CRU&amp;lang=en_US&amp;offset=0&amp;query=any,contains,991004884919702656","Catalog Record")</f>
        <v/>
      </c>
      <c r="AT934">
        <f>HYPERLINK("http://www.worldcat.org/oclc/5831309","WorldCat Record")</f>
        <v/>
      </c>
      <c r="AU934" t="inlineStr">
        <is>
          <t>890025192:eng</t>
        </is>
      </c>
      <c r="AV934" t="inlineStr">
        <is>
          <t>5831309</t>
        </is>
      </c>
      <c r="AW934" t="inlineStr">
        <is>
          <t>991004884919702656</t>
        </is>
      </c>
      <c r="AX934" t="inlineStr">
        <is>
          <t>991004884919702656</t>
        </is>
      </c>
      <c r="AY934" t="inlineStr">
        <is>
          <t>2263227480002656</t>
        </is>
      </c>
      <c r="AZ934" t="inlineStr">
        <is>
          <t>BOOK</t>
        </is>
      </c>
      <c r="BB934" t="inlineStr">
        <is>
          <t>9780226070896</t>
        </is>
      </c>
      <c r="BC934" t="inlineStr">
        <is>
          <t>32285000317478</t>
        </is>
      </c>
      <c r="BD934" t="inlineStr">
        <is>
          <t>893901867</t>
        </is>
      </c>
    </row>
    <row r="935">
      <c r="A935" t="inlineStr">
        <is>
          <t>No</t>
        </is>
      </c>
      <c r="B935" t="inlineStr">
        <is>
          <t>GN776 .S26 1987</t>
        </is>
      </c>
      <c r="C935" t="inlineStr">
        <is>
          <t>0                      GN 0776000S  26          1987</t>
        </is>
      </c>
      <c r="D935" t="inlineStr">
        <is>
          <t>Plato prehistorian : 10,000 to 5000 B.C. in myth and archaeology / Mary Settegast ; [illustrations by Ann Hatfield, Eliza McFadden, Elizabeth Wahle].</t>
        </is>
      </c>
      <c r="F935" t="inlineStr">
        <is>
          <t>No</t>
        </is>
      </c>
      <c r="G935" t="inlineStr">
        <is>
          <t>1</t>
        </is>
      </c>
      <c r="H935" t="inlineStr">
        <is>
          <t>No</t>
        </is>
      </c>
      <c r="I935" t="inlineStr">
        <is>
          <t>No</t>
        </is>
      </c>
      <c r="J935" t="inlineStr">
        <is>
          <t>0</t>
        </is>
      </c>
      <c r="K935" t="inlineStr">
        <is>
          <t>Settegast, Mary.</t>
        </is>
      </c>
      <c r="L935" t="inlineStr">
        <is>
          <t>Cambridge, Mass. : Rotenberg Press, 1987, c1986.</t>
        </is>
      </c>
      <c r="M935" t="inlineStr">
        <is>
          <t>1987</t>
        </is>
      </c>
      <c r="O935" t="inlineStr">
        <is>
          <t>eng</t>
        </is>
      </c>
      <c r="P935" t="inlineStr">
        <is>
          <t>mau</t>
        </is>
      </c>
      <c r="R935" t="inlineStr">
        <is>
          <t xml:space="preserve">GN </t>
        </is>
      </c>
      <c r="S935" t="n">
        <v>1</v>
      </c>
      <c r="T935" t="n">
        <v>1</v>
      </c>
      <c r="U935" t="inlineStr">
        <is>
          <t>2002-12-23</t>
        </is>
      </c>
      <c r="V935" t="inlineStr">
        <is>
          <t>2002-12-23</t>
        </is>
      </c>
      <c r="W935" t="inlineStr">
        <is>
          <t>1990-10-01</t>
        </is>
      </c>
      <c r="X935" t="inlineStr">
        <is>
          <t>1990-10-01</t>
        </is>
      </c>
      <c r="Y935" t="n">
        <v>299</v>
      </c>
      <c r="Z935" t="n">
        <v>285</v>
      </c>
      <c r="AA935" t="n">
        <v>321</v>
      </c>
      <c r="AB935" t="n">
        <v>3</v>
      </c>
      <c r="AC935" t="n">
        <v>3</v>
      </c>
      <c r="AD935" t="n">
        <v>14</v>
      </c>
      <c r="AE935" t="n">
        <v>14</v>
      </c>
      <c r="AF935" t="n">
        <v>3</v>
      </c>
      <c r="AG935" t="n">
        <v>3</v>
      </c>
      <c r="AH935" t="n">
        <v>3</v>
      </c>
      <c r="AI935" t="n">
        <v>3</v>
      </c>
      <c r="AJ935" t="n">
        <v>8</v>
      </c>
      <c r="AK935" t="n">
        <v>8</v>
      </c>
      <c r="AL935" t="n">
        <v>2</v>
      </c>
      <c r="AM935" t="n">
        <v>2</v>
      </c>
      <c r="AN935" t="n">
        <v>0</v>
      </c>
      <c r="AO935" t="n">
        <v>0</v>
      </c>
      <c r="AP935" t="inlineStr">
        <is>
          <t>No</t>
        </is>
      </c>
      <c r="AQ935" t="inlineStr">
        <is>
          <t>Yes</t>
        </is>
      </c>
      <c r="AR935">
        <f>HYPERLINK("http://catalog.hathitrust.org/Record/000940180","HathiTrust Record")</f>
        <v/>
      </c>
      <c r="AS935">
        <f>HYPERLINK("https://creighton-primo.hosted.exlibrisgroup.com/primo-explore/search?tab=default_tab&amp;search_scope=EVERYTHING&amp;vid=01CRU&amp;lang=en_US&amp;offset=0&amp;query=any,contains,991001032269702656","Catalog Record")</f>
        <v/>
      </c>
      <c r="AT935">
        <f>HYPERLINK("http://www.worldcat.org/oclc/15519770","WorldCat Record")</f>
        <v/>
      </c>
      <c r="AU935" t="inlineStr">
        <is>
          <t>285101035:eng</t>
        </is>
      </c>
      <c r="AV935" t="inlineStr">
        <is>
          <t>15519770</t>
        </is>
      </c>
      <c r="AW935" t="inlineStr">
        <is>
          <t>991001032269702656</t>
        </is>
      </c>
      <c r="AX935" t="inlineStr">
        <is>
          <t>991001032269702656</t>
        </is>
      </c>
      <c r="AY935" t="inlineStr">
        <is>
          <t>2265264710002656</t>
        </is>
      </c>
      <c r="AZ935" t="inlineStr">
        <is>
          <t>BOOK</t>
        </is>
      </c>
      <c r="BB935" t="inlineStr">
        <is>
          <t>9780961733315</t>
        </is>
      </c>
      <c r="BC935" t="inlineStr">
        <is>
          <t>32285000317502</t>
        </is>
      </c>
      <c r="BD935" t="inlineStr">
        <is>
          <t>893696401</t>
        </is>
      </c>
    </row>
    <row r="936">
      <c r="A936" t="inlineStr">
        <is>
          <t>No</t>
        </is>
      </c>
      <c r="B936" t="inlineStr">
        <is>
          <t>GN776.2.A1 B37 1991</t>
        </is>
      </c>
      <c r="C936" t="inlineStr">
        <is>
          <t>0                      GN 0776200A  1                  B  37          1991</t>
        </is>
      </c>
      <c r="D936" t="inlineStr">
        <is>
          <t>Prehistoric textiles : the development of cloth in the Neolithic and Bronze Ages with special reference to the Aegean / by E.J.W. Barber.</t>
        </is>
      </c>
      <c r="F936" t="inlineStr">
        <is>
          <t>No</t>
        </is>
      </c>
      <c r="G936" t="inlineStr">
        <is>
          <t>1</t>
        </is>
      </c>
      <c r="H936" t="inlineStr">
        <is>
          <t>No</t>
        </is>
      </c>
      <c r="I936" t="inlineStr">
        <is>
          <t>No</t>
        </is>
      </c>
      <c r="J936" t="inlineStr">
        <is>
          <t>0</t>
        </is>
      </c>
      <c r="K936" t="inlineStr">
        <is>
          <t>Barber, E. J. W., 1940-</t>
        </is>
      </c>
      <c r="L936" t="inlineStr">
        <is>
          <t>Princeton, N.J. : Princeton University Press, c1991.</t>
        </is>
      </c>
      <c r="M936" t="inlineStr">
        <is>
          <t>1991</t>
        </is>
      </c>
      <c r="O936" t="inlineStr">
        <is>
          <t>eng</t>
        </is>
      </c>
      <c r="P936" t="inlineStr">
        <is>
          <t>nju</t>
        </is>
      </c>
      <c r="R936" t="inlineStr">
        <is>
          <t xml:space="preserve">GN </t>
        </is>
      </c>
      <c r="S936" t="n">
        <v>2</v>
      </c>
      <c r="T936" t="n">
        <v>2</v>
      </c>
      <c r="U936" t="inlineStr">
        <is>
          <t>1992-04-18</t>
        </is>
      </c>
      <c r="V936" t="inlineStr">
        <is>
          <t>1992-04-18</t>
        </is>
      </c>
      <c r="W936" t="inlineStr">
        <is>
          <t>1991-11-07</t>
        </is>
      </c>
      <c r="X936" t="inlineStr">
        <is>
          <t>1991-11-07</t>
        </is>
      </c>
      <c r="Y936" t="n">
        <v>602</v>
      </c>
      <c r="Z936" t="n">
        <v>441</v>
      </c>
      <c r="AA936" t="n">
        <v>599</v>
      </c>
      <c r="AB936" t="n">
        <v>4</v>
      </c>
      <c r="AC936" t="n">
        <v>5</v>
      </c>
      <c r="AD936" t="n">
        <v>11</v>
      </c>
      <c r="AE936" t="n">
        <v>23</v>
      </c>
      <c r="AF936" t="n">
        <v>4</v>
      </c>
      <c r="AG936" t="n">
        <v>9</v>
      </c>
      <c r="AH936" t="n">
        <v>1</v>
      </c>
      <c r="AI936" t="n">
        <v>7</v>
      </c>
      <c r="AJ936" t="n">
        <v>4</v>
      </c>
      <c r="AK936" t="n">
        <v>8</v>
      </c>
      <c r="AL936" t="n">
        <v>3</v>
      </c>
      <c r="AM936" t="n">
        <v>4</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HYPERLINK("https://creighton-primo.hosted.exlibrisgroup.com/primo-explore/search?tab=default_tab&amp;search_scope=EVERYTHING&amp;vid=01CRU&amp;lang=en_US&amp;offset=0&amp;query=any,contains,991001516049702656","Catalog Record")</f>
        <v/>
      </c>
      <c r="AT936">
        <f>HYPERLINK("http://www.worldcat.org/oclc/19922311","WorldCat Record")</f>
        <v/>
      </c>
      <c r="AU936" t="inlineStr">
        <is>
          <t>808710150:eng</t>
        </is>
      </c>
      <c r="AV936" t="inlineStr">
        <is>
          <t>19922311</t>
        </is>
      </c>
      <c r="AW936" t="inlineStr">
        <is>
          <t>991001516049702656</t>
        </is>
      </c>
      <c r="AX936" t="inlineStr">
        <is>
          <t>991001516049702656</t>
        </is>
      </c>
      <c r="AY936" t="inlineStr">
        <is>
          <t>2267061600002656</t>
        </is>
      </c>
      <c r="AZ936" t="inlineStr">
        <is>
          <t>BOOK</t>
        </is>
      </c>
      <c r="BB936" t="inlineStr">
        <is>
          <t>9780691035970</t>
        </is>
      </c>
      <c r="BC936" t="inlineStr">
        <is>
          <t>32285000729938</t>
        </is>
      </c>
      <c r="BD936" t="inlineStr">
        <is>
          <t>893432897</t>
        </is>
      </c>
    </row>
    <row r="937">
      <c r="A937" t="inlineStr">
        <is>
          <t>No</t>
        </is>
      </c>
      <c r="B937" t="inlineStr">
        <is>
          <t>GN776.2.A1 E87 2000</t>
        </is>
      </c>
      <c r="C937" t="inlineStr">
        <is>
          <t>0                      GN 0776200A  1                  E  87          2000</t>
        </is>
      </c>
      <c r="D937" t="inlineStr">
        <is>
          <t>Europe's first farmers / edited by T. Douglas Price.</t>
        </is>
      </c>
      <c r="F937" t="inlineStr">
        <is>
          <t>No</t>
        </is>
      </c>
      <c r="G937" t="inlineStr">
        <is>
          <t>1</t>
        </is>
      </c>
      <c r="H937" t="inlineStr">
        <is>
          <t>No</t>
        </is>
      </c>
      <c r="I937" t="inlineStr">
        <is>
          <t>No</t>
        </is>
      </c>
      <c r="J937" t="inlineStr">
        <is>
          <t>0</t>
        </is>
      </c>
      <c r="L937" t="inlineStr">
        <is>
          <t>Cambridge ; New York : Cambridge University Press, 2000.</t>
        </is>
      </c>
      <c r="M937" t="inlineStr">
        <is>
          <t>2000</t>
        </is>
      </c>
      <c r="O937" t="inlineStr">
        <is>
          <t>eng</t>
        </is>
      </c>
      <c r="P937" t="inlineStr">
        <is>
          <t>enk</t>
        </is>
      </c>
      <c r="R937" t="inlineStr">
        <is>
          <t xml:space="preserve">GN </t>
        </is>
      </c>
      <c r="S937" t="n">
        <v>4</v>
      </c>
      <c r="T937" t="n">
        <v>4</v>
      </c>
      <c r="U937" t="inlineStr">
        <is>
          <t>2006-09-22</t>
        </is>
      </c>
      <c r="V937" t="inlineStr">
        <is>
          <t>2006-09-22</t>
        </is>
      </c>
      <c r="W937" t="inlineStr">
        <is>
          <t>2001-10-30</t>
        </is>
      </c>
      <c r="X937" t="inlineStr">
        <is>
          <t>2001-10-30</t>
        </is>
      </c>
      <c r="Y937" t="n">
        <v>433</v>
      </c>
      <c r="Z937" t="n">
        <v>336</v>
      </c>
      <c r="AA937" t="n">
        <v>350</v>
      </c>
      <c r="AB937" t="n">
        <v>2</v>
      </c>
      <c r="AC937" t="n">
        <v>2</v>
      </c>
      <c r="AD937" t="n">
        <v>11</v>
      </c>
      <c r="AE937" t="n">
        <v>11</v>
      </c>
      <c r="AF937" t="n">
        <v>4</v>
      </c>
      <c r="AG937" t="n">
        <v>4</v>
      </c>
      <c r="AH937" t="n">
        <v>3</v>
      </c>
      <c r="AI937" t="n">
        <v>3</v>
      </c>
      <c r="AJ937" t="n">
        <v>6</v>
      </c>
      <c r="AK937" t="n">
        <v>6</v>
      </c>
      <c r="AL937" t="n">
        <v>1</v>
      </c>
      <c r="AM937" t="n">
        <v>1</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HYPERLINK("https://creighton-primo.hosted.exlibrisgroup.com/primo-explore/search?tab=default_tab&amp;search_scope=EVERYTHING&amp;vid=01CRU&amp;lang=en_US&amp;offset=0&amp;query=any,contains,991003645149702656","Catalog Record")</f>
        <v/>
      </c>
      <c r="AT937">
        <f>HYPERLINK("http://www.worldcat.org/oclc/41256142","WorldCat Record")</f>
        <v/>
      </c>
      <c r="AU937" t="inlineStr">
        <is>
          <t>896261083:eng</t>
        </is>
      </c>
      <c r="AV937" t="inlineStr">
        <is>
          <t>41256142</t>
        </is>
      </c>
      <c r="AW937" t="inlineStr">
        <is>
          <t>991003645149702656</t>
        </is>
      </c>
      <c r="AX937" t="inlineStr">
        <is>
          <t>991003645149702656</t>
        </is>
      </c>
      <c r="AY937" t="inlineStr">
        <is>
          <t>2263713370002656</t>
        </is>
      </c>
      <c r="AZ937" t="inlineStr">
        <is>
          <t>BOOK</t>
        </is>
      </c>
      <c r="BB937" t="inlineStr">
        <is>
          <t>9780521662031</t>
        </is>
      </c>
      <c r="BC937" t="inlineStr">
        <is>
          <t>32285004416847</t>
        </is>
      </c>
      <c r="BD937" t="inlineStr">
        <is>
          <t>893525049</t>
        </is>
      </c>
    </row>
    <row r="938">
      <c r="A938" t="inlineStr">
        <is>
          <t>No</t>
        </is>
      </c>
      <c r="B938" t="inlineStr">
        <is>
          <t>GN776.22.G8 S68 2008</t>
        </is>
      </c>
      <c r="C938" t="inlineStr">
        <is>
          <t>0                      GN 0776220G  8                  S  68          2008</t>
        </is>
      </c>
      <c r="D938" t="inlineStr">
        <is>
          <t>A social archaeology of households in Neolithic Greece : an anthropological approach / Stella G. Souvatzi.</t>
        </is>
      </c>
      <c r="F938" t="inlineStr">
        <is>
          <t>No</t>
        </is>
      </c>
      <c r="G938" t="inlineStr">
        <is>
          <t>1</t>
        </is>
      </c>
      <c r="H938" t="inlineStr">
        <is>
          <t>No</t>
        </is>
      </c>
      <c r="I938" t="inlineStr">
        <is>
          <t>No</t>
        </is>
      </c>
      <c r="J938" t="inlineStr">
        <is>
          <t>0</t>
        </is>
      </c>
      <c r="K938" t="inlineStr">
        <is>
          <t>Souvatzi, Stella G., 1966-</t>
        </is>
      </c>
      <c r="L938" t="inlineStr">
        <is>
          <t>Cambridge ; New York : Cambridge University Press, 2008.</t>
        </is>
      </c>
      <c r="M938" t="inlineStr">
        <is>
          <t>2008</t>
        </is>
      </c>
      <c r="O938" t="inlineStr">
        <is>
          <t>eng</t>
        </is>
      </c>
      <c r="P938" t="inlineStr">
        <is>
          <t>enk</t>
        </is>
      </c>
      <c r="R938" t="inlineStr">
        <is>
          <t xml:space="preserve">GN </t>
        </is>
      </c>
      <c r="S938" t="n">
        <v>1</v>
      </c>
      <c r="T938" t="n">
        <v>1</v>
      </c>
      <c r="U938" t="inlineStr">
        <is>
          <t>2008-05-15</t>
        </is>
      </c>
      <c r="V938" t="inlineStr">
        <is>
          <t>2008-05-15</t>
        </is>
      </c>
      <c r="W938" t="inlineStr">
        <is>
          <t>2008-05-15</t>
        </is>
      </c>
      <c r="X938" t="inlineStr">
        <is>
          <t>2008-05-15</t>
        </is>
      </c>
      <c r="Y938" t="n">
        <v>202</v>
      </c>
      <c r="Z938" t="n">
        <v>129</v>
      </c>
      <c r="AA938" t="n">
        <v>131</v>
      </c>
      <c r="AB938" t="n">
        <v>1</v>
      </c>
      <c r="AC938" t="n">
        <v>2</v>
      </c>
      <c r="AD938" t="n">
        <v>1</v>
      </c>
      <c r="AE938" t="n">
        <v>3</v>
      </c>
      <c r="AF938" t="n">
        <v>1</v>
      </c>
      <c r="AG938" t="n">
        <v>2</v>
      </c>
      <c r="AH938" t="n">
        <v>0</v>
      </c>
      <c r="AI938" t="n">
        <v>0</v>
      </c>
      <c r="AJ938" t="n">
        <v>0</v>
      </c>
      <c r="AK938" t="n">
        <v>0</v>
      </c>
      <c r="AL938" t="n">
        <v>0</v>
      </c>
      <c r="AM938" t="n">
        <v>1</v>
      </c>
      <c r="AN938" t="n">
        <v>0</v>
      </c>
      <c r="AO938" t="n">
        <v>0</v>
      </c>
      <c r="AP938" t="inlineStr">
        <is>
          <t>No</t>
        </is>
      </c>
      <c r="AQ938" t="inlineStr">
        <is>
          <t>No</t>
        </is>
      </c>
      <c r="AS938">
        <f>HYPERLINK("https://creighton-primo.hosted.exlibrisgroup.com/primo-explore/search?tab=default_tab&amp;search_scope=EVERYTHING&amp;vid=01CRU&amp;lang=en_US&amp;offset=0&amp;query=any,contains,991005204979702656","Catalog Record")</f>
        <v/>
      </c>
      <c r="AT938">
        <f>HYPERLINK("http://www.worldcat.org/oclc/155125142","WorldCat Record")</f>
        <v/>
      </c>
      <c r="AU938" t="inlineStr">
        <is>
          <t>863470438:eng</t>
        </is>
      </c>
      <c r="AV938" t="inlineStr">
        <is>
          <t>155125142</t>
        </is>
      </c>
      <c r="AW938" t="inlineStr">
        <is>
          <t>991005204979702656</t>
        </is>
      </c>
      <c r="AX938" t="inlineStr">
        <is>
          <t>991005204979702656</t>
        </is>
      </c>
      <c r="AY938" t="inlineStr">
        <is>
          <t>2268629910002656</t>
        </is>
      </c>
      <c r="AZ938" t="inlineStr">
        <is>
          <t>BOOK</t>
        </is>
      </c>
      <c r="BB938" t="inlineStr">
        <is>
          <t>9780521836890</t>
        </is>
      </c>
      <c r="BC938" t="inlineStr">
        <is>
          <t>32285005408785</t>
        </is>
      </c>
      <c r="BD938" t="inlineStr">
        <is>
          <t>893701198</t>
        </is>
      </c>
    </row>
    <row r="939">
      <c r="A939" t="inlineStr">
        <is>
          <t>No</t>
        </is>
      </c>
      <c r="B939" t="inlineStr">
        <is>
          <t>GN776.22.I8 S6513 1994</t>
        </is>
      </c>
      <c r="C939" t="inlineStr">
        <is>
          <t>0                      GN 0776220I  8                  S  6513        1994</t>
        </is>
      </c>
      <c r="D939" t="inlineStr">
        <is>
          <t>The man in the ice : the discovery of a 5,000-year-old body reveals the secrets of the stone age / Konrad Spindler and a team of international scientists ; [translated from the German by Ewald Osers.]</t>
        </is>
      </c>
      <c r="F939" t="inlineStr">
        <is>
          <t>No</t>
        </is>
      </c>
      <c r="G939" t="inlineStr">
        <is>
          <t>1</t>
        </is>
      </c>
      <c r="H939" t="inlineStr">
        <is>
          <t>No</t>
        </is>
      </c>
      <c r="I939" t="inlineStr">
        <is>
          <t>No</t>
        </is>
      </c>
      <c r="J939" t="inlineStr">
        <is>
          <t>0</t>
        </is>
      </c>
      <c r="K939" t="inlineStr">
        <is>
          <t>Spindler, Konrad, 1939-2005.</t>
        </is>
      </c>
      <c r="L939" t="inlineStr">
        <is>
          <t>New York : Harmony Books, c1994.</t>
        </is>
      </c>
      <c r="M939" t="inlineStr">
        <is>
          <t>1994</t>
        </is>
      </c>
      <c r="N939" t="inlineStr">
        <is>
          <t>1st U.S. ed.</t>
        </is>
      </c>
      <c r="O939" t="inlineStr">
        <is>
          <t>eng</t>
        </is>
      </c>
      <c r="P939" t="inlineStr">
        <is>
          <t>nyu</t>
        </is>
      </c>
      <c r="R939" t="inlineStr">
        <is>
          <t xml:space="preserve">GN </t>
        </is>
      </c>
      <c r="S939" t="n">
        <v>1</v>
      </c>
      <c r="T939" t="n">
        <v>1</v>
      </c>
      <c r="U939" t="inlineStr">
        <is>
          <t>1995-03-24</t>
        </is>
      </c>
      <c r="V939" t="inlineStr">
        <is>
          <t>1995-03-24</t>
        </is>
      </c>
      <c r="W939" t="inlineStr">
        <is>
          <t>1995-03-10</t>
        </is>
      </c>
      <c r="X939" t="inlineStr">
        <is>
          <t>1995-03-10</t>
        </is>
      </c>
      <c r="Y939" t="n">
        <v>1670</v>
      </c>
      <c r="Z939" t="n">
        <v>1607</v>
      </c>
      <c r="AA939" t="n">
        <v>1666</v>
      </c>
      <c r="AB939" t="n">
        <v>13</v>
      </c>
      <c r="AC939" t="n">
        <v>13</v>
      </c>
      <c r="AD939" t="n">
        <v>33</v>
      </c>
      <c r="AE939" t="n">
        <v>33</v>
      </c>
      <c r="AF939" t="n">
        <v>12</v>
      </c>
      <c r="AG939" t="n">
        <v>12</v>
      </c>
      <c r="AH939" t="n">
        <v>8</v>
      </c>
      <c r="AI939" t="n">
        <v>8</v>
      </c>
      <c r="AJ939" t="n">
        <v>16</v>
      </c>
      <c r="AK939" t="n">
        <v>16</v>
      </c>
      <c r="AL939" t="n">
        <v>5</v>
      </c>
      <c r="AM939" t="n">
        <v>5</v>
      </c>
      <c r="AN939" t="n">
        <v>0</v>
      </c>
      <c r="AO939" t="n">
        <v>0</v>
      </c>
      <c r="AP939" t="inlineStr">
        <is>
          <t>No</t>
        </is>
      </c>
      <c r="AQ939" t="inlineStr">
        <is>
          <t>Yes</t>
        </is>
      </c>
      <c r="AR939">
        <f>HYPERLINK("http://catalog.hathitrust.org/Record/003007475","HathiTrust Record")</f>
        <v/>
      </c>
      <c r="AS939">
        <f>HYPERLINK("https://creighton-primo.hosted.exlibrisgroup.com/primo-explore/search?tab=default_tab&amp;search_scope=EVERYTHING&amp;vid=01CRU&amp;lang=en_US&amp;offset=0&amp;query=any,contains,991002387209702656","Catalog Record")</f>
        <v/>
      </c>
      <c r="AT939">
        <f>HYPERLINK("http://www.worldcat.org/oclc/31012429","WorldCat Record")</f>
        <v/>
      </c>
      <c r="AU939" t="inlineStr">
        <is>
          <t>57678375:eng</t>
        </is>
      </c>
      <c r="AV939" t="inlineStr">
        <is>
          <t>31012429</t>
        </is>
      </c>
      <c r="AW939" t="inlineStr">
        <is>
          <t>991002387209702656</t>
        </is>
      </c>
      <c r="AX939" t="inlineStr">
        <is>
          <t>991002387209702656</t>
        </is>
      </c>
      <c r="AY939" t="inlineStr">
        <is>
          <t>2272582450002656</t>
        </is>
      </c>
      <c r="AZ939" t="inlineStr">
        <is>
          <t>BOOK</t>
        </is>
      </c>
      <c r="BB939" t="inlineStr">
        <is>
          <t>9780517799697</t>
        </is>
      </c>
      <c r="BC939" t="inlineStr">
        <is>
          <t>32285002002201</t>
        </is>
      </c>
      <c r="BD939" t="inlineStr">
        <is>
          <t>893804552</t>
        </is>
      </c>
    </row>
    <row r="940">
      <c r="A940" t="inlineStr">
        <is>
          <t>No</t>
        </is>
      </c>
      <c r="B940" t="inlineStr">
        <is>
          <t>GN776.A15 C55 1970</t>
        </is>
      </c>
      <c r="C940" t="inlineStr">
        <is>
          <t>0                      GN 0776000A  15                 C  55          1970</t>
        </is>
      </c>
      <c r="D940" t="inlineStr">
        <is>
          <t>The prehistory of Africa / [by] J. Desmond Clark.</t>
        </is>
      </c>
      <c r="F940" t="inlineStr">
        <is>
          <t>No</t>
        </is>
      </c>
      <c r="G940" t="inlineStr">
        <is>
          <t>1</t>
        </is>
      </c>
      <c r="H940" t="inlineStr">
        <is>
          <t>No</t>
        </is>
      </c>
      <c r="I940" t="inlineStr">
        <is>
          <t>No</t>
        </is>
      </c>
      <c r="J940" t="inlineStr">
        <is>
          <t>0</t>
        </is>
      </c>
      <c r="K940" t="inlineStr">
        <is>
          <t>Clark, J. Desmond (John Desmond), 1916-2002.</t>
        </is>
      </c>
      <c r="L940" t="inlineStr">
        <is>
          <t>New York : Praeger, [1970]</t>
        </is>
      </c>
      <c r="M940" t="inlineStr">
        <is>
          <t>1970</t>
        </is>
      </c>
      <c r="O940" t="inlineStr">
        <is>
          <t>eng</t>
        </is>
      </c>
      <c r="P940" t="inlineStr">
        <is>
          <t>nyu</t>
        </is>
      </c>
      <c r="Q940" t="inlineStr">
        <is>
          <t>Ancient peoples and places ; v. 72</t>
        </is>
      </c>
      <c r="R940" t="inlineStr">
        <is>
          <t xml:space="preserve">GN </t>
        </is>
      </c>
      <c r="S940" t="n">
        <v>2</v>
      </c>
      <c r="T940" t="n">
        <v>2</v>
      </c>
      <c r="U940" t="inlineStr">
        <is>
          <t>2004-03-05</t>
        </is>
      </c>
      <c r="V940" t="inlineStr">
        <is>
          <t>2004-03-05</t>
        </is>
      </c>
      <c r="W940" t="inlineStr">
        <is>
          <t>1995-03-21</t>
        </is>
      </c>
      <c r="X940" t="inlineStr">
        <is>
          <t>1995-03-21</t>
        </is>
      </c>
      <c r="Y940" t="n">
        <v>905</v>
      </c>
      <c r="Z940" t="n">
        <v>863</v>
      </c>
      <c r="AA940" t="n">
        <v>937</v>
      </c>
      <c r="AB940" t="n">
        <v>4</v>
      </c>
      <c r="AC940" t="n">
        <v>5</v>
      </c>
      <c r="AD940" t="n">
        <v>28</v>
      </c>
      <c r="AE940" t="n">
        <v>30</v>
      </c>
      <c r="AF940" t="n">
        <v>13</v>
      </c>
      <c r="AG940" t="n">
        <v>14</v>
      </c>
      <c r="AH940" t="n">
        <v>3</v>
      </c>
      <c r="AI940" t="n">
        <v>3</v>
      </c>
      <c r="AJ940" t="n">
        <v>16</v>
      </c>
      <c r="AK940" t="n">
        <v>17</v>
      </c>
      <c r="AL940" t="n">
        <v>3</v>
      </c>
      <c r="AM940" t="n">
        <v>4</v>
      </c>
      <c r="AN940" t="n">
        <v>0</v>
      </c>
      <c r="AO940" t="n">
        <v>0</v>
      </c>
      <c r="AP940" t="inlineStr">
        <is>
          <t>No</t>
        </is>
      </c>
      <c r="AQ940" t="inlineStr">
        <is>
          <t>Yes</t>
        </is>
      </c>
      <c r="AR940">
        <f>HYPERLINK("http://catalog.hathitrust.org/Record/001275703","HathiTrust Record")</f>
        <v/>
      </c>
      <c r="AS940">
        <f>HYPERLINK("https://creighton-primo.hosted.exlibrisgroup.com/primo-explore/search?tab=default_tab&amp;search_scope=EVERYTHING&amp;vid=01CRU&amp;lang=en_US&amp;offset=0&amp;query=any,contains,991000593099702656","Catalog Record")</f>
        <v/>
      </c>
      <c r="AT940">
        <f>HYPERLINK("http://www.worldcat.org/oclc/96933","WorldCat Record")</f>
        <v/>
      </c>
      <c r="AU940" t="inlineStr">
        <is>
          <t>1862269503:eng</t>
        </is>
      </c>
      <c r="AV940" t="inlineStr">
        <is>
          <t>96933</t>
        </is>
      </c>
      <c r="AW940" t="inlineStr">
        <is>
          <t>991000593099702656</t>
        </is>
      </c>
      <c r="AX940" t="inlineStr">
        <is>
          <t>991000593099702656</t>
        </is>
      </c>
      <c r="AY940" t="inlineStr">
        <is>
          <t>2271224040002656</t>
        </is>
      </c>
      <c r="AZ940" t="inlineStr">
        <is>
          <t>BOOK</t>
        </is>
      </c>
      <c r="BC940" t="inlineStr">
        <is>
          <t>32285002012960</t>
        </is>
      </c>
      <c r="BD940" t="inlineStr">
        <is>
          <t>893413499</t>
        </is>
      </c>
    </row>
    <row r="941">
      <c r="A941" t="inlineStr">
        <is>
          <t>No</t>
        </is>
      </c>
      <c r="B941" t="inlineStr">
        <is>
          <t>GN776.T3 L42</t>
        </is>
      </c>
      <c r="C941" t="inlineStr">
        <is>
          <t>0                      GN 0776000T  3                  L  42</t>
        </is>
      </c>
      <c r="D941" t="inlineStr">
        <is>
          <t>Olduvai Gorge, 1951-61 / by L.S.B. Leakey with contributions by P.M. Butler [and others]</t>
        </is>
      </c>
      <c r="E941" t="inlineStr">
        <is>
          <t>V. 1</t>
        </is>
      </c>
      <c r="F941" t="inlineStr">
        <is>
          <t>Yes</t>
        </is>
      </c>
      <c r="G941" t="inlineStr">
        <is>
          <t>1</t>
        </is>
      </c>
      <c r="H941" t="inlineStr">
        <is>
          <t>No</t>
        </is>
      </c>
      <c r="I941" t="inlineStr">
        <is>
          <t>No</t>
        </is>
      </c>
      <c r="J941" t="inlineStr">
        <is>
          <t>0</t>
        </is>
      </c>
      <c r="K941" t="inlineStr">
        <is>
          <t>Leakey, L. S. B. (Louis Seymour Bazett), 1903-1972.</t>
        </is>
      </c>
      <c r="L941" t="inlineStr">
        <is>
          <t>Cambridge, [Eng.] : University Press, 1965-71.</t>
        </is>
      </c>
      <c r="M941" t="inlineStr">
        <is>
          <t>1965</t>
        </is>
      </c>
      <c r="O941" t="inlineStr">
        <is>
          <t>eng</t>
        </is>
      </c>
      <c r="P941" t="inlineStr">
        <is>
          <t>enk</t>
        </is>
      </c>
      <c r="R941" t="inlineStr">
        <is>
          <t xml:space="preserve">GN </t>
        </is>
      </c>
      <c r="S941" t="n">
        <v>4</v>
      </c>
      <c r="T941" t="n">
        <v>4</v>
      </c>
      <c r="U941" t="inlineStr">
        <is>
          <t>2007-09-19</t>
        </is>
      </c>
      <c r="V941" t="inlineStr">
        <is>
          <t>2007-09-19</t>
        </is>
      </c>
      <c r="W941" t="inlineStr">
        <is>
          <t>1992-04-11</t>
        </is>
      </c>
      <c r="X941" t="inlineStr">
        <is>
          <t>1992-04-11</t>
        </is>
      </c>
      <c r="Y941" t="n">
        <v>378</v>
      </c>
      <c r="Z941" t="n">
        <v>372</v>
      </c>
      <c r="AA941" t="n">
        <v>635</v>
      </c>
      <c r="AB941" t="n">
        <v>3</v>
      </c>
      <c r="AC941" t="n">
        <v>3</v>
      </c>
      <c r="AD941" t="n">
        <v>9</v>
      </c>
      <c r="AE941" t="n">
        <v>19</v>
      </c>
      <c r="AF941" t="n">
        <v>3</v>
      </c>
      <c r="AG941" t="n">
        <v>7</v>
      </c>
      <c r="AH941" t="n">
        <v>2</v>
      </c>
      <c r="AI941" t="n">
        <v>5</v>
      </c>
      <c r="AJ941" t="n">
        <v>4</v>
      </c>
      <c r="AK941" t="n">
        <v>9</v>
      </c>
      <c r="AL941" t="n">
        <v>2</v>
      </c>
      <c r="AM941" t="n">
        <v>2</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HYPERLINK("https://creighton-primo.hosted.exlibrisgroup.com/primo-explore/search?tab=default_tab&amp;search_scope=EVERYTHING&amp;vid=01CRU&amp;lang=en_US&amp;offset=0&amp;query=any,contains,991002458129702656","Catalog Record")</f>
        <v/>
      </c>
      <c r="AT941">
        <f>HYPERLINK("http://www.worldcat.org/oclc/355163","WorldCat Record")</f>
        <v/>
      </c>
      <c r="AU941" t="inlineStr">
        <is>
          <t>5377661351:eng</t>
        </is>
      </c>
      <c r="AV941" t="inlineStr">
        <is>
          <t>355163</t>
        </is>
      </c>
      <c r="AW941" t="inlineStr">
        <is>
          <t>991002458129702656</t>
        </is>
      </c>
      <c r="AX941" t="inlineStr">
        <is>
          <t>991002458129702656</t>
        </is>
      </c>
      <c r="AY941" t="inlineStr">
        <is>
          <t>2264529210002656</t>
        </is>
      </c>
      <c r="AZ941" t="inlineStr">
        <is>
          <t>BOOK</t>
        </is>
      </c>
      <c r="BC941" t="inlineStr">
        <is>
          <t>32285001057750</t>
        </is>
      </c>
      <c r="BD941" t="inlineStr">
        <is>
          <t>893329104</t>
        </is>
      </c>
    </row>
    <row r="942">
      <c r="A942" t="inlineStr">
        <is>
          <t>No</t>
        </is>
      </c>
      <c r="B942" t="inlineStr">
        <is>
          <t>GN777 .K75 2005</t>
        </is>
      </c>
      <c r="C942" t="inlineStr">
        <is>
          <t>0                      GN 0777000K  75          2005</t>
        </is>
      </c>
      <c r="D942" t="inlineStr">
        <is>
          <t>The rise of Bronze Age society : travels, transmissions and transformations / Kristian Kristiansen and Thomas B. Larsson.</t>
        </is>
      </c>
      <c r="F942" t="inlineStr">
        <is>
          <t>No</t>
        </is>
      </c>
      <c r="G942" t="inlineStr">
        <is>
          <t>1</t>
        </is>
      </c>
      <c r="H942" t="inlineStr">
        <is>
          <t>No</t>
        </is>
      </c>
      <c r="I942" t="inlineStr">
        <is>
          <t>No</t>
        </is>
      </c>
      <c r="J942" t="inlineStr">
        <is>
          <t>0</t>
        </is>
      </c>
      <c r="K942" t="inlineStr">
        <is>
          <t>Kristiansen, Kristian, 1948-</t>
        </is>
      </c>
      <c r="L942" t="inlineStr">
        <is>
          <t>Cambridge ; New York : Cambridge University Press, 2005.</t>
        </is>
      </c>
      <c r="M942" t="inlineStr">
        <is>
          <t>2005</t>
        </is>
      </c>
      <c r="O942" t="inlineStr">
        <is>
          <t>eng</t>
        </is>
      </c>
      <c r="P942" t="inlineStr">
        <is>
          <t>enk</t>
        </is>
      </c>
      <c r="R942" t="inlineStr">
        <is>
          <t xml:space="preserve">GN </t>
        </is>
      </c>
      <c r="S942" t="n">
        <v>1</v>
      </c>
      <c r="T942" t="n">
        <v>1</v>
      </c>
      <c r="U942" t="inlineStr">
        <is>
          <t>2007-09-10</t>
        </is>
      </c>
      <c r="V942" t="inlineStr">
        <is>
          <t>2007-09-10</t>
        </is>
      </c>
      <c r="W942" t="inlineStr">
        <is>
          <t>2007-09-10</t>
        </is>
      </c>
      <c r="X942" t="inlineStr">
        <is>
          <t>2007-09-10</t>
        </is>
      </c>
      <c r="Y942" t="n">
        <v>348</v>
      </c>
      <c r="Z942" t="n">
        <v>230</v>
      </c>
      <c r="AA942" t="n">
        <v>231</v>
      </c>
      <c r="AB942" t="n">
        <v>2</v>
      </c>
      <c r="AC942" t="n">
        <v>2</v>
      </c>
      <c r="AD942" t="n">
        <v>8</v>
      </c>
      <c r="AE942" t="n">
        <v>8</v>
      </c>
      <c r="AF942" t="n">
        <v>3</v>
      </c>
      <c r="AG942" t="n">
        <v>3</v>
      </c>
      <c r="AH942" t="n">
        <v>1</v>
      </c>
      <c r="AI942" t="n">
        <v>1</v>
      </c>
      <c r="AJ942" t="n">
        <v>4</v>
      </c>
      <c r="AK942" t="n">
        <v>4</v>
      </c>
      <c r="AL942" t="n">
        <v>1</v>
      </c>
      <c r="AM942" t="n">
        <v>1</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HYPERLINK("https://creighton-primo.hosted.exlibrisgroup.com/primo-explore/search?tab=default_tab&amp;search_scope=EVERYTHING&amp;vid=01CRU&amp;lang=en_US&amp;offset=0&amp;query=any,contains,991005107319702656","Catalog Record")</f>
        <v/>
      </c>
      <c r="AT942">
        <f>HYPERLINK("http://www.worldcat.org/oclc/56904838","WorldCat Record")</f>
        <v/>
      </c>
      <c r="AU942" t="inlineStr">
        <is>
          <t>14455431:eng</t>
        </is>
      </c>
      <c r="AV942" t="inlineStr">
        <is>
          <t>56904838</t>
        </is>
      </c>
      <c r="AW942" t="inlineStr">
        <is>
          <t>991005107319702656</t>
        </is>
      </c>
      <c r="AX942" t="inlineStr">
        <is>
          <t>991005107319702656</t>
        </is>
      </c>
      <c r="AY942" t="inlineStr">
        <is>
          <t>2268669270002656</t>
        </is>
      </c>
      <c r="AZ942" t="inlineStr">
        <is>
          <t>BOOK</t>
        </is>
      </c>
      <c r="BB942" t="inlineStr">
        <is>
          <t>9780521604666</t>
        </is>
      </c>
      <c r="BC942" t="inlineStr">
        <is>
          <t>32285005324297</t>
        </is>
      </c>
      <c r="BD942" t="inlineStr">
        <is>
          <t>893332404</t>
        </is>
      </c>
    </row>
    <row r="943">
      <c r="A943" t="inlineStr">
        <is>
          <t>No</t>
        </is>
      </c>
      <c r="B943" t="inlineStr">
        <is>
          <t>GN778.2.U22 C48 1994</t>
        </is>
      </c>
      <c r="C943" t="inlineStr">
        <is>
          <t>0                      GN 0778200U  22                 C  48          1994</t>
        </is>
      </c>
      <c r="D943" t="inlineStr">
        <is>
          <t>Chiefdoms and early states in the Near East : the organizational dynamics of complexity / edited by Gil Stein, Mitchell S. Rothman.</t>
        </is>
      </c>
      <c r="F943" t="inlineStr">
        <is>
          <t>No</t>
        </is>
      </c>
      <c r="G943" t="inlineStr">
        <is>
          <t>1</t>
        </is>
      </c>
      <c r="H943" t="inlineStr">
        <is>
          <t>No</t>
        </is>
      </c>
      <c r="I943" t="inlineStr">
        <is>
          <t>No</t>
        </is>
      </c>
      <c r="J943" t="inlineStr">
        <is>
          <t>0</t>
        </is>
      </c>
      <c r="L943" t="inlineStr">
        <is>
          <t>Madison, Wis. : Prehistory Press, c1994.</t>
        </is>
      </c>
      <c r="M943" t="inlineStr">
        <is>
          <t>1994</t>
        </is>
      </c>
      <c r="O943" t="inlineStr">
        <is>
          <t>eng</t>
        </is>
      </c>
      <c r="P943" t="inlineStr">
        <is>
          <t>wiu</t>
        </is>
      </c>
      <c r="Q943" t="inlineStr">
        <is>
          <t>Monographs in world archaeology, 1055-2316 ; no. 18</t>
        </is>
      </c>
      <c r="R943" t="inlineStr">
        <is>
          <t xml:space="preserve">GN </t>
        </is>
      </c>
      <c r="S943" t="n">
        <v>4</v>
      </c>
      <c r="T943" t="n">
        <v>4</v>
      </c>
      <c r="U943" t="inlineStr">
        <is>
          <t>2002-12-23</t>
        </is>
      </c>
      <c r="V943" t="inlineStr">
        <is>
          <t>2002-12-23</t>
        </is>
      </c>
      <c r="W943" t="inlineStr">
        <is>
          <t>1996-10-28</t>
        </is>
      </c>
      <c r="X943" t="inlineStr">
        <is>
          <t>1996-10-28</t>
        </is>
      </c>
      <c r="Y943" t="n">
        <v>240</v>
      </c>
      <c r="Z943" t="n">
        <v>165</v>
      </c>
      <c r="AA943" t="n">
        <v>165</v>
      </c>
      <c r="AB943" t="n">
        <v>1</v>
      </c>
      <c r="AC943" t="n">
        <v>1</v>
      </c>
      <c r="AD943" t="n">
        <v>3</v>
      </c>
      <c r="AE943" t="n">
        <v>3</v>
      </c>
      <c r="AF943" t="n">
        <v>1</v>
      </c>
      <c r="AG943" t="n">
        <v>1</v>
      </c>
      <c r="AH943" t="n">
        <v>2</v>
      </c>
      <c r="AI943" t="n">
        <v>2</v>
      </c>
      <c r="AJ943" t="n">
        <v>1</v>
      </c>
      <c r="AK943" t="n">
        <v>1</v>
      </c>
      <c r="AL943" t="n">
        <v>0</v>
      </c>
      <c r="AM943" t="n">
        <v>0</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HYPERLINK("https://creighton-primo.hosted.exlibrisgroup.com/primo-explore/search?tab=default_tab&amp;search_scope=EVERYTHING&amp;vid=01CRU&amp;lang=en_US&amp;offset=0&amp;query=any,contains,991002320559702656","Catalog Record")</f>
        <v/>
      </c>
      <c r="AT943">
        <f>HYPERLINK("http://www.worldcat.org/oclc/30109140","WorldCat Record")</f>
        <v/>
      </c>
      <c r="AU943" t="inlineStr">
        <is>
          <t>793415150:eng</t>
        </is>
      </c>
      <c r="AV943" t="inlineStr">
        <is>
          <t>30109140</t>
        </is>
      </c>
      <c r="AW943" t="inlineStr">
        <is>
          <t>991002320559702656</t>
        </is>
      </c>
      <c r="AX943" t="inlineStr">
        <is>
          <t>991002320559702656</t>
        </is>
      </c>
      <c r="AY943" t="inlineStr">
        <is>
          <t>2263628150002656</t>
        </is>
      </c>
      <c r="AZ943" t="inlineStr">
        <is>
          <t>BOOK</t>
        </is>
      </c>
      <c r="BB943" t="inlineStr">
        <is>
          <t>9781881094074</t>
        </is>
      </c>
      <c r="BC943" t="inlineStr">
        <is>
          <t>32285002369519</t>
        </is>
      </c>
      <c r="BD943" t="inlineStr">
        <is>
          <t>893335165</t>
        </is>
      </c>
    </row>
    <row r="944">
      <c r="A944" t="inlineStr">
        <is>
          <t>No</t>
        </is>
      </c>
      <c r="B944" t="inlineStr">
        <is>
          <t>GN778.25 .F67 2009</t>
        </is>
      </c>
      <c r="C944" t="inlineStr">
        <is>
          <t>0                      GN 0778250F  67          2009</t>
        </is>
      </c>
      <c r="D944" t="inlineStr">
        <is>
          <t>Forces of transformation : the end of the Bronze Age in the Mediterranean : proceedings of an international symposium held at St. John's College, University of Oxford, 25-6th March 2006 / edited by Christoph Bachhuber and R. Gareth Roberts.</t>
        </is>
      </c>
      <c r="F944" t="inlineStr">
        <is>
          <t>No</t>
        </is>
      </c>
      <c r="G944" t="inlineStr">
        <is>
          <t>1</t>
        </is>
      </c>
      <c r="H944" t="inlineStr">
        <is>
          <t>No</t>
        </is>
      </c>
      <c r="I944" t="inlineStr">
        <is>
          <t>No</t>
        </is>
      </c>
      <c r="J944" t="inlineStr">
        <is>
          <t>0</t>
        </is>
      </c>
      <c r="L944" t="inlineStr">
        <is>
          <t>Oxford, UK : Oxbow Books : British Association for Near Eastern Archaeology ; Oakville, CT : [Distributed in the USA by] David Brown Bk. Co., c2009.</t>
        </is>
      </c>
      <c r="M944" t="inlineStr">
        <is>
          <t>2009</t>
        </is>
      </c>
      <c r="O944" t="inlineStr">
        <is>
          <t>eng</t>
        </is>
      </c>
      <c r="P944" t="inlineStr">
        <is>
          <t>enk</t>
        </is>
      </c>
      <c r="Q944" t="inlineStr">
        <is>
          <t>Themes from the ancient Near East BANEA publication series ; v. 1</t>
        </is>
      </c>
      <c r="R944" t="inlineStr">
        <is>
          <t xml:space="preserve">GN </t>
        </is>
      </c>
      <c r="S944" t="n">
        <v>1</v>
      </c>
      <c r="T944" t="n">
        <v>1</v>
      </c>
      <c r="U944" t="inlineStr">
        <is>
          <t>2010-05-06</t>
        </is>
      </c>
      <c r="V944" t="inlineStr">
        <is>
          <t>2010-05-06</t>
        </is>
      </c>
      <c r="W944" t="inlineStr">
        <is>
          <t>2010-05-06</t>
        </is>
      </c>
      <c r="X944" t="inlineStr">
        <is>
          <t>2010-05-06</t>
        </is>
      </c>
      <c r="Y944" t="n">
        <v>148</v>
      </c>
      <c r="Z944" t="n">
        <v>89</v>
      </c>
      <c r="AA944" t="n">
        <v>399</v>
      </c>
      <c r="AB944" t="n">
        <v>2</v>
      </c>
      <c r="AC944" t="n">
        <v>4</v>
      </c>
      <c r="AD944" t="n">
        <v>4</v>
      </c>
      <c r="AE944" t="n">
        <v>22</v>
      </c>
      <c r="AF944" t="n">
        <v>2</v>
      </c>
      <c r="AG944" t="n">
        <v>10</v>
      </c>
      <c r="AH944" t="n">
        <v>1</v>
      </c>
      <c r="AI944" t="n">
        <v>6</v>
      </c>
      <c r="AJ944" t="n">
        <v>1</v>
      </c>
      <c r="AK944" t="n">
        <v>9</v>
      </c>
      <c r="AL944" t="n">
        <v>1</v>
      </c>
      <c r="AM944" t="n">
        <v>3</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HYPERLINK("https://creighton-primo.hosted.exlibrisgroup.com/primo-explore/search?tab=default_tab&amp;search_scope=EVERYTHING&amp;vid=01CRU&amp;lang=en_US&amp;offset=0&amp;query=any,contains,991005391959702656","Catalog Record")</f>
        <v/>
      </c>
      <c r="AT944">
        <f>HYPERLINK("http://www.worldcat.org/oclc/244653638","WorldCat Record")</f>
        <v/>
      </c>
      <c r="AU944" t="inlineStr">
        <is>
          <t>908508783:eng</t>
        </is>
      </c>
      <c r="AV944" t="inlineStr">
        <is>
          <t>244653638</t>
        </is>
      </c>
      <c r="AW944" t="inlineStr">
        <is>
          <t>991005391959702656</t>
        </is>
      </c>
      <c r="AX944" t="inlineStr">
        <is>
          <t>991005391959702656</t>
        </is>
      </c>
      <c r="AY944" t="inlineStr">
        <is>
          <t>2259077570002656</t>
        </is>
      </c>
      <c r="AZ944" t="inlineStr">
        <is>
          <t>BOOK</t>
        </is>
      </c>
      <c r="BB944" t="inlineStr">
        <is>
          <t>9781842173329</t>
        </is>
      </c>
      <c r="BC944" t="inlineStr">
        <is>
          <t>32285005581516</t>
        </is>
      </c>
      <c r="BD944" t="inlineStr">
        <is>
          <t>893326687</t>
        </is>
      </c>
    </row>
    <row r="945">
      <c r="A945" t="inlineStr">
        <is>
          <t>No</t>
        </is>
      </c>
      <c r="B945" t="inlineStr">
        <is>
          <t>GN778.32.C5 B37 1999</t>
        </is>
      </c>
      <c r="C945" t="inlineStr">
        <is>
          <t>0                      GN 0778320C  5                  B  37          1999</t>
        </is>
      </c>
      <c r="D945" t="inlineStr">
        <is>
          <t>The mummies of Ürümchi / Elizabeth Wayland Barber.</t>
        </is>
      </c>
      <c r="F945" t="inlineStr">
        <is>
          <t>No</t>
        </is>
      </c>
      <c r="G945" t="inlineStr">
        <is>
          <t>1</t>
        </is>
      </c>
      <c r="H945" t="inlineStr">
        <is>
          <t>No</t>
        </is>
      </c>
      <c r="I945" t="inlineStr">
        <is>
          <t>No</t>
        </is>
      </c>
      <c r="J945" t="inlineStr">
        <is>
          <t>0</t>
        </is>
      </c>
      <c r="K945" t="inlineStr">
        <is>
          <t>Barber, E. J. W., 1940-</t>
        </is>
      </c>
      <c r="L945" t="inlineStr">
        <is>
          <t>New York : W.W. Norton &amp; Company, 1999.</t>
        </is>
      </c>
      <c r="M945" t="inlineStr">
        <is>
          <t>1999</t>
        </is>
      </c>
      <c r="N945" t="inlineStr">
        <is>
          <t>1st ed.</t>
        </is>
      </c>
      <c r="O945" t="inlineStr">
        <is>
          <t>eng</t>
        </is>
      </c>
      <c r="P945" t="inlineStr">
        <is>
          <t>nyu</t>
        </is>
      </c>
      <c r="R945" t="inlineStr">
        <is>
          <t xml:space="preserve">GN </t>
        </is>
      </c>
      <c r="S945" t="n">
        <v>5</v>
      </c>
      <c r="T945" t="n">
        <v>5</v>
      </c>
      <c r="U945" t="inlineStr">
        <is>
          <t>2002-03-22</t>
        </is>
      </c>
      <c r="V945" t="inlineStr">
        <is>
          <t>2002-03-22</t>
        </is>
      </c>
      <c r="W945" t="inlineStr">
        <is>
          <t>1999-02-11</t>
        </is>
      </c>
      <c r="X945" t="inlineStr">
        <is>
          <t>1999-02-11</t>
        </is>
      </c>
      <c r="Y945" t="n">
        <v>1029</v>
      </c>
      <c r="Z945" t="n">
        <v>948</v>
      </c>
      <c r="AA945" t="n">
        <v>1002</v>
      </c>
      <c r="AB945" t="n">
        <v>6</v>
      </c>
      <c r="AC945" t="n">
        <v>7</v>
      </c>
      <c r="AD945" t="n">
        <v>26</v>
      </c>
      <c r="AE945" t="n">
        <v>27</v>
      </c>
      <c r="AF945" t="n">
        <v>10</v>
      </c>
      <c r="AG945" t="n">
        <v>10</v>
      </c>
      <c r="AH945" t="n">
        <v>6</v>
      </c>
      <c r="AI945" t="n">
        <v>6</v>
      </c>
      <c r="AJ945" t="n">
        <v>12</v>
      </c>
      <c r="AK945" t="n">
        <v>12</v>
      </c>
      <c r="AL945" t="n">
        <v>4</v>
      </c>
      <c r="AM945" t="n">
        <v>5</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HYPERLINK("https://creighton-primo.hosted.exlibrisgroup.com/primo-explore/search?tab=default_tab&amp;search_scope=EVERYTHING&amp;vid=01CRU&amp;lang=en_US&amp;offset=0&amp;query=any,contains,991002938669702656","Catalog Record")</f>
        <v/>
      </c>
      <c r="AT945">
        <f>HYPERLINK("http://www.worldcat.org/oclc/39093534","WorldCat Record")</f>
        <v/>
      </c>
      <c r="AU945" t="inlineStr">
        <is>
          <t>900410:eng</t>
        </is>
      </c>
      <c r="AV945" t="inlineStr">
        <is>
          <t>39093534</t>
        </is>
      </c>
      <c r="AW945" t="inlineStr">
        <is>
          <t>991002938669702656</t>
        </is>
      </c>
      <c r="AX945" t="inlineStr">
        <is>
          <t>991002938669702656</t>
        </is>
      </c>
      <c r="AY945" t="inlineStr">
        <is>
          <t>2272791880002656</t>
        </is>
      </c>
      <c r="AZ945" t="inlineStr">
        <is>
          <t>BOOK</t>
        </is>
      </c>
      <c r="BB945" t="inlineStr">
        <is>
          <t>9780393045215</t>
        </is>
      </c>
      <c r="BC945" t="inlineStr">
        <is>
          <t>32285003519237</t>
        </is>
      </c>
      <c r="BD945" t="inlineStr">
        <is>
          <t>893342048</t>
        </is>
      </c>
    </row>
    <row r="946">
      <c r="A946" t="inlineStr">
        <is>
          <t>No</t>
        </is>
      </c>
      <c r="B946" t="inlineStr">
        <is>
          <t>GN778.32.I75 M39 1986</t>
        </is>
      </c>
      <c r="C946" t="inlineStr">
        <is>
          <t>0                      GN 0778320I  75                 M  39          1986</t>
        </is>
      </c>
      <c r="D946" t="inlineStr">
        <is>
          <t>The early biblical period : historical studies / by Benjamin Mazar ; edited by Shmuel Aḥituv and Baruch A. Levine.</t>
        </is>
      </c>
      <c r="F946" t="inlineStr">
        <is>
          <t>No</t>
        </is>
      </c>
      <c r="G946" t="inlineStr">
        <is>
          <t>1</t>
        </is>
      </c>
      <c r="H946" t="inlineStr">
        <is>
          <t>No</t>
        </is>
      </c>
      <c r="I946" t="inlineStr">
        <is>
          <t>No</t>
        </is>
      </c>
      <c r="J946" t="inlineStr">
        <is>
          <t>0</t>
        </is>
      </c>
      <c r="K946" t="inlineStr">
        <is>
          <t>Mazar, Benjamin, 1906-1995.</t>
        </is>
      </c>
      <c r="L946" t="inlineStr">
        <is>
          <t>Jerusalem : Israel Exploration Society, 1986.</t>
        </is>
      </c>
      <c r="M946" t="inlineStr">
        <is>
          <t>1986</t>
        </is>
      </c>
      <c r="O946" t="inlineStr">
        <is>
          <t>eng</t>
        </is>
      </c>
      <c r="P946" t="inlineStr">
        <is>
          <t xml:space="preserve">is </t>
        </is>
      </c>
      <c r="R946" t="inlineStr">
        <is>
          <t xml:space="preserve">GN </t>
        </is>
      </c>
      <c r="S946" t="n">
        <v>2</v>
      </c>
      <c r="T946" t="n">
        <v>2</v>
      </c>
      <c r="U946" t="inlineStr">
        <is>
          <t>1997-10-03</t>
        </is>
      </c>
      <c r="V946" t="inlineStr">
        <is>
          <t>1997-10-03</t>
        </is>
      </c>
      <c r="W946" t="inlineStr">
        <is>
          <t>1990-10-01</t>
        </is>
      </c>
      <c r="X946" t="inlineStr">
        <is>
          <t>1990-10-01</t>
        </is>
      </c>
      <c r="Y946" t="n">
        <v>280</v>
      </c>
      <c r="Z946" t="n">
        <v>197</v>
      </c>
      <c r="AA946" t="n">
        <v>200</v>
      </c>
      <c r="AB946" t="n">
        <v>1</v>
      </c>
      <c r="AC946" t="n">
        <v>1</v>
      </c>
      <c r="AD946" t="n">
        <v>6</v>
      </c>
      <c r="AE946" t="n">
        <v>6</v>
      </c>
      <c r="AF946" t="n">
        <v>4</v>
      </c>
      <c r="AG946" t="n">
        <v>4</v>
      </c>
      <c r="AH946" t="n">
        <v>0</v>
      </c>
      <c r="AI946" t="n">
        <v>0</v>
      </c>
      <c r="AJ946" t="n">
        <v>4</v>
      </c>
      <c r="AK946" t="n">
        <v>4</v>
      </c>
      <c r="AL946" t="n">
        <v>0</v>
      </c>
      <c r="AM946" t="n">
        <v>0</v>
      </c>
      <c r="AN946" t="n">
        <v>0</v>
      </c>
      <c r="AO946" t="n">
        <v>0</v>
      </c>
      <c r="AP946" t="inlineStr">
        <is>
          <t>No</t>
        </is>
      </c>
      <c r="AQ946" t="inlineStr">
        <is>
          <t>Yes</t>
        </is>
      </c>
      <c r="AR946">
        <f>HYPERLINK("http://catalog.hathitrust.org/Record/000487764","HathiTrust Record")</f>
        <v/>
      </c>
      <c r="AS946">
        <f>HYPERLINK("https://creighton-primo.hosted.exlibrisgroup.com/primo-explore/search?tab=default_tab&amp;search_scope=EVERYTHING&amp;vid=01CRU&amp;lang=en_US&amp;offset=0&amp;query=any,contains,991001013069702656","Catalog Record")</f>
        <v/>
      </c>
      <c r="AT946">
        <f>HYPERLINK("http://www.worldcat.org/oclc/15306917","WorldCat Record")</f>
        <v/>
      </c>
      <c r="AU946" t="inlineStr">
        <is>
          <t>9893811:eng</t>
        </is>
      </c>
      <c r="AV946" t="inlineStr">
        <is>
          <t>15306917</t>
        </is>
      </c>
      <c r="AW946" t="inlineStr">
        <is>
          <t>991001013069702656</t>
        </is>
      </c>
      <c r="AX946" t="inlineStr">
        <is>
          <t>991001013069702656</t>
        </is>
      </c>
      <c r="AY946" t="inlineStr">
        <is>
          <t>2256458950002656</t>
        </is>
      </c>
      <c r="AZ946" t="inlineStr">
        <is>
          <t>BOOK</t>
        </is>
      </c>
      <c r="BB946" t="inlineStr">
        <is>
          <t>9789652210050</t>
        </is>
      </c>
      <c r="BC946" t="inlineStr">
        <is>
          <t>32285000317528</t>
        </is>
      </c>
      <c r="BD946" t="inlineStr">
        <is>
          <t>893791085</t>
        </is>
      </c>
    </row>
    <row r="947">
      <c r="A947" t="inlineStr">
        <is>
          <t>No</t>
        </is>
      </c>
      <c r="B947" t="inlineStr">
        <is>
          <t>GN778.32.I75 T45</t>
        </is>
      </c>
      <c r="C947" t="inlineStr">
        <is>
          <t>0                      GN 0778320I  75                 T  45</t>
        </is>
      </c>
      <c r="D947" t="inlineStr">
        <is>
          <t>The settlement of Sinai and the Negev in the Bronze Age / by Thomas L. Thompson ; with technical assistance from Maniragaba Balibutsa and Margaret M. Clarkson.</t>
        </is>
      </c>
      <c r="F947" t="inlineStr">
        <is>
          <t>No</t>
        </is>
      </c>
      <c r="G947" t="inlineStr">
        <is>
          <t>1</t>
        </is>
      </c>
      <c r="H947" t="inlineStr">
        <is>
          <t>No</t>
        </is>
      </c>
      <c r="I947" t="inlineStr">
        <is>
          <t>No</t>
        </is>
      </c>
      <c r="J947" t="inlineStr">
        <is>
          <t>0</t>
        </is>
      </c>
      <c r="K947" t="inlineStr">
        <is>
          <t>Thompson, Thomas L.</t>
        </is>
      </c>
      <c r="L947" t="inlineStr">
        <is>
          <t>Wiesbaden : Reichert, 1975.</t>
        </is>
      </c>
      <c r="M947" t="inlineStr">
        <is>
          <t>1975</t>
        </is>
      </c>
      <c r="O947" t="inlineStr">
        <is>
          <t>eng</t>
        </is>
      </c>
      <c r="P947" t="inlineStr">
        <is>
          <t xml:space="preserve">gw </t>
        </is>
      </c>
      <c r="Q947" t="inlineStr">
        <is>
          <t>Beihefte zum Tübinger Atlas des Vorderen Orients. Reihe B, Geisteswissenschaften ; Nr. 8</t>
        </is>
      </c>
      <c r="R947" t="inlineStr">
        <is>
          <t xml:space="preserve">GN </t>
        </is>
      </c>
      <c r="S947" t="n">
        <v>2</v>
      </c>
      <c r="T947" t="n">
        <v>2</v>
      </c>
      <c r="U947" t="inlineStr">
        <is>
          <t>2009-03-06</t>
        </is>
      </c>
      <c r="V947" t="inlineStr">
        <is>
          <t>2009-03-06</t>
        </is>
      </c>
      <c r="W947" t="inlineStr">
        <is>
          <t>1990-10-01</t>
        </is>
      </c>
      <c r="X947" t="inlineStr">
        <is>
          <t>1990-10-01</t>
        </is>
      </c>
      <c r="Y947" t="n">
        <v>192</v>
      </c>
      <c r="Z947" t="n">
        <v>108</v>
      </c>
      <c r="AA947" t="n">
        <v>110</v>
      </c>
      <c r="AB947" t="n">
        <v>1</v>
      </c>
      <c r="AC947" t="n">
        <v>1</v>
      </c>
      <c r="AD947" t="n">
        <v>1</v>
      </c>
      <c r="AE947" t="n">
        <v>1</v>
      </c>
      <c r="AF947" t="n">
        <v>1</v>
      </c>
      <c r="AG947" t="n">
        <v>1</v>
      </c>
      <c r="AH947" t="n">
        <v>0</v>
      </c>
      <c r="AI947" t="n">
        <v>0</v>
      </c>
      <c r="AJ947" t="n">
        <v>0</v>
      </c>
      <c r="AK947" t="n">
        <v>0</v>
      </c>
      <c r="AL947" t="n">
        <v>0</v>
      </c>
      <c r="AM947" t="n">
        <v>0</v>
      </c>
      <c r="AN947" t="n">
        <v>0</v>
      </c>
      <c r="AO947" t="n">
        <v>0</v>
      </c>
      <c r="AP947" t="inlineStr">
        <is>
          <t>No</t>
        </is>
      </c>
      <c r="AQ947" t="inlineStr">
        <is>
          <t>Yes</t>
        </is>
      </c>
      <c r="AR947">
        <f>HYPERLINK("http://catalog.hathitrust.org/Record/000701134","HathiTrust Record")</f>
        <v/>
      </c>
      <c r="AS947">
        <f>HYPERLINK("https://creighton-primo.hosted.exlibrisgroup.com/primo-explore/search?tab=default_tab&amp;search_scope=EVERYTHING&amp;vid=01CRU&amp;lang=en_US&amp;offset=0&amp;query=any,contains,991004000889702656","Catalog Record")</f>
        <v/>
      </c>
      <c r="AT947">
        <f>HYPERLINK("http://www.worldcat.org/oclc/2073046","WorldCat Record")</f>
        <v/>
      </c>
      <c r="AU947" t="inlineStr">
        <is>
          <t>3947131:eng</t>
        </is>
      </c>
      <c r="AV947" t="inlineStr">
        <is>
          <t>2073046</t>
        </is>
      </c>
      <c r="AW947" t="inlineStr">
        <is>
          <t>991004000889702656</t>
        </is>
      </c>
      <c r="AX947" t="inlineStr">
        <is>
          <t>991004000889702656</t>
        </is>
      </c>
      <c r="AY947" t="inlineStr">
        <is>
          <t>2256753740002656</t>
        </is>
      </c>
      <c r="AZ947" t="inlineStr">
        <is>
          <t>BOOK</t>
        </is>
      </c>
      <c r="BB947" t="inlineStr">
        <is>
          <t>9783920153445</t>
        </is>
      </c>
      <c r="BC947" t="inlineStr">
        <is>
          <t>32285000317536</t>
        </is>
      </c>
      <c r="BD947" t="inlineStr">
        <is>
          <t>893687236</t>
        </is>
      </c>
    </row>
    <row r="948">
      <c r="A948" t="inlineStr">
        <is>
          <t>No</t>
        </is>
      </c>
      <c r="B948" t="inlineStr">
        <is>
          <t>GN778.32.T9 W37 1998</t>
        </is>
      </c>
      <c r="C948" t="inlineStr">
        <is>
          <t>0                      GN 0778320T  9                  W  37          1998</t>
        </is>
      </c>
      <c r="D948" t="inlineStr">
        <is>
          <t>Household and state in upper Mesopotamia : specialized economy and the social uses of goods in an early complex society / Patricia Wattenmaker.</t>
        </is>
      </c>
      <c r="F948" t="inlineStr">
        <is>
          <t>No</t>
        </is>
      </c>
      <c r="G948" t="inlineStr">
        <is>
          <t>1</t>
        </is>
      </c>
      <c r="H948" t="inlineStr">
        <is>
          <t>No</t>
        </is>
      </c>
      <c r="I948" t="inlineStr">
        <is>
          <t>No</t>
        </is>
      </c>
      <c r="J948" t="inlineStr">
        <is>
          <t>0</t>
        </is>
      </c>
      <c r="K948" t="inlineStr">
        <is>
          <t>Wattenmaker, Patricia.</t>
        </is>
      </c>
      <c r="L948" t="inlineStr">
        <is>
          <t>Washington, DC : Smithsonian Institution Press, 1998.</t>
        </is>
      </c>
      <c r="M948" t="inlineStr">
        <is>
          <t>1998</t>
        </is>
      </c>
      <c r="O948" t="inlineStr">
        <is>
          <t>eng</t>
        </is>
      </c>
      <c r="P948" t="inlineStr">
        <is>
          <t>dcu</t>
        </is>
      </c>
      <c r="Q948" t="inlineStr">
        <is>
          <t>Smithsonian series in archaeological inquiry</t>
        </is>
      </c>
      <c r="R948" t="inlineStr">
        <is>
          <t xml:space="preserve">GN </t>
        </is>
      </c>
      <c r="S948" t="n">
        <v>1</v>
      </c>
      <c r="T948" t="n">
        <v>1</v>
      </c>
      <c r="U948" t="inlineStr">
        <is>
          <t>2001-08-02</t>
        </is>
      </c>
      <c r="V948" t="inlineStr">
        <is>
          <t>2001-08-02</t>
        </is>
      </c>
      <c r="W948" t="inlineStr">
        <is>
          <t>2001-08-02</t>
        </is>
      </c>
      <c r="X948" t="inlineStr">
        <is>
          <t>2001-08-02</t>
        </is>
      </c>
      <c r="Y948" t="n">
        <v>260</v>
      </c>
      <c r="Z948" t="n">
        <v>199</v>
      </c>
      <c r="AA948" t="n">
        <v>200</v>
      </c>
      <c r="AB948" t="n">
        <v>2</v>
      </c>
      <c r="AC948" t="n">
        <v>2</v>
      </c>
      <c r="AD948" t="n">
        <v>11</v>
      </c>
      <c r="AE948" t="n">
        <v>11</v>
      </c>
      <c r="AF948" t="n">
        <v>4</v>
      </c>
      <c r="AG948" t="n">
        <v>4</v>
      </c>
      <c r="AH948" t="n">
        <v>4</v>
      </c>
      <c r="AI948" t="n">
        <v>4</v>
      </c>
      <c r="AJ948" t="n">
        <v>7</v>
      </c>
      <c r="AK948" t="n">
        <v>7</v>
      </c>
      <c r="AL948" t="n">
        <v>1</v>
      </c>
      <c r="AM948" t="n">
        <v>1</v>
      </c>
      <c r="AN948" t="n">
        <v>0</v>
      </c>
      <c r="AO948" t="n">
        <v>0</v>
      </c>
      <c r="AP948" t="inlineStr">
        <is>
          <t>No</t>
        </is>
      </c>
      <c r="AQ948" t="inlineStr">
        <is>
          <t>Yes</t>
        </is>
      </c>
      <c r="AR948">
        <f>HYPERLINK("http://catalog.hathitrust.org/Record/003992857","HathiTrust Record")</f>
        <v/>
      </c>
      <c r="AS948">
        <f>HYPERLINK("https://creighton-primo.hosted.exlibrisgroup.com/primo-explore/search?tab=default_tab&amp;search_scope=EVERYTHING&amp;vid=01CRU&amp;lang=en_US&amp;offset=0&amp;query=any,contains,991003564049702656","Catalog Record")</f>
        <v/>
      </c>
      <c r="AT948">
        <f>HYPERLINK("http://www.worldcat.org/oclc/38258117","WorldCat Record")</f>
        <v/>
      </c>
      <c r="AU948" t="inlineStr">
        <is>
          <t>797320706:eng</t>
        </is>
      </c>
      <c r="AV948" t="inlineStr">
        <is>
          <t>38258117</t>
        </is>
      </c>
      <c r="AW948" t="inlineStr">
        <is>
          <t>991003564049702656</t>
        </is>
      </c>
      <c r="AX948" t="inlineStr">
        <is>
          <t>991003564049702656</t>
        </is>
      </c>
      <c r="AY948" t="inlineStr">
        <is>
          <t>2268864760002656</t>
        </is>
      </c>
      <c r="AZ948" t="inlineStr">
        <is>
          <t>BOOK</t>
        </is>
      </c>
      <c r="BB948" t="inlineStr">
        <is>
          <t>9781560987826</t>
        </is>
      </c>
      <c r="BC948" t="inlineStr">
        <is>
          <t>32285004375753</t>
        </is>
      </c>
      <c r="BD948" t="inlineStr">
        <is>
          <t>893627639</t>
        </is>
      </c>
    </row>
    <row r="949">
      <c r="A949" t="inlineStr">
        <is>
          <t>No</t>
        </is>
      </c>
      <c r="B949" t="inlineStr">
        <is>
          <t>GN778.P33 P7 1963</t>
        </is>
      </c>
      <c r="C949" t="inlineStr">
        <is>
          <t>0                      GN 0778000P  33                 P  7           1963</t>
        </is>
      </c>
      <c r="D949" t="inlineStr">
        <is>
          <t>The bronze age cemetery at Gibeon / by James B. Pritchard.</t>
        </is>
      </c>
      <c r="F949" t="inlineStr">
        <is>
          <t>No</t>
        </is>
      </c>
      <c r="G949" t="inlineStr">
        <is>
          <t>1</t>
        </is>
      </c>
      <c r="H949" t="inlineStr">
        <is>
          <t>No</t>
        </is>
      </c>
      <c r="I949" t="inlineStr">
        <is>
          <t>No</t>
        </is>
      </c>
      <c r="J949" t="inlineStr">
        <is>
          <t>0</t>
        </is>
      </c>
      <c r="K949" t="inlineStr">
        <is>
          <t>Pritchard, James B. (James Bennett), 1909-1997.</t>
        </is>
      </c>
      <c r="L949" t="inlineStr">
        <is>
          <t>[Philadelphia] : University Museum, University of Pennsylvania, 1963.</t>
        </is>
      </c>
      <c r="M949" t="inlineStr">
        <is>
          <t>1963</t>
        </is>
      </c>
      <c r="O949" t="inlineStr">
        <is>
          <t>eng</t>
        </is>
      </c>
      <c r="P949" t="inlineStr">
        <is>
          <t>pau</t>
        </is>
      </c>
      <c r="Q949" t="inlineStr">
        <is>
          <t>Museum monographs</t>
        </is>
      </c>
      <c r="R949" t="inlineStr">
        <is>
          <t xml:space="preserve">GN </t>
        </is>
      </c>
      <c r="S949" t="n">
        <v>4</v>
      </c>
      <c r="T949" t="n">
        <v>4</v>
      </c>
      <c r="U949" t="inlineStr">
        <is>
          <t>2002-03-27</t>
        </is>
      </c>
      <c r="V949" t="inlineStr">
        <is>
          <t>2002-03-27</t>
        </is>
      </c>
      <c r="W949" t="inlineStr">
        <is>
          <t>1998-10-22</t>
        </is>
      </c>
      <c r="X949" t="inlineStr">
        <is>
          <t>1998-10-22</t>
        </is>
      </c>
      <c r="Y949" t="n">
        <v>237</v>
      </c>
      <c r="Z949" t="n">
        <v>191</v>
      </c>
      <c r="AA949" t="n">
        <v>197</v>
      </c>
      <c r="AB949" t="n">
        <v>2</v>
      </c>
      <c r="AC949" t="n">
        <v>2</v>
      </c>
      <c r="AD949" t="n">
        <v>8</v>
      </c>
      <c r="AE949" t="n">
        <v>8</v>
      </c>
      <c r="AF949" t="n">
        <v>3</v>
      </c>
      <c r="AG949" t="n">
        <v>3</v>
      </c>
      <c r="AH949" t="n">
        <v>3</v>
      </c>
      <c r="AI949" t="n">
        <v>3</v>
      </c>
      <c r="AJ949" t="n">
        <v>3</v>
      </c>
      <c r="AK949" t="n">
        <v>3</v>
      </c>
      <c r="AL949" t="n">
        <v>1</v>
      </c>
      <c r="AM949" t="n">
        <v>1</v>
      </c>
      <c r="AN949" t="n">
        <v>0</v>
      </c>
      <c r="AO949" t="n">
        <v>0</v>
      </c>
      <c r="AP949" t="inlineStr">
        <is>
          <t>Yes</t>
        </is>
      </c>
      <c r="AQ949" t="inlineStr">
        <is>
          <t>No</t>
        </is>
      </c>
      <c r="AR949">
        <f>HYPERLINK("http://catalog.hathitrust.org/Record/001275820","HathiTrust Record")</f>
        <v/>
      </c>
      <c r="AS949">
        <f>HYPERLINK("https://creighton-primo.hosted.exlibrisgroup.com/primo-explore/search?tab=default_tab&amp;search_scope=EVERYTHING&amp;vid=01CRU&amp;lang=en_US&amp;offset=0&amp;query=any,contains,991003998539702656","Catalog Record")</f>
        <v/>
      </c>
      <c r="AT949">
        <f>HYPERLINK("http://www.worldcat.org/oclc/2068852","WorldCat Record")</f>
        <v/>
      </c>
      <c r="AU949" t="inlineStr">
        <is>
          <t>3865412:eng</t>
        </is>
      </c>
      <c r="AV949" t="inlineStr">
        <is>
          <t>2068852</t>
        </is>
      </c>
      <c r="AW949" t="inlineStr">
        <is>
          <t>991003998539702656</t>
        </is>
      </c>
      <c r="AX949" t="inlineStr">
        <is>
          <t>991003998539702656</t>
        </is>
      </c>
      <c r="AY949" t="inlineStr">
        <is>
          <t>2262057580002656</t>
        </is>
      </c>
      <c r="AZ949" t="inlineStr">
        <is>
          <t>BOOK</t>
        </is>
      </c>
      <c r="BC949" t="inlineStr">
        <is>
          <t>32285003476719</t>
        </is>
      </c>
      <c r="BD949" t="inlineStr">
        <is>
          <t>893337227</t>
        </is>
      </c>
    </row>
    <row r="950">
      <c r="A950" t="inlineStr">
        <is>
          <t>No</t>
        </is>
      </c>
      <c r="B950" t="inlineStr">
        <is>
          <t>GN780.22.G3 W45 1983</t>
        </is>
      </c>
      <c r="C950" t="inlineStr">
        <is>
          <t>0                      GN 0780220G  3                  W  45          1983</t>
        </is>
      </c>
      <c r="D950" t="inlineStr">
        <is>
          <t>Rural economy in the Early Iron Age : excavations at Hascherkeller, 1978-1981 / Peter S. Wells ; with contributions by Helmut Becker ... [et al.] ; artifact illustrations by Dorcas Brown.</t>
        </is>
      </c>
      <c r="F950" t="inlineStr">
        <is>
          <t>No</t>
        </is>
      </c>
      <c r="G950" t="inlineStr">
        <is>
          <t>1</t>
        </is>
      </c>
      <c r="H950" t="inlineStr">
        <is>
          <t>No</t>
        </is>
      </c>
      <c r="I950" t="inlineStr">
        <is>
          <t>No</t>
        </is>
      </c>
      <c r="J950" t="inlineStr">
        <is>
          <t>0</t>
        </is>
      </c>
      <c r="K950" t="inlineStr">
        <is>
          <t>Wells, Peter S.</t>
        </is>
      </c>
      <c r="L950" t="inlineStr">
        <is>
          <t>Cambridge, Mass. : Peabody Museum of Archaeology and Ethnology, Harvard University : Distributed by Harvard University Press, 1983.</t>
        </is>
      </c>
      <c r="M950" t="inlineStr">
        <is>
          <t>1983</t>
        </is>
      </c>
      <c r="O950" t="inlineStr">
        <is>
          <t>eng</t>
        </is>
      </c>
      <c r="P950" t="inlineStr">
        <is>
          <t>mau</t>
        </is>
      </c>
      <c r="Q950" t="inlineStr">
        <is>
          <t>Bulletin / American School of Prehistoric Research, Peabody Museum, Harvard University ; no. 36</t>
        </is>
      </c>
      <c r="R950" t="inlineStr">
        <is>
          <t xml:space="preserve">GN </t>
        </is>
      </c>
      <c r="S950" t="n">
        <v>4</v>
      </c>
      <c r="T950" t="n">
        <v>4</v>
      </c>
      <c r="U950" t="inlineStr">
        <is>
          <t>2002-03-25</t>
        </is>
      </c>
      <c r="V950" t="inlineStr">
        <is>
          <t>2002-03-25</t>
        </is>
      </c>
      <c r="W950" t="inlineStr">
        <is>
          <t>1990-10-01</t>
        </is>
      </c>
      <c r="X950" t="inlineStr">
        <is>
          <t>1990-10-01</t>
        </is>
      </c>
      <c r="Y950" t="n">
        <v>183</v>
      </c>
      <c r="Z950" t="n">
        <v>124</v>
      </c>
      <c r="AA950" t="n">
        <v>124</v>
      </c>
      <c r="AB950" t="n">
        <v>1</v>
      </c>
      <c r="AC950" t="n">
        <v>1</v>
      </c>
      <c r="AD950" t="n">
        <v>0</v>
      </c>
      <c r="AE950" t="n">
        <v>0</v>
      </c>
      <c r="AF950" t="n">
        <v>0</v>
      </c>
      <c r="AG950" t="n">
        <v>0</v>
      </c>
      <c r="AH950" t="n">
        <v>0</v>
      </c>
      <c r="AI950" t="n">
        <v>0</v>
      </c>
      <c r="AJ950" t="n">
        <v>0</v>
      </c>
      <c r="AK950" t="n">
        <v>0</v>
      </c>
      <c r="AL950" t="n">
        <v>0</v>
      </c>
      <c r="AM950" t="n">
        <v>0</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HYPERLINK("https://creighton-primo.hosted.exlibrisgroup.com/primo-explore/search?tab=default_tab&amp;search_scope=EVERYTHING&amp;vid=01CRU&amp;lang=en_US&amp;offset=0&amp;query=any,contains,991000329459702656","Catalog Record")</f>
        <v/>
      </c>
      <c r="AT950">
        <f>HYPERLINK("http://www.worldcat.org/oclc/10187204","WorldCat Record")</f>
        <v/>
      </c>
      <c r="AU950" t="inlineStr">
        <is>
          <t>235519072:eng</t>
        </is>
      </c>
      <c r="AV950" t="inlineStr">
        <is>
          <t>10187204</t>
        </is>
      </c>
      <c r="AW950" t="inlineStr">
        <is>
          <t>991000329459702656</t>
        </is>
      </c>
      <c r="AX950" t="inlineStr">
        <is>
          <t>991000329459702656</t>
        </is>
      </c>
      <c r="AY950" t="inlineStr">
        <is>
          <t>2268483100002656</t>
        </is>
      </c>
      <c r="AZ950" t="inlineStr">
        <is>
          <t>BOOK</t>
        </is>
      </c>
      <c r="BB950" t="inlineStr">
        <is>
          <t>9780873655392</t>
        </is>
      </c>
      <c r="BC950" t="inlineStr">
        <is>
          <t>32285000317577</t>
        </is>
      </c>
      <c r="BD950" t="inlineStr">
        <is>
          <t>893896791</t>
        </is>
      </c>
    </row>
    <row r="951">
      <c r="A951" t="inlineStr">
        <is>
          <t>No</t>
        </is>
      </c>
      <c r="B951" t="inlineStr">
        <is>
          <t>GN780.4.A1 O44</t>
        </is>
      </c>
      <c r="C951" t="inlineStr">
        <is>
          <t>0                      GN 0780400A  1                  O  44</t>
        </is>
      </c>
      <c r="D951" t="inlineStr">
        <is>
          <t>Africa in the Iron Age, c500 B.C. to A.D. 1400 / Roland Oliver, Brian M. Fagan.</t>
        </is>
      </c>
      <c r="F951" t="inlineStr">
        <is>
          <t>No</t>
        </is>
      </c>
      <c r="G951" t="inlineStr">
        <is>
          <t>1</t>
        </is>
      </c>
      <c r="H951" t="inlineStr">
        <is>
          <t>No</t>
        </is>
      </c>
      <c r="I951" t="inlineStr">
        <is>
          <t>No</t>
        </is>
      </c>
      <c r="J951" t="inlineStr">
        <is>
          <t>0</t>
        </is>
      </c>
      <c r="K951" t="inlineStr">
        <is>
          <t>Oliver, Roland Anthony.</t>
        </is>
      </c>
      <c r="L951" t="inlineStr">
        <is>
          <t>Cambridge ; New York : Cambridge University Press, 1975.</t>
        </is>
      </c>
      <c r="M951" t="inlineStr">
        <is>
          <t>1975</t>
        </is>
      </c>
      <c r="O951" t="inlineStr">
        <is>
          <t>eng</t>
        </is>
      </c>
      <c r="P951" t="inlineStr">
        <is>
          <t>enk</t>
        </is>
      </c>
      <c r="R951" t="inlineStr">
        <is>
          <t xml:space="preserve">GN </t>
        </is>
      </c>
      <c r="S951" t="n">
        <v>2</v>
      </c>
      <c r="T951" t="n">
        <v>2</v>
      </c>
      <c r="U951" t="inlineStr">
        <is>
          <t>2004-02-03</t>
        </is>
      </c>
      <c r="V951" t="inlineStr">
        <is>
          <t>2004-02-03</t>
        </is>
      </c>
      <c r="W951" t="inlineStr">
        <is>
          <t>1997-05-29</t>
        </is>
      </c>
      <c r="X951" t="inlineStr">
        <is>
          <t>1997-05-29</t>
        </is>
      </c>
      <c r="Y951" t="n">
        <v>782</v>
      </c>
      <c r="Z951" t="n">
        <v>584</v>
      </c>
      <c r="AA951" t="n">
        <v>589</v>
      </c>
      <c r="AB951" t="n">
        <v>3</v>
      </c>
      <c r="AC951" t="n">
        <v>3</v>
      </c>
      <c r="AD951" t="n">
        <v>17</v>
      </c>
      <c r="AE951" t="n">
        <v>17</v>
      </c>
      <c r="AF951" t="n">
        <v>3</v>
      </c>
      <c r="AG951" t="n">
        <v>3</v>
      </c>
      <c r="AH951" t="n">
        <v>7</v>
      </c>
      <c r="AI951" t="n">
        <v>7</v>
      </c>
      <c r="AJ951" t="n">
        <v>9</v>
      </c>
      <c r="AK951" t="n">
        <v>9</v>
      </c>
      <c r="AL951" t="n">
        <v>2</v>
      </c>
      <c r="AM951" t="n">
        <v>2</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HYPERLINK("https://creighton-primo.hosted.exlibrisgroup.com/primo-explore/search?tab=default_tab&amp;search_scope=EVERYTHING&amp;vid=01CRU&amp;lang=en_US&amp;offset=0&amp;query=any,contains,991003718979702656","Catalog Record")</f>
        <v/>
      </c>
      <c r="AT951">
        <f>HYPERLINK("http://www.worldcat.org/oclc/1364815","WorldCat Record")</f>
        <v/>
      </c>
      <c r="AU951" t="inlineStr">
        <is>
          <t>9590787438:eng</t>
        </is>
      </c>
      <c r="AV951" t="inlineStr">
        <is>
          <t>1364815</t>
        </is>
      </c>
      <c r="AW951" t="inlineStr">
        <is>
          <t>991003718979702656</t>
        </is>
      </c>
      <c r="AX951" t="inlineStr">
        <is>
          <t>991003718979702656</t>
        </is>
      </c>
      <c r="AY951" t="inlineStr">
        <is>
          <t>2257167750002656</t>
        </is>
      </c>
      <c r="AZ951" t="inlineStr">
        <is>
          <t>BOOK</t>
        </is>
      </c>
      <c r="BB951" t="inlineStr">
        <is>
          <t>9780521205986</t>
        </is>
      </c>
      <c r="BC951" t="inlineStr">
        <is>
          <t>32285002697554</t>
        </is>
      </c>
      <c r="BD951" t="inlineStr">
        <is>
          <t>893525135</t>
        </is>
      </c>
    </row>
    <row r="952">
      <c r="A952" t="inlineStr">
        <is>
          <t>No</t>
        </is>
      </c>
      <c r="B952" t="inlineStr">
        <is>
          <t>GN780.D4 G53 1969b</t>
        </is>
      </c>
      <c r="C952" t="inlineStr">
        <is>
          <t>0                      GN 0780000D  4                  G  53          1969b</t>
        </is>
      </c>
      <c r="D952" t="inlineStr">
        <is>
          <t>The bog people; Iron Age man preserved [by] P. V. Glob. Translated from the Danish by Rupert Bruce-Mitford.</t>
        </is>
      </c>
      <c r="F952" t="inlineStr">
        <is>
          <t>No</t>
        </is>
      </c>
      <c r="G952" t="inlineStr">
        <is>
          <t>1</t>
        </is>
      </c>
      <c r="H952" t="inlineStr">
        <is>
          <t>No</t>
        </is>
      </c>
      <c r="I952" t="inlineStr">
        <is>
          <t>No</t>
        </is>
      </c>
      <c r="J952" t="inlineStr">
        <is>
          <t>0</t>
        </is>
      </c>
      <c r="K952" t="inlineStr">
        <is>
          <t>Glob, P. V. (Peter Vilhelm), 1911-1985.</t>
        </is>
      </c>
      <c r="L952" t="inlineStr">
        <is>
          <t>Ithaca, N.Y., Cornell University Press [1969]</t>
        </is>
      </c>
      <c r="M952" t="inlineStr">
        <is>
          <t>1969</t>
        </is>
      </c>
      <c r="O952" t="inlineStr">
        <is>
          <t>eng</t>
        </is>
      </c>
      <c r="P952" t="inlineStr">
        <is>
          <t>nyu</t>
        </is>
      </c>
      <c r="R952" t="inlineStr">
        <is>
          <t xml:space="preserve">GN </t>
        </is>
      </c>
      <c r="S952" t="n">
        <v>9</v>
      </c>
      <c r="T952" t="n">
        <v>9</v>
      </c>
      <c r="U952" t="inlineStr">
        <is>
          <t>2008-04-17</t>
        </is>
      </c>
      <c r="V952" t="inlineStr">
        <is>
          <t>2008-04-17</t>
        </is>
      </c>
      <c r="W952" t="inlineStr">
        <is>
          <t>1996-10-24</t>
        </is>
      </c>
      <c r="X952" t="inlineStr">
        <is>
          <t>1996-10-24</t>
        </is>
      </c>
      <c r="Y952" t="n">
        <v>1248</v>
      </c>
      <c r="Z952" t="n">
        <v>1190</v>
      </c>
      <c r="AA952" t="n">
        <v>1513</v>
      </c>
      <c r="AB952" t="n">
        <v>8</v>
      </c>
      <c r="AC952" t="n">
        <v>9</v>
      </c>
      <c r="AD952" t="n">
        <v>38</v>
      </c>
      <c r="AE952" t="n">
        <v>45</v>
      </c>
      <c r="AF952" t="n">
        <v>18</v>
      </c>
      <c r="AG952" t="n">
        <v>21</v>
      </c>
      <c r="AH952" t="n">
        <v>6</v>
      </c>
      <c r="AI952" t="n">
        <v>9</v>
      </c>
      <c r="AJ952" t="n">
        <v>21</v>
      </c>
      <c r="AK952" t="n">
        <v>23</v>
      </c>
      <c r="AL952" t="n">
        <v>5</v>
      </c>
      <c r="AM952" t="n">
        <v>6</v>
      </c>
      <c r="AN952" t="n">
        <v>0</v>
      </c>
      <c r="AO952" t="n">
        <v>0</v>
      </c>
      <c r="AP952" t="inlineStr">
        <is>
          <t>No</t>
        </is>
      </c>
      <c r="AQ952" t="inlineStr">
        <is>
          <t>Yes</t>
        </is>
      </c>
      <c r="AR952">
        <f>HYPERLINK("http://catalog.hathitrust.org/Record/001275841","HathiTrust Record")</f>
        <v/>
      </c>
      <c r="AS952">
        <f>HYPERLINK("https://creighton-primo.hosted.exlibrisgroup.com/primo-explore/search?tab=default_tab&amp;search_scope=EVERYTHING&amp;vid=01CRU&amp;lang=en_US&amp;offset=0&amp;query=any,contains,991000006119702656","Catalog Record")</f>
        <v/>
      </c>
      <c r="AT952">
        <f>HYPERLINK("http://www.worldcat.org/oclc/13404","WorldCat Record")</f>
        <v/>
      </c>
      <c r="AU952" t="inlineStr">
        <is>
          <t>364242129:eng</t>
        </is>
      </c>
      <c r="AV952" t="inlineStr">
        <is>
          <t>13404</t>
        </is>
      </c>
      <c r="AW952" t="inlineStr">
        <is>
          <t>991000006119702656</t>
        </is>
      </c>
      <c r="AX952" t="inlineStr">
        <is>
          <t>991000006119702656</t>
        </is>
      </c>
      <c r="AY952" t="inlineStr">
        <is>
          <t>2266338600002656</t>
        </is>
      </c>
      <c r="AZ952" t="inlineStr">
        <is>
          <t>BOOK</t>
        </is>
      </c>
      <c r="BC952" t="inlineStr">
        <is>
          <t>32285002368974</t>
        </is>
      </c>
      <c r="BD952" t="inlineStr">
        <is>
          <t>893884017</t>
        </is>
      </c>
    </row>
    <row r="953">
      <c r="A953" t="inlineStr">
        <is>
          <t>No</t>
        </is>
      </c>
      <c r="B953" t="inlineStr">
        <is>
          <t>GN789 .B75 1986</t>
        </is>
      </c>
      <c r="C953" t="inlineStr">
        <is>
          <t>0                      GN 0789000B  75          1986</t>
        </is>
      </c>
      <c r="D953" t="inlineStr">
        <is>
          <t>Markings : aerial views of sacred landscapes / photographs by Marilyn Bridges ; preface by Haven O'More ; essays by Maria Reiche ... [et al.] ; afterword by Marilyn Bridges.</t>
        </is>
      </c>
      <c r="F953" t="inlineStr">
        <is>
          <t>No</t>
        </is>
      </c>
      <c r="G953" t="inlineStr">
        <is>
          <t>1</t>
        </is>
      </c>
      <c r="H953" t="inlineStr">
        <is>
          <t>No</t>
        </is>
      </c>
      <c r="I953" t="inlineStr">
        <is>
          <t>No</t>
        </is>
      </c>
      <c r="J953" t="inlineStr">
        <is>
          <t>0</t>
        </is>
      </c>
      <c r="K953" t="inlineStr">
        <is>
          <t>Bridges, Marilyn.</t>
        </is>
      </c>
      <c r="L953" t="inlineStr">
        <is>
          <t>New York, N.Y. : Aperture, c1986.</t>
        </is>
      </c>
      <c r="M953" t="inlineStr">
        <is>
          <t>1986</t>
        </is>
      </c>
      <c r="O953" t="inlineStr">
        <is>
          <t>eng</t>
        </is>
      </c>
      <c r="P953" t="inlineStr">
        <is>
          <t>nyu</t>
        </is>
      </c>
      <c r="R953" t="inlineStr">
        <is>
          <t xml:space="preserve">GN </t>
        </is>
      </c>
      <c r="S953" t="n">
        <v>4</v>
      </c>
      <c r="T953" t="n">
        <v>4</v>
      </c>
      <c r="U953" t="inlineStr">
        <is>
          <t>2008-07-07</t>
        </is>
      </c>
      <c r="V953" t="inlineStr">
        <is>
          <t>2008-07-07</t>
        </is>
      </c>
      <c r="W953" t="inlineStr">
        <is>
          <t>1996-09-06</t>
        </is>
      </c>
      <c r="X953" t="inlineStr">
        <is>
          <t>1996-09-06</t>
        </is>
      </c>
      <c r="Y953" t="n">
        <v>632</v>
      </c>
      <c r="Z953" t="n">
        <v>576</v>
      </c>
      <c r="AA953" t="n">
        <v>585</v>
      </c>
      <c r="AB953" t="n">
        <v>6</v>
      </c>
      <c r="AC953" t="n">
        <v>6</v>
      </c>
      <c r="AD953" t="n">
        <v>11</v>
      </c>
      <c r="AE953" t="n">
        <v>11</v>
      </c>
      <c r="AF953" t="n">
        <v>2</v>
      </c>
      <c r="AG953" t="n">
        <v>2</v>
      </c>
      <c r="AH953" t="n">
        <v>2</v>
      </c>
      <c r="AI953" t="n">
        <v>2</v>
      </c>
      <c r="AJ953" t="n">
        <v>5</v>
      </c>
      <c r="AK953" t="n">
        <v>5</v>
      </c>
      <c r="AL953" t="n">
        <v>3</v>
      </c>
      <c r="AM953" t="n">
        <v>3</v>
      </c>
      <c r="AN953" t="n">
        <v>0</v>
      </c>
      <c r="AO953" t="n">
        <v>0</v>
      </c>
      <c r="AP953" t="inlineStr">
        <is>
          <t>No</t>
        </is>
      </c>
      <c r="AQ953" t="inlineStr">
        <is>
          <t>Yes</t>
        </is>
      </c>
      <c r="AR953">
        <f>HYPERLINK("http://catalog.hathitrust.org/Record/000825584","HathiTrust Record")</f>
        <v/>
      </c>
      <c r="AS953">
        <f>HYPERLINK("https://creighton-primo.hosted.exlibrisgroup.com/primo-explore/search?tab=default_tab&amp;search_scope=EVERYTHING&amp;vid=01CRU&amp;lang=en_US&amp;offset=0&amp;query=any,contains,991000985679702656","Catalog Record")</f>
        <v/>
      </c>
      <c r="AT953">
        <f>HYPERLINK("http://www.worldcat.org/oclc/15081093","WorldCat Record")</f>
        <v/>
      </c>
      <c r="AU953" t="inlineStr">
        <is>
          <t>984197:eng</t>
        </is>
      </c>
      <c r="AV953" t="inlineStr">
        <is>
          <t>15081093</t>
        </is>
      </c>
      <c r="AW953" t="inlineStr">
        <is>
          <t>991000985679702656</t>
        </is>
      </c>
      <c r="AX953" t="inlineStr">
        <is>
          <t>991000985679702656</t>
        </is>
      </c>
      <c r="AY953" t="inlineStr">
        <is>
          <t>2259114350002656</t>
        </is>
      </c>
      <c r="AZ953" t="inlineStr">
        <is>
          <t>BOOK</t>
        </is>
      </c>
      <c r="BB953" t="inlineStr">
        <is>
          <t>9780893812287</t>
        </is>
      </c>
      <c r="BC953" t="inlineStr">
        <is>
          <t>32285002315413</t>
        </is>
      </c>
      <c r="BD953" t="inlineStr">
        <is>
          <t>893407721</t>
        </is>
      </c>
    </row>
    <row r="954">
      <c r="A954" t="inlineStr">
        <is>
          <t>No</t>
        </is>
      </c>
      <c r="B954" t="inlineStr">
        <is>
          <t>GN790 .C29 1986</t>
        </is>
      </c>
      <c r="C954" t="inlineStr">
        <is>
          <t>0                      GN 0790000C  29          1986</t>
        </is>
      </c>
      <c r="D954" t="inlineStr">
        <is>
          <t>Megaliths / Paul Caponigro.</t>
        </is>
      </c>
      <c r="F954" t="inlineStr">
        <is>
          <t>No</t>
        </is>
      </c>
      <c r="G954" t="inlineStr">
        <is>
          <t>1</t>
        </is>
      </c>
      <c r="H954" t="inlineStr">
        <is>
          <t>No</t>
        </is>
      </c>
      <c r="I954" t="inlineStr">
        <is>
          <t>No</t>
        </is>
      </c>
      <c r="J954" t="inlineStr">
        <is>
          <t>0</t>
        </is>
      </c>
      <c r="K954" t="inlineStr">
        <is>
          <t>Caponigro, Paul, 1932-</t>
        </is>
      </c>
      <c r="L954" t="inlineStr">
        <is>
          <t>Boston : Little, Brown, c1986.</t>
        </is>
      </c>
      <c r="M954" t="inlineStr">
        <is>
          <t>1986</t>
        </is>
      </c>
      <c r="N954" t="inlineStr">
        <is>
          <t>1st ed.</t>
        </is>
      </c>
      <c r="O954" t="inlineStr">
        <is>
          <t>eng</t>
        </is>
      </c>
      <c r="P954" t="inlineStr">
        <is>
          <t>mau</t>
        </is>
      </c>
      <c r="R954" t="inlineStr">
        <is>
          <t xml:space="preserve">GN </t>
        </is>
      </c>
      <c r="S954" t="n">
        <v>4</v>
      </c>
      <c r="T954" t="n">
        <v>4</v>
      </c>
      <c r="U954" t="inlineStr">
        <is>
          <t>2006-11-12</t>
        </is>
      </c>
      <c r="V954" t="inlineStr">
        <is>
          <t>2006-11-12</t>
        </is>
      </c>
      <c r="W954" t="inlineStr">
        <is>
          <t>1990-10-01</t>
        </is>
      </c>
      <c r="X954" t="inlineStr">
        <is>
          <t>1990-10-01</t>
        </is>
      </c>
      <c r="Y954" t="n">
        <v>466</v>
      </c>
      <c r="Z954" t="n">
        <v>415</v>
      </c>
      <c r="AA954" t="n">
        <v>417</v>
      </c>
      <c r="AB954" t="n">
        <v>5</v>
      </c>
      <c r="AC954" t="n">
        <v>5</v>
      </c>
      <c r="AD954" t="n">
        <v>14</v>
      </c>
      <c r="AE954" t="n">
        <v>14</v>
      </c>
      <c r="AF954" t="n">
        <v>5</v>
      </c>
      <c r="AG954" t="n">
        <v>5</v>
      </c>
      <c r="AH954" t="n">
        <v>4</v>
      </c>
      <c r="AI954" t="n">
        <v>4</v>
      </c>
      <c r="AJ954" t="n">
        <v>7</v>
      </c>
      <c r="AK954" t="n">
        <v>7</v>
      </c>
      <c r="AL954" t="n">
        <v>3</v>
      </c>
      <c r="AM954" t="n">
        <v>3</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HYPERLINK("https://creighton-primo.hosted.exlibrisgroup.com/primo-explore/search?tab=default_tab&amp;search_scope=EVERYTHING&amp;vid=01CRU&amp;lang=en_US&amp;offset=0&amp;query=any,contains,991000874129702656","Catalog Record")</f>
        <v/>
      </c>
      <c r="AT954">
        <f>HYPERLINK("http://www.worldcat.org/oclc/13795433","WorldCat Record")</f>
        <v/>
      </c>
      <c r="AU954" t="inlineStr">
        <is>
          <t>7945883:eng</t>
        </is>
      </c>
      <c r="AV954" t="inlineStr">
        <is>
          <t>13795433</t>
        </is>
      </c>
      <c r="AW954" t="inlineStr">
        <is>
          <t>991000874129702656</t>
        </is>
      </c>
      <c r="AX954" t="inlineStr">
        <is>
          <t>991000874129702656</t>
        </is>
      </c>
      <c r="AY954" t="inlineStr">
        <is>
          <t>2269057010002656</t>
        </is>
      </c>
      <c r="AZ954" t="inlineStr">
        <is>
          <t>BOOK</t>
        </is>
      </c>
      <c r="BB954" t="inlineStr">
        <is>
          <t>9780821216163</t>
        </is>
      </c>
      <c r="BC954" t="inlineStr">
        <is>
          <t>32285000317585</t>
        </is>
      </c>
      <c r="BD954" t="inlineStr">
        <is>
          <t>893432379</t>
        </is>
      </c>
    </row>
    <row r="955">
      <c r="A955" t="inlineStr">
        <is>
          <t>No</t>
        </is>
      </c>
      <c r="B955" t="inlineStr">
        <is>
          <t>GN790 .H57 1977</t>
        </is>
      </c>
      <c r="C955" t="inlineStr">
        <is>
          <t>0                      GN 0790000H  57          1977</t>
        </is>
      </c>
      <c r="D955" t="inlineStr">
        <is>
          <t>Earth magic / by Francis Hitching.</t>
        </is>
      </c>
      <c r="F955" t="inlineStr">
        <is>
          <t>No</t>
        </is>
      </c>
      <c r="G955" t="inlineStr">
        <is>
          <t>1</t>
        </is>
      </c>
      <c r="H955" t="inlineStr">
        <is>
          <t>No</t>
        </is>
      </c>
      <c r="I955" t="inlineStr">
        <is>
          <t>No</t>
        </is>
      </c>
      <c r="J955" t="inlineStr">
        <is>
          <t>0</t>
        </is>
      </c>
      <c r="K955" t="inlineStr">
        <is>
          <t>Hitching, Francis.</t>
        </is>
      </c>
      <c r="L955" t="inlineStr">
        <is>
          <t>New York : Morrow, 1977.</t>
        </is>
      </c>
      <c r="M955" t="inlineStr">
        <is>
          <t>1977</t>
        </is>
      </c>
      <c r="O955" t="inlineStr">
        <is>
          <t>eng</t>
        </is>
      </c>
      <c r="P955" t="inlineStr">
        <is>
          <t>nyu</t>
        </is>
      </c>
      <c r="R955" t="inlineStr">
        <is>
          <t xml:space="preserve">GN </t>
        </is>
      </c>
      <c r="S955" t="n">
        <v>2</v>
      </c>
      <c r="T955" t="n">
        <v>2</v>
      </c>
      <c r="U955" t="inlineStr">
        <is>
          <t>1992-04-05</t>
        </is>
      </c>
      <c r="V955" t="inlineStr">
        <is>
          <t>1992-04-05</t>
        </is>
      </c>
      <c r="W955" t="inlineStr">
        <is>
          <t>1990-10-01</t>
        </is>
      </c>
      <c r="X955" t="inlineStr">
        <is>
          <t>1990-10-01</t>
        </is>
      </c>
      <c r="Y955" t="n">
        <v>585</v>
      </c>
      <c r="Z955" t="n">
        <v>557</v>
      </c>
      <c r="AA955" t="n">
        <v>588</v>
      </c>
      <c r="AB955" t="n">
        <v>3</v>
      </c>
      <c r="AC955" t="n">
        <v>4</v>
      </c>
      <c r="AD955" t="n">
        <v>4</v>
      </c>
      <c r="AE955" t="n">
        <v>5</v>
      </c>
      <c r="AF955" t="n">
        <v>1</v>
      </c>
      <c r="AG955" t="n">
        <v>1</v>
      </c>
      <c r="AH955" t="n">
        <v>1</v>
      </c>
      <c r="AI955" t="n">
        <v>1</v>
      </c>
      <c r="AJ955" t="n">
        <v>2</v>
      </c>
      <c r="AK955" t="n">
        <v>2</v>
      </c>
      <c r="AL955" t="n">
        <v>0</v>
      </c>
      <c r="AM955" t="n">
        <v>1</v>
      </c>
      <c r="AN955" t="n">
        <v>1</v>
      </c>
      <c r="AO955" t="n">
        <v>1</v>
      </c>
      <c r="AP955" t="inlineStr">
        <is>
          <t>No</t>
        </is>
      </c>
      <c r="AQ955" t="inlineStr">
        <is>
          <t>No</t>
        </is>
      </c>
      <c r="AS955">
        <f>HYPERLINK("https://creighton-primo.hosted.exlibrisgroup.com/primo-explore/search?tab=default_tab&amp;search_scope=EVERYTHING&amp;vid=01CRU&amp;lang=en_US&amp;offset=0&amp;query=any,contains,991004139109702656","Catalog Record")</f>
        <v/>
      </c>
      <c r="AT955">
        <f>HYPERLINK("http://www.worldcat.org/oclc/2493453","WorldCat Record")</f>
        <v/>
      </c>
      <c r="AU955" t="inlineStr">
        <is>
          <t>4575049:eng</t>
        </is>
      </c>
      <c r="AV955" t="inlineStr">
        <is>
          <t>2493453</t>
        </is>
      </c>
      <c r="AW955" t="inlineStr">
        <is>
          <t>991004139109702656</t>
        </is>
      </c>
      <c r="AX955" t="inlineStr">
        <is>
          <t>991004139109702656</t>
        </is>
      </c>
      <c r="AY955" t="inlineStr">
        <is>
          <t>2256503510002656</t>
        </is>
      </c>
      <c r="AZ955" t="inlineStr">
        <is>
          <t>BOOK</t>
        </is>
      </c>
      <c r="BB955" t="inlineStr">
        <is>
          <t>9780688031572</t>
        </is>
      </c>
      <c r="BC955" t="inlineStr">
        <is>
          <t>32285000317593</t>
        </is>
      </c>
      <c r="BD955" t="inlineStr">
        <is>
          <t>893900859</t>
        </is>
      </c>
    </row>
    <row r="956">
      <c r="A956" t="inlineStr">
        <is>
          <t>No</t>
        </is>
      </c>
      <c r="B956" t="inlineStr">
        <is>
          <t>GN790 .J6813 1988</t>
        </is>
      </c>
      <c r="C956" t="inlineStr">
        <is>
          <t>0                      GN 0790000J  6813        1988</t>
        </is>
      </c>
      <c r="D956" t="inlineStr">
        <is>
          <t>Dolmens for the dead : megalith-building throughout the world / Roger Joussaume ; translated by Anne and Christopher Chippindale from the French Les dolmens pour les morts.</t>
        </is>
      </c>
      <c r="F956" t="inlineStr">
        <is>
          <t>No</t>
        </is>
      </c>
      <c r="G956" t="inlineStr">
        <is>
          <t>1</t>
        </is>
      </c>
      <c r="H956" t="inlineStr">
        <is>
          <t>No</t>
        </is>
      </c>
      <c r="I956" t="inlineStr">
        <is>
          <t>No</t>
        </is>
      </c>
      <c r="J956" t="inlineStr">
        <is>
          <t>0</t>
        </is>
      </c>
      <c r="K956" t="inlineStr">
        <is>
          <t>Joussaume, Roger.</t>
        </is>
      </c>
      <c r="L956" t="inlineStr">
        <is>
          <t>Ithaca, N.Y. : Cornell University Press, 1988.</t>
        </is>
      </c>
      <c r="M956" t="inlineStr">
        <is>
          <t>1988</t>
        </is>
      </c>
      <c r="O956" t="inlineStr">
        <is>
          <t>eng</t>
        </is>
      </c>
      <c r="P956" t="inlineStr">
        <is>
          <t>nyu</t>
        </is>
      </c>
      <c r="R956" t="inlineStr">
        <is>
          <t xml:space="preserve">GN </t>
        </is>
      </c>
      <c r="S956" t="n">
        <v>2</v>
      </c>
      <c r="T956" t="n">
        <v>2</v>
      </c>
      <c r="U956" t="inlineStr">
        <is>
          <t>2006-11-12</t>
        </is>
      </c>
      <c r="V956" t="inlineStr">
        <is>
          <t>2006-11-12</t>
        </is>
      </c>
      <c r="W956" t="inlineStr">
        <is>
          <t>1990-11-13</t>
        </is>
      </c>
      <c r="X956" t="inlineStr">
        <is>
          <t>1990-11-13</t>
        </is>
      </c>
      <c r="Y956" t="n">
        <v>387</v>
      </c>
      <c r="Z956" t="n">
        <v>342</v>
      </c>
      <c r="AA956" t="n">
        <v>377</v>
      </c>
      <c r="AB956" t="n">
        <v>2</v>
      </c>
      <c r="AC956" t="n">
        <v>3</v>
      </c>
      <c r="AD956" t="n">
        <v>15</v>
      </c>
      <c r="AE956" t="n">
        <v>16</v>
      </c>
      <c r="AF956" t="n">
        <v>4</v>
      </c>
      <c r="AG956" t="n">
        <v>4</v>
      </c>
      <c r="AH956" t="n">
        <v>6</v>
      </c>
      <c r="AI956" t="n">
        <v>6</v>
      </c>
      <c r="AJ956" t="n">
        <v>8</v>
      </c>
      <c r="AK956" t="n">
        <v>8</v>
      </c>
      <c r="AL956" t="n">
        <v>1</v>
      </c>
      <c r="AM956" t="n">
        <v>2</v>
      </c>
      <c r="AN956" t="n">
        <v>0</v>
      </c>
      <c r="AO956" t="n">
        <v>0</v>
      </c>
      <c r="AP956" t="inlineStr">
        <is>
          <t>No</t>
        </is>
      </c>
      <c r="AQ956" t="inlineStr">
        <is>
          <t>Yes</t>
        </is>
      </c>
      <c r="AR956">
        <f>HYPERLINK("http://catalog.hathitrust.org/Record/007106091","HathiTrust Record")</f>
        <v/>
      </c>
      <c r="AS956">
        <f>HYPERLINK("https://creighton-primo.hosted.exlibrisgroup.com/primo-explore/search?tab=default_tab&amp;search_scope=EVERYTHING&amp;vid=01CRU&amp;lang=en_US&amp;offset=0&amp;query=any,contains,991001117439702656","Catalog Record")</f>
        <v/>
      </c>
      <c r="AT956">
        <f>HYPERLINK("http://www.worldcat.org/oclc/16528134","WorldCat Record")</f>
        <v/>
      </c>
      <c r="AU956" t="inlineStr">
        <is>
          <t>10663767:eng</t>
        </is>
      </c>
      <c r="AV956" t="inlineStr">
        <is>
          <t>16528134</t>
        </is>
      </c>
      <c r="AW956" t="inlineStr">
        <is>
          <t>991001117439702656</t>
        </is>
      </c>
      <c r="AX956" t="inlineStr">
        <is>
          <t>991001117439702656</t>
        </is>
      </c>
      <c r="AY956" t="inlineStr">
        <is>
          <t>2259699330002656</t>
        </is>
      </c>
      <c r="AZ956" t="inlineStr">
        <is>
          <t>BOOK</t>
        </is>
      </c>
      <c r="BB956" t="inlineStr">
        <is>
          <t>9780801421563</t>
        </is>
      </c>
      <c r="BC956" t="inlineStr">
        <is>
          <t>32285000314707</t>
        </is>
      </c>
      <c r="BD956" t="inlineStr">
        <is>
          <t>893784828</t>
        </is>
      </c>
    </row>
    <row r="957">
      <c r="A957" t="inlineStr">
        <is>
          <t>No</t>
        </is>
      </c>
      <c r="B957" t="inlineStr">
        <is>
          <t>GN790 .M97 1992</t>
        </is>
      </c>
      <c r="C957" t="inlineStr">
        <is>
          <t>0                      GN 0790000M  97          1992</t>
        </is>
      </c>
      <c r="D957" t="inlineStr">
        <is>
          <t>Mysteries of mankind : Earth's unexplained landmarks / prepared by the Book Division, National Geographic Society.</t>
        </is>
      </c>
      <c r="F957" t="inlineStr">
        <is>
          <t>No</t>
        </is>
      </c>
      <c r="G957" t="inlineStr">
        <is>
          <t>1</t>
        </is>
      </c>
      <c r="H957" t="inlineStr">
        <is>
          <t>No</t>
        </is>
      </c>
      <c r="I957" t="inlineStr">
        <is>
          <t>No</t>
        </is>
      </c>
      <c r="J957" t="inlineStr">
        <is>
          <t>0</t>
        </is>
      </c>
      <c r="L957" t="inlineStr">
        <is>
          <t>Washington, D.C. : The Society, c1992.</t>
        </is>
      </c>
      <c r="M957" t="inlineStr">
        <is>
          <t>1992</t>
        </is>
      </c>
      <c r="O957" t="inlineStr">
        <is>
          <t>eng</t>
        </is>
      </c>
      <c r="P957" t="inlineStr">
        <is>
          <t>dcu</t>
        </is>
      </c>
      <c r="R957" t="inlineStr">
        <is>
          <t xml:space="preserve">GN </t>
        </is>
      </c>
      <c r="S957" t="n">
        <v>1</v>
      </c>
      <c r="T957" t="n">
        <v>1</v>
      </c>
      <c r="U957" t="inlineStr">
        <is>
          <t>2008-06-11</t>
        </is>
      </c>
      <c r="V957" t="inlineStr">
        <is>
          <t>2008-06-11</t>
        </is>
      </c>
      <c r="W957" t="inlineStr">
        <is>
          <t>2008-06-11</t>
        </is>
      </c>
      <c r="X957" t="inlineStr">
        <is>
          <t>2008-06-11</t>
        </is>
      </c>
      <c r="Y957" t="n">
        <v>1097</v>
      </c>
      <c r="Z957" t="n">
        <v>1049</v>
      </c>
      <c r="AA957" t="n">
        <v>1070</v>
      </c>
      <c r="AB957" t="n">
        <v>11</v>
      </c>
      <c r="AC957" t="n">
        <v>11</v>
      </c>
      <c r="AD957" t="n">
        <v>4</v>
      </c>
      <c r="AE957" t="n">
        <v>6</v>
      </c>
      <c r="AF957" t="n">
        <v>4</v>
      </c>
      <c r="AG957" t="n">
        <v>5</v>
      </c>
      <c r="AH957" t="n">
        <v>0</v>
      </c>
      <c r="AI957" t="n">
        <v>1</v>
      </c>
      <c r="AJ957" t="n">
        <v>2</v>
      </c>
      <c r="AK957" t="n">
        <v>2</v>
      </c>
      <c r="AL957" t="n">
        <v>0</v>
      </c>
      <c r="AM957" t="n">
        <v>0</v>
      </c>
      <c r="AN957" t="n">
        <v>0</v>
      </c>
      <c r="AO957" t="n">
        <v>0</v>
      </c>
      <c r="AP957" t="inlineStr">
        <is>
          <t>No</t>
        </is>
      </c>
      <c r="AQ957" t="inlineStr">
        <is>
          <t>Yes</t>
        </is>
      </c>
      <c r="AR957">
        <f>HYPERLINK("http://catalog.hathitrust.org/Record/004519953","HathiTrust Record")</f>
        <v/>
      </c>
      <c r="AS957">
        <f>HYPERLINK("https://creighton-primo.hosted.exlibrisgroup.com/primo-explore/search?tab=default_tab&amp;search_scope=EVERYTHING&amp;vid=01CRU&amp;lang=en_US&amp;offset=0&amp;query=any,contains,991005234459702656","Catalog Record")</f>
        <v/>
      </c>
      <c r="AT957">
        <f>HYPERLINK("http://www.worldcat.org/oclc/26158313","WorldCat Record")</f>
        <v/>
      </c>
      <c r="AU957" t="inlineStr">
        <is>
          <t>2542607702:eng</t>
        </is>
      </c>
      <c r="AV957" t="inlineStr">
        <is>
          <t>26158313</t>
        </is>
      </c>
      <c r="AW957" t="inlineStr">
        <is>
          <t>991005234459702656</t>
        </is>
      </c>
      <c r="AX957" t="inlineStr">
        <is>
          <t>991005234459702656</t>
        </is>
      </c>
      <c r="AY957" t="inlineStr">
        <is>
          <t>2256630170002656</t>
        </is>
      </c>
      <c r="AZ957" t="inlineStr">
        <is>
          <t>BOOK</t>
        </is>
      </c>
      <c r="BB957" t="inlineStr">
        <is>
          <t>9780870448645</t>
        </is>
      </c>
      <c r="BC957" t="inlineStr">
        <is>
          <t>32285005445092</t>
        </is>
      </c>
      <c r="BD957" t="inlineStr">
        <is>
          <t>893242415</t>
        </is>
      </c>
    </row>
    <row r="958">
      <c r="A958" t="inlineStr">
        <is>
          <t>No</t>
        </is>
      </c>
      <c r="B958" t="inlineStr">
        <is>
          <t>GN792.I7 O7</t>
        </is>
      </c>
      <c r="C958" t="inlineStr">
        <is>
          <t>0                      GN 0792000I  7                  O  7</t>
        </is>
      </c>
      <c r="D958" t="inlineStr">
        <is>
          <t>New Grange and the Bend of the Boyne / Sean P. Ȯ Ríordáin, Glyn Daniel.</t>
        </is>
      </c>
      <c r="F958" t="inlineStr">
        <is>
          <t>No</t>
        </is>
      </c>
      <c r="G958" t="inlineStr">
        <is>
          <t>1</t>
        </is>
      </c>
      <c r="H958" t="inlineStr">
        <is>
          <t>No</t>
        </is>
      </c>
      <c r="I958" t="inlineStr">
        <is>
          <t>No</t>
        </is>
      </c>
      <c r="J958" t="inlineStr">
        <is>
          <t>0</t>
        </is>
      </c>
      <c r="K958" t="inlineStr">
        <is>
          <t>Ó Ríordáin, Seán P.</t>
        </is>
      </c>
      <c r="L958" t="inlineStr">
        <is>
          <t>New York : F.A. Praeger, 1964.</t>
        </is>
      </c>
      <c r="M958" t="inlineStr">
        <is>
          <t>1964</t>
        </is>
      </c>
      <c r="O958" t="inlineStr">
        <is>
          <t>eng</t>
        </is>
      </c>
      <c r="P958" t="inlineStr">
        <is>
          <t>nyu</t>
        </is>
      </c>
      <c r="Q958" t="inlineStr">
        <is>
          <t>Ancient peoples and places ; v. 40</t>
        </is>
      </c>
      <c r="R958" t="inlineStr">
        <is>
          <t xml:space="preserve">GN </t>
        </is>
      </c>
      <c r="S958" t="n">
        <v>4</v>
      </c>
      <c r="T958" t="n">
        <v>4</v>
      </c>
      <c r="U958" t="inlineStr">
        <is>
          <t>2006-11-12</t>
        </is>
      </c>
      <c r="V958" t="inlineStr">
        <is>
          <t>2006-11-12</t>
        </is>
      </c>
      <c r="W958" t="inlineStr">
        <is>
          <t>1997-05-29</t>
        </is>
      </c>
      <c r="X958" t="inlineStr">
        <is>
          <t>1997-05-29</t>
        </is>
      </c>
      <c r="Y958" t="n">
        <v>330</v>
      </c>
      <c r="Z958" t="n">
        <v>313</v>
      </c>
      <c r="AA958" t="n">
        <v>388</v>
      </c>
      <c r="AB958" t="n">
        <v>3</v>
      </c>
      <c r="AC958" t="n">
        <v>3</v>
      </c>
      <c r="AD958" t="n">
        <v>12</v>
      </c>
      <c r="AE958" t="n">
        <v>13</v>
      </c>
      <c r="AF958" t="n">
        <v>3</v>
      </c>
      <c r="AG958" t="n">
        <v>3</v>
      </c>
      <c r="AH958" t="n">
        <v>3</v>
      </c>
      <c r="AI958" t="n">
        <v>3</v>
      </c>
      <c r="AJ958" t="n">
        <v>7</v>
      </c>
      <c r="AK958" t="n">
        <v>8</v>
      </c>
      <c r="AL958" t="n">
        <v>2</v>
      </c>
      <c r="AM958" t="n">
        <v>2</v>
      </c>
      <c r="AN958" t="n">
        <v>0</v>
      </c>
      <c r="AO958" t="n">
        <v>0</v>
      </c>
      <c r="AP958" t="inlineStr">
        <is>
          <t>No</t>
        </is>
      </c>
      <c r="AQ958" t="inlineStr">
        <is>
          <t>Yes</t>
        </is>
      </c>
      <c r="AR958">
        <f>HYPERLINK("http://catalog.hathitrust.org/Record/001286848","HathiTrust Record")</f>
        <v/>
      </c>
      <c r="AS958">
        <f>HYPERLINK("https://creighton-primo.hosted.exlibrisgroup.com/primo-explore/search?tab=default_tab&amp;search_scope=EVERYTHING&amp;vid=01CRU&amp;lang=en_US&amp;offset=0&amp;query=any,contains,991004367479702656","Catalog Record")</f>
        <v/>
      </c>
      <c r="AT958">
        <f>HYPERLINK("http://www.worldcat.org/oclc/3175034","WorldCat Record")</f>
        <v/>
      </c>
      <c r="AU958" t="inlineStr">
        <is>
          <t>8366750:eng</t>
        </is>
      </c>
      <c r="AV958" t="inlineStr">
        <is>
          <t>3175034</t>
        </is>
      </c>
      <c r="AW958" t="inlineStr">
        <is>
          <t>991004367479702656</t>
        </is>
      </c>
      <c r="AX958" t="inlineStr">
        <is>
          <t>991004367479702656</t>
        </is>
      </c>
      <c r="AY958" t="inlineStr">
        <is>
          <t>2265440930002656</t>
        </is>
      </c>
      <c r="AZ958" t="inlineStr">
        <is>
          <t>BOOK</t>
        </is>
      </c>
      <c r="BC958" t="inlineStr">
        <is>
          <t>32285002697570</t>
        </is>
      </c>
      <c r="BD958" t="inlineStr">
        <is>
          <t>893343751</t>
        </is>
      </c>
    </row>
    <row r="959">
      <c r="A959" t="inlineStr">
        <is>
          <t>No</t>
        </is>
      </c>
      <c r="B959" t="inlineStr">
        <is>
          <t>GN796.G7 G75 1975</t>
        </is>
      </c>
      <c r="C959" t="inlineStr">
        <is>
          <t>0                      GN 0796000G  7                  G  75          1975</t>
        </is>
      </c>
      <c r="D959" t="inlineStr">
        <is>
          <t>The ancient burial-mounds of England / by L. V. Grinsell.</t>
        </is>
      </c>
      <c r="F959" t="inlineStr">
        <is>
          <t>No</t>
        </is>
      </c>
      <c r="G959" t="inlineStr">
        <is>
          <t>1</t>
        </is>
      </c>
      <c r="H959" t="inlineStr">
        <is>
          <t>No</t>
        </is>
      </c>
      <c r="I959" t="inlineStr">
        <is>
          <t>No</t>
        </is>
      </c>
      <c r="J959" t="inlineStr">
        <is>
          <t>0</t>
        </is>
      </c>
      <c r="K959" t="inlineStr">
        <is>
          <t>Grinsell, Leslie V.</t>
        </is>
      </c>
      <c r="L959" t="inlineStr">
        <is>
          <t>Westport, Conn. : Greenwood Press, 1975.</t>
        </is>
      </c>
      <c r="M959" t="inlineStr">
        <is>
          <t>1975</t>
        </is>
      </c>
      <c r="O959" t="inlineStr">
        <is>
          <t>eng</t>
        </is>
      </c>
      <c r="P959" t="inlineStr">
        <is>
          <t>ctu</t>
        </is>
      </c>
      <c r="R959" t="inlineStr">
        <is>
          <t xml:space="preserve">GN </t>
        </is>
      </c>
      <c r="S959" t="n">
        <v>2</v>
      </c>
      <c r="T959" t="n">
        <v>2</v>
      </c>
      <c r="U959" t="inlineStr">
        <is>
          <t>2000-09-06</t>
        </is>
      </c>
      <c r="V959" t="inlineStr">
        <is>
          <t>2000-09-06</t>
        </is>
      </c>
      <c r="W959" t="inlineStr">
        <is>
          <t>1997-05-29</t>
        </is>
      </c>
      <c r="X959" t="inlineStr">
        <is>
          <t>1997-05-29</t>
        </is>
      </c>
      <c r="Y959" t="n">
        <v>84</v>
      </c>
      <c r="Z959" t="n">
        <v>65</v>
      </c>
      <c r="AA959" t="n">
        <v>199</v>
      </c>
      <c r="AB959" t="n">
        <v>1</v>
      </c>
      <c r="AC959" t="n">
        <v>1</v>
      </c>
      <c r="AD959" t="n">
        <v>1</v>
      </c>
      <c r="AE959" t="n">
        <v>5</v>
      </c>
      <c r="AF959" t="n">
        <v>0</v>
      </c>
      <c r="AG959" t="n">
        <v>3</v>
      </c>
      <c r="AH959" t="n">
        <v>1</v>
      </c>
      <c r="AI959" t="n">
        <v>1</v>
      </c>
      <c r="AJ959" t="n">
        <v>1</v>
      </c>
      <c r="AK959" t="n">
        <v>4</v>
      </c>
      <c r="AL959" t="n">
        <v>0</v>
      </c>
      <c r="AM959" t="n">
        <v>0</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HYPERLINK("https://creighton-primo.hosted.exlibrisgroup.com/primo-explore/search?tab=default_tab&amp;search_scope=EVERYTHING&amp;vid=01CRU&amp;lang=en_US&amp;offset=0&amp;query=any,contains,991003690569702656","Catalog Record")</f>
        <v/>
      </c>
      <c r="AT959">
        <f>HYPERLINK("http://www.worldcat.org/oclc/1322031","WorldCat Record")</f>
        <v/>
      </c>
      <c r="AU959" t="inlineStr">
        <is>
          <t>2200410:eng</t>
        </is>
      </c>
      <c r="AV959" t="inlineStr">
        <is>
          <t>1322031</t>
        </is>
      </c>
      <c r="AW959" t="inlineStr">
        <is>
          <t>991003690569702656</t>
        </is>
      </c>
      <c r="AX959" t="inlineStr">
        <is>
          <t>991003690569702656</t>
        </is>
      </c>
      <c r="AY959" t="inlineStr">
        <is>
          <t>2254796050002656</t>
        </is>
      </c>
      <c r="AZ959" t="inlineStr">
        <is>
          <t>BOOK</t>
        </is>
      </c>
      <c r="BB959" t="inlineStr">
        <is>
          <t>9780837171012</t>
        </is>
      </c>
      <c r="BC959" t="inlineStr">
        <is>
          <t>32285002697588</t>
        </is>
      </c>
      <c r="BD959" t="inlineStr">
        <is>
          <t>893246634</t>
        </is>
      </c>
    </row>
    <row r="960">
      <c r="A960" t="inlineStr">
        <is>
          <t>No</t>
        </is>
      </c>
      <c r="B960" t="inlineStr">
        <is>
          <t>GN799.A4 B45 2005</t>
        </is>
      </c>
      <c r="C960" t="inlineStr">
        <is>
          <t>0                      GN 0799000A  4                  B  45          2005</t>
        </is>
      </c>
      <c r="D960" t="inlineStr">
        <is>
          <t>First farmers : the origins of agricultural societies / Peter Bellwood.</t>
        </is>
      </c>
      <c r="F960" t="inlineStr">
        <is>
          <t>No</t>
        </is>
      </c>
      <c r="G960" t="inlineStr">
        <is>
          <t>1</t>
        </is>
      </c>
      <c r="H960" t="inlineStr">
        <is>
          <t>No</t>
        </is>
      </c>
      <c r="I960" t="inlineStr">
        <is>
          <t>No</t>
        </is>
      </c>
      <c r="J960" t="inlineStr">
        <is>
          <t>0</t>
        </is>
      </c>
      <c r="K960" t="inlineStr">
        <is>
          <t>Bellwood, Peter S.</t>
        </is>
      </c>
      <c r="L960" t="inlineStr">
        <is>
          <t>Malden, MA : Blackwell Pub., c2005.</t>
        </is>
      </c>
      <c r="M960" t="inlineStr">
        <is>
          <t>2005</t>
        </is>
      </c>
      <c r="O960" t="inlineStr">
        <is>
          <t>eng</t>
        </is>
      </c>
      <c r="P960" t="inlineStr">
        <is>
          <t>mau</t>
        </is>
      </c>
      <c r="R960" t="inlineStr">
        <is>
          <t xml:space="preserve">GN </t>
        </is>
      </c>
      <c r="S960" t="n">
        <v>2</v>
      </c>
      <c r="T960" t="n">
        <v>2</v>
      </c>
      <c r="U960" t="inlineStr">
        <is>
          <t>2006-08-08</t>
        </is>
      </c>
      <c r="V960" t="inlineStr">
        <is>
          <t>2006-08-08</t>
        </is>
      </c>
      <c r="W960" t="inlineStr">
        <is>
          <t>2006-08-08</t>
        </is>
      </c>
      <c r="X960" t="inlineStr">
        <is>
          <t>2006-08-08</t>
        </is>
      </c>
      <c r="Y960" t="n">
        <v>923</v>
      </c>
      <c r="Z960" t="n">
        <v>759</v>
      </c>
      <c r="AA960" t="n">
        <v>763</v>
      </c>
      <c r="AB960" t="n">
        <v>5</v>
      </c>
      <c r="AC960" t="n">
        <v>5</v>
      </c>
      <c r="AD960" t="n">
        <v>26</v>
      </c>
      <c r="AE960" t="n">
        <v>26</v>
      </c>
      <c r="AF960" t="n">
        <v>10</v>
      </c>
      <c r="AG960" t="n">
        <v>10</v>
      </c>
      <c r="AH960" t="n">
        <v>5</v>
      </c>
      <c r="AI960" t="n">
        <v>5</v>
      </c>
      <c r="AJ960" t="n">
        <v>12</v>
      </c>
      <c r="AK960" t="n">
        <v>12</v>
      </c>
      <c r="AL960" t="n">
        <v>4</v>
      </c>
      <c r="AM960" t="n">
        <v>4</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HYPERLINK("https://creighton-primo.hosted.exlibrisgroup.com/primo-explore/search?tab=default_tab&amp;search_scope=EVERYTHING&amp;vid=01CRU&amp;lang=en_US&amp;offset=0&amp;query=any,contains,991004851979702656","Catalog Record")</f>
        <v/>
      </c>
      <c r="AT960">
        <f>HYPERLINK("http://www.worldcat.org/oclc/54479525","WorldCat Record")</f>
        <v/>
      </c>
      <c r="AU960" t="inlineStr">
        <is>
          <t>196194291:eng</t>
        </is>
      </c>
      <c r="AV960" t="inlineStr">
        <is>
          <t>54479525</t>
        </is>
      </c>
      <c r="AW960" t="inlineStr">
        <is>
          <t>991004851979702656</t>
        </is>
      </c>
      <c r="AX960" t="inlineStr">
        <is>
          <t>991004851979702656</t>
        </is>
      </c>
      <c r="AY960" t="inlineStr">
        <is>
          <t>2261942920002656</t>
        </is>
      </c>
      <c r="AZ960" t="inlineStr">
        <is>
          <t>BOOK</t>
        </is>
      </c>
      <c r="BB960" t="inlineStr">
        <is>
          <t>9780631205654</t>
        </is>
      </c>
      <c r="BC960" t="inlineStr">
        <is>
          <t>32285005199988</t>
        </is>
      </c>
      <c r="BD960" t="inlineStr">
        <is>
          <t>893889370</t>
        </is>
      </c>
    </row>
    <row r="961">
      <c r="A961" t="inlineStr">
        <is>
          <t>No</t>
        </is>
      </c>
      <c r="B961" t="inlineStr">
        <is>
          <t>GN799.C45 T67 1986</t>
        </is>
      </c>
      <c r="C961" t="inlineStr">
        <is>
          <t>0                      GN 0799000C  45                 T  67          1986</t>
        </is>
      </c>
      <c r="D961" t="inlineStr">
        <is>
          <t>Production and exchange of stone tools : prehistoric odsidian in the Aegean / Robin Torrence.</t>
        </is>
      </c>
      <c r="F961" t="inlineStr">
        <is>
          <t>No</t>
        </is>
      </c>
      <c r="G961" t="inlineStr">
        <is>
          <t>1</t>
        </is>
      </c>
      <c r="H961" t="inlineStr">
        <is>
          <t>No</t>
        </is>
      </c>
      <c r="I961" t="inlineStr">
        <is>
          <t>No</t>
        </is>
      </c>
      <c r="J961" t="inlineStr">
        <is>
          <t>0</t>
        </is>
      </c>
      <c r="K961" t="inlineStr">
        <is>
          <t>Torrence, Robin.</t>
        </is>
      </c>
      <c r="L961" t="inlineStr">
        <is>
          <t>Cambridge [Cambridgeshire] ; New York : Cambridge University Press, 1986.</t>
        </is>
      </c>
      <c r="M961" t="inlineStr">
        <is>
          <t>1986</t>
        </is>
      </c>
      <c r="O961" t="inlineStr">
        <is>
          <t>eng</t>
        </is>
      </c>
      <c r="P961" t="inlineStr">
        <is>
          <t>enk</t>
        </is>
      </c>
      <c r="Q961" t="inlineStr">
        <is>
          <t>New studies in archaeology</t>
        </is>
      </c>
      <c r="R961" t="inlineStr">
        <is>
          <t xml:space="preserve">GN </t>
        </is>
      </c>
      <c r="S961" t="n">
        <v>1</v>
      </c>
      <c r="T961" t="n">
        <v>1</v>
      </c>
      <c r="U961" t="inlineStr">
        <is>
          <t>2001-09-18</t>
        </is>
      </c>
      <c r="V961" t="inlineStr">
        <is>
          <t>2001-09-18</t>
        </is>
      </c>
      <c r="W961" t="inlineStr">
        <is>
          <t>1990-10-01</t>
        </is>
      </c>
      <c r="X961" t="inlineStr">
        <is>
          <t>1990-10-01</t>
        </is>
      </c>
      <c r="Y961" t="n">
        <v>323</v>
      </c>
      <c r="Z961" t="n">
        <v>218</v>
      </c>
      <c r="AA961" t="n">
        <v>218</v>
      </c>
      <c r="AB961" t="n">
        <v>2</v>
      </c>
      <c r="AC961" t="n">
        <v>2</v>
      </c>
      <c r="AD961" t="n">
        <v>5</v>
      </c>
      <c r="AE961" t="n">
        <v>5</v>
      </c>
      <c r="AF961" t="n">
        <v>0</v>
      </c>
      <c r="AG961" t="n">
        <v>0</v>
      </c>
      <c r="AH961" t="n">
        <v>1</v>
      </c>
      <c r="AI961" t="n">
        <v>1</v>
      </c>
      <c r="AJ961" t="n">
        <v>3</v>
      </c>
      <c r="AK961" t="n">
        <v>3</v>
      </c>
      <c r="AL961" t="n">
        <v>1</v>
      </c>
      <c r="AM961" t="n">
        <v>1</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HYPERLINK("https://creighton-primo.hosted.exlibrisgroup.com/primo-explore/search?tab=default_tab&amp;search_scope=EVERYTHING&amp;vid=01CRU&amp;lang=en_US&amp;offset=0&amp;query=any,contains,991000704459702656","Catalog Record")</f>
        <v/>
      </c>
      <c r="AT961">
        <f>HYPERLINK("http://www.worldcat.org/oclc/12555808","WorldCat Record")</f>
        <v/>
      </c>
      <c r="AU961" t="inlineStr">
        <is>
          <t>257244747:eng</t>
        </is>
      </c>
      <c r="AV961" t="inlineStr">
        <is>
          <t>12555808</t>
        </is>
      </c>
      <c r="AW961" t="inlineStr">
        <is>
          <t>991000704459702656</t>
        </is>
      </c>
      <c r="AX961" t="inlineStr">
        <is>
          <t>991000704459702656</t>
        </is>
      </c>
      <c r="AY961" t="inlineStr">
        <is>
          <t>2257826250002656</t>
        </is>
      </c>
      <c r="AZ961" t="inlineStr">
        <is>
          <t>BOOK</t>
        </is>
      </c>
      <c r="BB961" t="inlineStr">
        <is>
          <t>9780521252669</t>
        </is>
      </c>
      <c r="BC961" t="inlineStr">
        <is>
          <t>32285000317627</t>
        </is>
      </c>
      <c r="BD961" t="inlineStr">
        <is>
          <t>893528314</t>
        </is>
      </c>
    </row>
    <row r="962">
      <c r="A962" t="inlineStr">
        <is>
          <t>No</t>
        </is>
      </c>
      <c r="B962" t="inlineStr">
        <is>
          <t>GN799.E4 S33 2003</t>
        </is>
      </c>
      <c r="C962" t="inlineStr">
        <is>
          <t>0                      GN 0799000E  4                  S  33          2003</t>
        </is>
      </c>
      <c r="D962" t="inlineStr">
        <is>
          <t>The flow of power : ancient water systems and landscapes / Vernon L. Scarborough.</t>
        </is>
      </c>
      <c r="F962" t="inlineStr">
        <is>
          <t>No</t>
        </is>
      </c>
      <c r="G962" t="inlineStr">
        <is>
          <t>1</t>
        </is>
      </c>
      <c r="H962" t="inlineStr">
        <is>
          <t>No</t>
        </is>
      </c>
      <c r="I962" t="inlineStr">
        <is>
          <t>No</t>
        </is>
      </c>
      <c r="J962" t="inlineStr">
        <is>
          <t>0</t>
        </is>
      </c>
      <c r="K962" t="inlineStr">
        <is>
          <t>Scarborough, Vernon L. (Vernon Lee), 1950-</t>
        </is>
      </c>
      <c r="L962" t="inlineStr">
        <is>
          <t>Santa Fe, N.M. : SAR Press, c2003.</t>
        </is>
      </c>
      <c r="M962" t="inlineStr">
        <is>
          <t>2003</t>
        </is>
      </c>
      <c r="O962" t="inlineStr">
        <is>
          <t>eng</t>
        </is>
      </c>
      <c r="P962" t="inlineStr">
        <is>
          <t>nmu</t>
        </is>
      </c>
      <c r="R962" t="inlineStr">
        <is>
          <t xml:space="preserve">GN </t>
        </is>
      </c>
      <c r="S962" t="n">
        <v>2</v>
      </c>
      <c r="T962" t="n">
        <v>2</v>
      </c>
      <c r="U962" t="inlineStr">
        <is>
          <t>2005-01-19</t>
        </is>
      </c>
      <c r="V962" t="inlineStr">
        <is>
          <t>2005-01-19</t>
        </is>
      </c>
      <c r="W962" t="inlineStr">
        <is>
          <t>2005-01-19</t>
        </is>
      </c>
      <c r="X962" t="inlineStr">
        <is>
          <t>2005-01-19</t>
        </is>
      </c>
      <c r="Y962" t="n">
        <v>259</v>
      </c>
      <c r="Z962" t="n">
        <v>222</v>
      </c>
      <c r="AA962" t="n">
        <v>224</v>
      </c>
      <c r="AB962" t="n">
        <v>2</v>
      </c>
      <c r="AC962" t="n">
        <v>2</v>
      </c>
      <c r="AD962" t="n">
        <v>4</v>
      </c>
      <c r="AE962" t="n">
        <v>4</v>
      </c>
      <c r="AF962" t="n">
        <v>0</v>
      </c>
      <c r="AG962" t="n">
        <v>0</v>
      </c>
      <c r="AH962" t="n">
        <v>2</v>
      </c>
      <c r="AI962" t="n">
        <v>2</v>
      </c>
      <c r="AJ962" t="n">
        <v>2</v>
      </c>
      <c r="AK962" t="n">
        <v>2</v>
      </c>
      <c r="AL962" t="n">
        <v>1</v>
      </c>
      <c r="AM962" t="n">
        <v>1</v>
      </c>
      <c r="AN962" t="n">
        <v>0</v>
      </c>
      <c r="AO962" t="n">
        <v>0</v>
      </c>
      <c r="AP962" t="inlineStr">
        <is>
          <t>No</t>
        </is>
      </c>
      <c r="AQ962" t="inlineStr">
        <is>
          <t>Yes</t>
        </is>
      </c>
      <c r="AR962">
        <f>HYPERLINK("http://catalog.hathitrust.org/Record/007143587","HathiTrust Record")</f>
        <v/>
      </c>
      <c r="AS962">
        <f>HYPERLINK("https://creighton-primo.hosted.exlibrisgroup.com/primo-explore/search?tab=default_tab&amp;search_scope=EVERYTHING&amp;vid=01CRU&amp;lang=en_US&amp;offset=0&amp;query=any,contains,991004366449702656","Catalog Record")</f>
        <v/>
      </c>
      <c r="AT962">
        <f>HYPERLINK("http://www.worldcat.org/oclc/52311962","WorldCat Record")</f>
        <v/>
      </c>
      <c r="AU962" t="inlineStr">
        <is>
          <t>203139386:eng</t>
        </is>
      </c>
      <c r="AV962" t="inlineStr">
        <is>
          <t>52311962</t>
        </is>
      </c>
      <c r="AW962" t="inlineStr">
        <is>
          <t>991004366449702656</t>
        </is>
      </c>
      <c r="AX962" t="inlineStr">
        <is>
          <t>991004366449702656</t>
        </is>
      </c>
      <c r="AY962" t="inlineStr">
        <is>
          <t>2254833240002656</t>
        </is>
      </c>
      <c r="AZ962" t="inlineStr">
        <is>
          <t>BOOK</t>
        </is>
      </c>
      <c r="BB962" t="inlineStr">
        <is>
          <t>9781930618329</t>
        </is>
      </c>
      <c r="BC962" t="inlineStr">
        <is>
          <t>32285005022156</t>
        </is>
      </c>
      <c r="BD962" t="inlineStr">
        <is>
          <t>893235404</t>
        </is>
      </c>
    </row>
    <row r="963">
      <c r="A963" t="inlineStr">
        <is>
          <t>No</t>
        </is>
      </c>
      <c r="B963" t="inlineStr">
        <is>
          <t>GN799.F6 C64</t>
        </is>
      </c>
      <c r="C963" t="inlineStr">
        <is>
          <t>0                      GN 0799000F  6                  C  64</t>
        </is>
      </c>
      <c r="D963" t="inlineStr">
        <is>
          <t>The food crisis in prehistory : overpopulation and the origins of agriculture / Mark Nathan Cohen.</t>
        </is>
      </c>
      <c r="F963" t="inlineStr">
        <is>
          <t>No</t>
        </is>
      </c>
      <c r="G963" t="inlineStr">
        <is>
          <t>1</t>
        </is>
      </c>
      <c r="H963" t="inlineStr">
        <is>
          <t>No</t>
        </is>
      </c>
      <c r="I963" t="inlineStr">
        <is>
          <t>No</t>
        </is>
      </c>
      <c r="J963" t="inlineStr">
        <is>
          <t>0</t>
        </is>
      </c>
      <c r="K963" t="inlineStr">
        <is>
          <t>Cohen, Mark Nathan.</t>
        </is>
      </c>
      <c r="L963" t="inlineStr">
        <is>
          <t>New Haven [Conn.] : Yale University Press, 1977.</t>
        </is>
      </c>
      <c r="M963" t="inlineStr">
        <is>
          <t>1977</t>
        </is>
      </c>
      <c r="O963" t="inlineStr">
        <is>
          <t>eng</t>
        </is>
      </c>
      <c r="P963" t="inlineStr">
        <is>
          <t>ctu</t>
        </is>
      </c>
      <c r="R963" t="inlineStr">
        <is>
          <t xml:space="preserve">GN </t>
        </is>
      </c>
      <c r="S963" t="n">
        <v>2</v>
      </c>
      <c r="T963" t="n">
        <v>2</v>
      </c>
      <c r="U963" t="inlineStr">
        <is>
          <t>2000-11-06</t>
        </is>
      </c>
      <c r="V963" t="inlineStr">
        <is>
          <t>2000-11-06</t>
        </is>
      </c>
      <c r="W963" t="inlineStr">
        <is>
          <t>1997-05-29</t>
        </is>
      </c>
      <c r="X963" t="inlineStr">
        <is>
          <t>1997-05-29</t>
        </is>
      </c>
      <c r="Y963" t="n">
        <v>1107</v>
      </c>
      <c r="Z963" t="n">
        <v>897</v>
      </c>
      <c r="AA963" t="n">
        <v>1022</v>
      </c>
      <c r="AB963" t="n">
        <v>7</v>
      </c>
      <c r="AC963" t="n">
        <v>8</v>
      </c>
      <c r="AD963" t="n">
        <v>33</v>
      </c>
      <c r="AE963" t="n">
        <v>41</v>
      </c>
      <c r="AF963" t="n">
        <v>16</v>
      </c>
      <c r="AG963" t="n">
        <v>18</v>
      </c>
      <c r="AH963" t="n">
        <v>5</v>
      </c>
      <c r="AI963" t="n">
        <v>8</v>
      </c>
      <c r="AJ963" t="n">
        <v>14</v>
      </c>
      <c r="AK963" t="n">
        <v>17</v>
      </c>
      <c r="AL963" t="n">
        <v>6</v>
      </c>
      <c r="AM963" t="n">
        <v>7</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HYPERLINK("https://creighton-primo.hosted.exlibrisgroup.com/primo-explore/search?tab=default_tab&amp;search_scope=EVERYTHING&amp;vid=01CRU&amp;lang=en_US&amp;offset=0&amp;query=any,contains,991004124349702656","Catalog Record")</f>
        <v/>
      </c>
      <c r="AT963">
        <f>HYPERLINK("http://www.worldcat.org/oclc/2439473","WorldCat Record")</f>
        <v/>
      </c>
      <c r="AU963" t="inlineStr">
        <is>
          <t>840015373:eng</t>
        </is>
      </c>
      <c r="AV963" t="inlineStr">
        <is>
          <t>2439473</t>
        </is>
      </c>
      <c r="AW963" t="inlineStr">
        <is>
          <t>991004124349702656</t>
        </is>
      </c>
      <c r="AX963" t="inlineStr">
        <is>
          <t>991004124349702656</t>
        </is>
      </c>
      <c r="AY963" t="inlineStr">
        <is>
          <t>2262186490002656</t>
        </is>
      </c>
      <c r="AZ963" t="inlineStr">
        <is>
          <t>BOOK</t>
        </is>
      </c>
      <c r="BB963" t="inlineStr">
        <is>
          <t>9780300020168</t>
        </is>
      </c>
      <c r="BC963" t="inlineStr">
        <is>
          <t>32285002697620</t>
        </is>
      </c>
      <c r="BD963" t="inlineStr">
        <is>
          <t>893875711</t>
        </is>
      </c>
    </row>
    <row r="964">
      <c r="A964" t="inlineStr">
        <is>
          <t>No</t>
        </is>
      </c>
      <c r="B964" t="inlineStr">
        <is>
          <t>GN799.P4 L283</t>
        </is>
      </c>
      <c r="C964" t="inlineStr">
        <is>
          <t>0                      GN 0799000P  4                  L  283</t>
        </is>
      </c>
      <c r="D964" t="inlineStr">
        <is>
          <t>The rock paintings of Tassili. Foreword by André Leroi-Gourhan. The art of Tassili, by Frank Elgar. [Translated by G. D. Liversage.</t>
        </is>
      </c>
      <c r="F964" t="inlineStr">
        <is>
          <t>No</t>
        </is>
      </c>
      <c r="G964" t="inlineStr">
        <is>
          <t>1</t>
        </is>
      </c>
      <c r="H964" t="inlineStr">
        <is>
          <t>No</t>
        </is>
      </c>
      <c r="I964" t="inlineStr">
        <is>
          <t>No</t>
        </is>
      </c>
      <c r="J964" t="inlineStr">
        <is>
          <t>0</t>
        </is>
      </c>
      <c r="K964" t="inlineStr">
        <is>
          <t>Lajoux, Jean-Dominique.</t>
        </is>
      </c>
      <c r="L964" t="inlineStr">
        <is>
          <t>Cleveland, World Pub. Co. [c1963]</t>
        </is>
      </c>
      <c r="M964" t="inlineStr">
        <is>
          <t>1963</t>
        </is>
      </c>
      <c r="N964" t="inlineStr">
        <is>
          <t>1st American ed.]</t>
        </is>
      </c>
      <c r="O964" t="inlineStr">
        <is>
          <t>eng</t>
        </is>
      </c>
      <c r="P964" t="inlineStr">
        <is>
          <t>ohu</t>
        </is>
      </c>
      <c r="R964" t="inlineStr">
        <is>
          <t xml:space="preserve">GN </t>
        </is>
      </c>
      <c r="S964" t="n">
        <v>1</v>
      </c>
      <c r="T964" t="n">
        <v>1</v>
      </c>
      <c r="U964" t="inlineStr">
        <is>
          <t>2000-07-11</t>
        </is>
      </c>
      <c r="V964" t="inlineStr">
        <is>
          <t>2000-07-11</t>
        </is>
      </c>
      <c r="W964" t="inlineStr">
        <is>
          <t>1997-05-29</t>
        </is>
      </c>
      <c r="X964" t="inlineStr">
        <is>
          <t>1997-05-29</t>
        </is>
      </c>
      <c r="Y964" t="n">
        <v>275</v>
      </c>
      <c r="Z964" t="n">
        <v>261</v>
      </c>
      <c r="AA964" t="n">
        <v>347</v>
      </c>
      <c r="AB964" t="n">
        <v>3</v>
      </c>
      <c r="AC964" t="n">
        <v>3</v>
      </c>
      <c r="AD964" t="n">
        <v>12</v>
      </c>
      <c r="AE964" t="n">
        <v>13</v>
      </c>
      <c r="AF964" t="n">
        <v>4</v>
      </c>
      <c r="AG964" t="n">
        <v>4</v>
      </c>
      <c r="AH964" t="n">
        <v>2</v>
      </c>
      <c r="AI964" t="n">
        <v>2</v>
      </c>
      <c r="AJ964" t="n">
        <v>5</v>
      </c>
      <c r="AK964" t="n">
        <v>6</v>
      </c>
      <c r="AL964" t="n">
        <v>2</v>
      </c>
      <c r="AM964" t="n">
        <v>2</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HYPERLINK("https://creighton-primo.hosted.exlibrisgroup.com/primo-explore/search?tab=default_tab&amp;search_scope=EVERYTHING&amp;vid=01CRU&amp;lang=en_US&amp;offset=0&amp;query=any,contains,991003140349702656","Catalog Record")</f>
        <v/>
      </c>
      <c r="AT964">
        <f>HYPERLINK("http://www.worldcat.org/oclc/681972","WorldCat Record")</f>
        <v/>
      </c>
      <c r="AU964" t="inlineStr">
        <is>
          <t>4915749009:eng</t>
        </is>
      </c>
      <c r="AV964" t="inlineStr">
        <is>
          <t>681972</t>
        </is>
      </c>
      <c r="AW964" t="inlineStr">
        <is>
          <t>991003140349702656</t>
        </is>
      </c>
      <c r="AX964" t="inlineStr">
        <is>
          <t>991003140349702656</t>
        </is>
      </c>
      <c r="AY964" t="inlineStr">
        <is>
          <t>2266530340002656</t>
        </is>
      </c>
      <c r="AZ964" t="inlineStr">
        <is>
          <t>BOOK</t>
        </is>
      </c>
      <c r="BC964" t="inlineStr">
        <is>
          <t>32285002697638</t>
        </is>
      </c>
      <c r="BD964" t="inlineStr">
        <is>
          <t>893323805</t>
        </is>
      </c>
    </row>
    <row r="965">
      <c r="A965" t="inlineStr">
        <is>
          <t>No</t>
        </is>
      </c>
      <c r="B965" t="inlineStr">
        <is>
          <t>GN799.P4 L46 2004</t>
        </is>
      </c>
      <c r="C965" t="inlineStr">
        <is>
          <t>0                      GN 0799000P  4                  L  46          2004</t>
        </is>
      </c>
      <c r="D965" t="inlineStr">
        <is>
          <t>Rock art in Africa : mythology and legend / Jean-Loïc Le Quellec ; translated by Paul Bahn.</t>
        </is>
      </c>
      <c r="F965" t="inlineStr">
        <is>
          <t>No</t>
        </is>
      </c>
      <c r="G965" t="inlineStr">
        <is>
          <t>1</t>
        </is>
      </c>
      <c r="H965" t="inlineStr">
        <is>
          <t>No</t>
        </is>
      </c>
      <c r="I965" t="inlineStr">
        <is>
          <t>No</t>
        </is>
      </c>
      <c r="J965" t="inlineStr">
        <is>
          <t>0</t>
        </is>
      </c>
      <c r="K965" t="inlineStr">
        <is>
          <t>Le Quellec, Jean-Loïc, 1951-</t>
        </is>
      </c>
      <c r="L965" t="inlineStr">
        <is>
          <t>Paris : Flammarion ; [New York] : Distributed in North America by Rizzoli International, c2004.</t>
        </is>
      </c>
      <c r="M965" t="inlineStr">
        <is>
          <t>2004</t>
        </is>
      </c>
      <c r="N965" t="inlineStr">
        <is>
          <t>English-language ed.</t>
        </is>
      </c>
      <c r="O965" t="inlineStr">
        <is>
          <t>eng</t>
        </is>
      </c>
      <c r="P965" t="inlineStr">
        <is>
          <t xml:space="preserve">fr </t>
        </is>
      </c>
      <c r="R965" t="inlineStr">
        <is>
          <t xml:space="preserve">GN </t>
        </is>
      </c>
      <c r="S965" t="n">
        <v>1</v>
      </c>
      <c r="T965" t="n">
        <v>1</v>
      </c>
      <c r="U965" t="inlineStr">
        <is>
          <t>2006-07-20</t>
        </is>
      </c>
      <c r="V965" t="inlineStr">
        <is>
          <t>2006-07-20</t>
        </is>
      </c>
      <c r="W965" t="inlineStr">
        <is>
          <t>2006-07-20</t>
        </is>
      </c>
      <c r="X965" t="inlineStr">
        <is>
          <t>2006-07-20</t>
        </is>
      </c>
      <c r="Y965" t="n">
        <v>444</v>
      </c>
      <c r="Z965" t="n">
        <v>368</v>
      </c>
      <c r="AA965" t="n">
        <v>370</v>
      </c>
      <c r="AB965" t="n">
        <v>3</v>
      </c>
      <c r="AC965" t="n">
        <v>3</v>
      </c>
      <c r="AD965" t="n">
        <v>14</v>
      </c>
      <c r="AE965" t="n">
        <v>14</v>
      </c>
      <c r="AF965" t="n">
        <v>5</v>
      </c>
      <c r="AG965" t="n">
        <v>5</v>
      </c>
      <c r="AH965" t="n">
        <v>3</v>
      </c>
      <c r="AI965" t="n">
        <v>3</v>
      </c>
      <c r="AJ965" t="n">
        <v>7</v>
      </c>
      <c r="AK965" t="n">
        <v>7</v>
      </c>
      <c r="AL965" t="n">
        <v>2</v>
      </c>
      <c r="AM965" t="n">
        <v>2</v>
      </c>
      <c r="AN965" t="n">
        <v>0</v>
      </c>
      <c r="AO965" t="n">
        <v>0</v>
      </c>
      <c r="AP965" t="inlineStr">
        <is>
          <t>No</t>
        </is>
      </c>
      <c r="AQ965" t="inlineStr">
        <is>
          <t>Yes</t>
        </is>
      </c>
      <c r="AR965">
        <f>HYPERLINK("http://catalog.hathitrust.org/Record/004929386","HathiTrust Record")</f>
        <v/>
      </c>
      <c r="AS965">
        <f>HYPERLINK("https://creighton-primo.hosted.exlibrisgroup.com/primo-explore/search?tab=default_tab&amp;search_scope=EVERYTHING&amp;vid=01CRU&amp;lang=en_US&amp;offset=0&amp;query=any,contains,991004854369702656","Catalog Record")</f>
        <v/>
      </c>
      <c r="AT965">
        <f>HYPERLINK("http://www.worldcat.org/oclc/56649413","WorldCat Record")</f>
        <v/>
      </c>
      <c r="AU965" t="inlineStr">
        <is>
          <t>959943:eng</t>
        </is>
      </c>
      <c r="AV965" t="inlineStr">
        <is>
          <t>56649413</t>
        </is>
      </c>
      <c r="AW965" t="inlineStr">
        <is>
          <t>991004854369702656</t>
        </is>
      </c>
      <c r="AX965" t="inlineStr">
        <is>
          <t>991004854369702656</t>
        </is>
      </c>
      <c r="AY965" t="inlineStr">
        <is>
          <t>2264033080002656</t>
        </is>
      </c>
      <c r="AZ965" t="inlineStr">
        <is>
          <t>BOOK</t>
        </is>
      </c>
      <c r="BB965" t="inlineStr">
        <is>
          <t>9782080304445</t>
        </is>
      </c>
      <c r="BC965" t="inlineStr">
        <is>
          <t>32285005197248</t>
        </is>
      </c>
      <c r="BD965" t="inlineStr">
        <is>
          <t>893241918</t>
        </is>
      </c>
    </row>
    <row r="966">
      <c r="A966" t="inlineStr">
        <is>
          <t>No</t>
        </is>
      </c>
      <c r="B966" t="inlineStr">
        <is>
          <t>GN799.P4 W45 2005</t>
        </is>
      </c>
      <c r="C966" t="inlineStr">
        <is>
          <t>0                      GN 0799000P  4                  W  45          2005</t>
        </is>
      </c>
      <c r="D966" t="inlineStr">
        <is>
          <t>Introduction to rock art research / David S. Whitley.</t>
        </is>
      </c>
      <c r="F966" t="inlineStr">
        <is>
          <t>No</t>
        </is>
      </c>
      <c r="G966" t="inlineStr">
        <is>
          <t>1</t>
        </is>
      </c>
      <c r="H966" t="inlineStr">
        <is>
          <t>No</t>
        </is>
      </c>
      <c r="I966" t="inlineStr">
        <is>
          <t>No</t>
        </is>
      </c>
      <c r="J966" t="inlineStr">
        <is>
          <t>0</t>
        </is>
      </c>
      <c r="K966" t="inlineStr">
        <is>
          <t>Whitley, David S.</t>
        </is>
      </c>
      <c r="L966" t="inlineStr">
        <is>
          <t>Walnut Creek, Calif. : Left Coast Press, c2005.</t>
        </is>
      </c>
      <c r="M966" t="inlineStr">
        <is>
          <t>2005</t>
        </is>
      </c>
      <c r="O966" t="inlineStr">
        <is>
          <t>eng</t>
        </is>
      </c>
      <c r="P966" t="inlineStr">
        <is>
          <t>cau</t>
        </is>
      </c>
      <c r="R966" t="inlineStr">
        <is>
          <t xml:space="preserve">GN </t>
        </is>
      </c>
      <c r="S966" t="n">
        <v>1</v>
      </c>
      <c r="T966" t="n">
        <v>1</v>
      </c>
      <c r="U966" t="inlineStr">
        <is>
          <t>2006-07-20</t>
        </is>
      </c>
      <c r="V966" t="inlineStr">
        <is>
          <t>2006-07-20</t>
        </is>
      </c>
      <c r="W966" t="inlineStr">
        <is>
          <t>2006-07-20</t>
        </is>
      </c>
      <c r="X966" t="inlineStr">
        <is>
          <t>2006-07-20</t>
        </is>
      </c>
      <c r="Y966" t="n">
        <v>456</v>
      </c>
      <c r="Z966" t="n">
        <v>380</v>
      </c>
      <c r="AA966" t="n">
        <v>439</v>
      </c>
      <c r="AB966" t="n">
        <v>1</v>
      </c>
      <c r="AC966" t="n">
        <v>2</v>
      </c>
      <c r="AD966" t="n">
        <v>9</v>
      </c>
      <c r="AE966" t="n">
        <v>11</v>
      </c>
      <c r="AF966" t="n">
        <v>4</v>
      </c>
      <c r="AG966" t="n">
        <v>5</v>
      </c>
      <c r="AH966" t="n">
        <v>1</v>
      </c>
      <c r="AI966" t="n">
        <v>1</v>
      </c>
      <c r="AJ966" t="n">
        <v>6</v>
      </c>
      <c r="AK966" t="n">
        <v>6</v>
      </c>
      <c r="AL966" t="n">
        <v>0</v>
      </c>
      <c r="AM966" t="n">
        <v>1</v>
      </c>
      <c r="AN966" t="n">
        <v>0</v>
      </c>
      <c r="AO966" t="n">
        <v>0</v>
      </c>
      <c r="AP966" t="inlineStr">
        <is>
          <t>No</t>
        </is>
      </c>
      <c r="AQ966" t="inlineStr">
        <is>
          <t>Yes</t>
        </is>
      </c>
      <c r="AR966">
        <f>HYPERLINK("http://catalog.hathitrust.org/Record/005229234","HathiTrust Record")</f>
        <v/>
      </c>
      <c r="AS966">
        <f>HYPERLINK("https://creighton-primo.hosted.exlibrisgroup.com/primo-explore/search?tab=default_tab&amp;search_scope=EVERYTHING&amp;vid=01CRU&amp;lang=en_US&amp;offset=0&amp;query=any,contains,991004851359702656","Catalog Record")</f>
        <v/>
      </c>
      <c r="AT966">
        <f>HYPERLINK("http://www.worldcat.org/oclc/64195903","WorldCat Record")</f>
        <v/>
      </c>
      <c r="AU966" t="inlineStr">
        <is>
          <t>48188199:eng</t>
        </is>
      </c>
      <c r="AV966" t="inlineStr">
        <is>
          <t>64195903</t>
        </is>
      </c>
      <c r="AW966" t="inlineStr">
        <is>
          <t>991004851359702656</t>
        </is>
      </c>
      <c r="AX966" t="inlineStr">
        <is>
          <t>991004851359702656</t>
        </is>
      </c>
      <c r="AY966" t="inlineStr">
        <is>
          <t>2255269770002656</t>
        </is>
      </c>
      <c r="AZ966" t="inlineStr">
        <is>
          <t>BOOK</t>
        </is>
      </c>
      <c r="BB966" t="inlineStr">
        <is>
          <t>9781598740004</t>
        </is>
      </c>
      <c r="BC966" t="inlineStr">
        <is>
          <t>32285005196679</t>
        </is>
      </c>
      <c r="BD966" t="inlineStr">
        <is>
          <t>893795330</t>
        </is>
      </c>
    </row>
    <row r="967">
      <c r="A967" t="inlineStr">
        <is>
          <t>No</t>
        </is>
      </c>
      <c r="B967" t="inlineStr">
        <is>
          <t>GN799.P6 E44 1995</t>
        </is>
      </c>
      <c r="C967" t="inlineStr">
        <is>
          <t>0                      GN 0799000P  6                  E  44          1995</t>
        </is>
      </c>
      <c r="D967" t="inlineStr">
        <is>
          <t>The emergence of pottery : technology and innovation in ancient societies / edited by William K. Barnett and John W. Hoopes.</t>
        </is>
      </c>
      <c r="F967" t="inlineStr">
        <is>
          <t>No</t>
        </is>
      </c>
      <c r="G967" t="inlineStr">
        <is>
          <t>1</t>
        </is>
      </c>
      <c r="H967" t="inlineStr">
        <is>
          <t>No</t>
        </is>
      </c>
      <c r="I967" t="inlineStr">
        <is>
          <t>No</t>
        </is>
      </c>
      <c r="J967" t="inlineStr">
        <is>
          <t>0</t>
        </is>
      </c>
      <c r="L967" t="inlineStr">
        <is>
          <t>Washington : Smithsonian Institution Press, c1995.</t>
        </is>
      </c>
      <c r="M967" t="inlineStr">
        <is>
          <t>1995</t>
        </is>
      </c>
      <c r="O967" t="inlineStr">
        <is>
          <t>eng</t>
        </is>
      </c>
      <c r="P967" t="inlineStr">
        <is>
          <t>dcu</t>
        </is>
      </c>
      <c r="Q967" t="inlineStr">
        <is>
          <t>Smithsonian series in archaeological inquiry</t>
        </is>
      </c>
      <c r="R967" t="inlineStr">
        <is>
          <t xml:space="preserve">GN </t>
        </is>
      </c>
      <c r="S967" t="n">
        <v>4</v>
      </c>
      <c r="T967" t="n">
        <v>4</v>
      </c>
      <c r="U967" t="inlineStr">
        <is>
          <t>1998-09-29</t>
        </is>
      </c>
      <c r="V967" t="inlineStr">
        <is>
          <t>1998-09-29</t>
        </is>
      </c>
      <c r="W967" t="inlineStr">
        <is>
          <t>1997-04-03</t>
        </is>
      </c>
      <c r="X967" t="inlineStr">
        <is>
          <t>1997-04-03</t>
        </is>
      </c>
      <c r="Y967" t="n">
        <v>640</v>
      </c>
      <c r="Z967" t="n">
        <v>542</v>
      </c>
      <c r="AA967" t="n">
        <v>553</v>
      </c>
      <c r="AB967" t="n">
        <v>3</v>
      </c>
      <c r="AC967" t="n">
        <v>3</v>
      </c>
      <c r="AD967" t="n">
        <v>20</v>
      </c>
      <c r="AE967" t="n">
        <v>20</v>
      </c>
      <c r="AF967" t="n">
        <v>8</v>
      </c>
      <c r="AG967" t="n">
        <v>8</v>
      </c>
      <c r="AH967" t="n">
        <v>5</v>
      </c>
      <c r="AI967" t="n">
        <v>5</v>
      </c>
      <c r="AJ967" t="n">
        <v>10</v>
      </c>
      <c r="AK967" t="n">
        <v>10</v>
      </c>
      <c r="AL967" t="n">
        <v>2</v>
      </c>
      <c r="AM967" t="n">
        <v>2</v>
      </c>
      <c r="AN967" t="n">
        <v>0</v>
      </c>
      <c r="AO967" t="n">
        <v>0</v>
      </c>
      <c r="AP967" t="inlineStr">
        <is>
          <t>No</t>
        </is>
      </c>
      <c r="AQ967" t="inlineStr">
        <is>
          <t>Yes</t>
        </is>
      </c>
      <c r="AR967">
        <f>HYPERLINK("http://catalog.hathitrust.org/Record/004280970","HathiTrust Record")</f>
        <v/>
      </c>
      <c r="AS967">
        <f>HYPERLINK("https://creighton-primo.hosted.exlibrisgroup.com/primo-explore/search?tab=default_tab&amp;search_scope=EVERYTHING&amp;vid=01CRU&amp;lang=en_US&amp;offset=0&amp;query=any,contains,991002431809702656","Catalog Record")</f>
        <v/>
      </c>
      <c r="AT967">
        <f>HYPERLINK("http://www.worldcat.org/oclc/31709218","WorldCat Record")</f>
        <v/>
      </c>
      <c r="AU967" t="inlineStr">
        <is>
          <t>837000044:eng</t>
        </is>
      </c>
      <c r="AV967" t="inlineStr">
        <is>
          <t>31709218</t>
        </is>
      </c>
      <c r="AW967" t="inlineStr">
        <is>
          <t>991002431809702656</t>
        </is>
      </c>
      <c r="AX967" t="inlineStr">
        <is>
          <t>991002431809702656</t>
        </is>
      </c>
      <c r="AY967" t="inlineStr">
        <is>
          <t>2271642590002656</t>
        </is>
      </c>
      <c r="AZ967" t="inlineStr">
        <is>
          <t>BOOK</t>
        </is>
      </c>
      <c r="BB967" t="inlineStr">
        <is>
          <t>9781560985167</t>
        </is>
      </c>
      <c r="BC967" t="inlineStr">
        <is>
          <t>32285002478377</t>
        </is>
      </c>
      <c r="BD967" t="inlineStr">
        <is>
          <t>893886266</t>
        </is>
      </c>
    </row>
    <row r="968">
      <c r="A968" t="inlineStr">
        <is>
          <t>No</t>
        </is>
      </c>
      <c r="B968" t="inlineStr">
        <is>
          <t>GN799.R4 .K56 2007</t>
        </is>
      </c>
      <c r="C968" t="inlineStr">
        <is>
          <t>0                      GN 0799000R  4                  K  56          2007</t>
        </is>
      </c>
      <c r="D968" t="inlineStr">
        <is>
          <t>Evolving God : a provocative view of the origins of religion / Barbara J. King.</t>
        </is>
      </c>
      <c r="F968" t="inlineStr">
        <is>
          <t>No</t>
        </is>
      </c>
      <c r="G968" t="inlineStr">
        <is>
          <t>1</t>
        </is>
      </c>
      <c r="H968" t="inlineStr">
        <is>
          <t>No</t>
        </is>
      </c>
      <c r="I968" t="inlineStr">
        <is>
          <t>No</t>
        </is>
      </c>
      <c r="J968" t="inlineStr">
        <is>
          <t>0</t>
        </is>
      </c>
      <c r="K968" t="inlineStr">
        <is>
          <t>King, Barbara J., 1956-</t>
        </is>
      </c>
      <c r="L968" t="inlineStr">
        <is>
          <t>New York : Doubleday, c2007.</t>
        </is>
      </c>
      <c r="M968" t="inlineStr">
        <is>
          <t>2007</t>
        </is>
      </c>
      <c r="N968" t="inlineStr">
        <is>
          <t>1st ed.</t>
        </is>
      </c>
      <c r="O968" t="inlineStr">
        <is>
          <t>eng</t>
        </is>
      </c>
      <c r="P968" t="inlineStr">
        <is>
          <t>nyu</t>
        </is>
      </c>
      <c r="R968" t="inlineStr">
        <is>
          <t xml:space="preserve">GN </t>
        </is>
      </c>
      <c r="S968" t="n">
        <v>1</v>
      </c>
      <c r="T968" t="n">
        <v>1</v>
      </c>
      <c r="U968" t="inlineStr">
        <is>
          <t>2007-05-07</t>
        </is>
      </c>
      <c r="V968" t="inlineStr">
        <is>
          <t>2007-05-07</t>
        </is>
      </c>
      <c r="W968" t="inlineStr">
        <is>
          <t>2007-05-07</t>
        </is>
      </c>
      <c r="X968" t="inlineStr">
        <is>
          <t>2007-05-07</t>
        </is>
      </c>
      <c r="Y968" t="n">
        <v>729</v>
      </c>
      <c r="Z968" t="n">
        <v>667</v>
      </c>
      <c r="AA968" t="n">
        <v>736</v>
      </c>
      <c r="AB968" t="n">
        <v>4</v>
      </c>
      <c r="AC968" t="n">
        <v>4</v>
      </c>
      <c r="AD968" t="n">
        <v>19</v>
      </c>
      <c r="AE968" t="n">
        <v>21</v>
      </c>
      <c r="AF968" t="n">
        <v>7</v>
      </c>
      <c r="AG968" t="n">
        <v>7</v>
      </c>
      <c r="AH968" t="n">
        <v>5</v>
      </c>
      <c r="AI968" t="n">
        <v>6</v>
      </c>
      <c r="AJ968" t="n">
        <v>9</v>
      </c>
      <c r="AK968" t="n">
        <v>10</v>
      </c>
      <c r="AL968" t="n">
        <v>3</v>
      </c>
      <c r="AM968" t="n">
        <v>3</v>
      </c>
      <c r="AN968" t="n">
        <v>0</v>
      </c>
      <c r="AO968" t="n">
        <v>0</v>
      </c>
      <c r="AP968" t="inlineStr">
        <is>
          <t>No</t>
        </is>
      </c>
      <c r="AQ968" t="inlineStr">
        <is>
          <t>Yes</t>
        </is>
      </c>
      <c r="AR968">
        <f>HYPERLINK("http://catalog.hathitrust.org/Record/005553832","HathiTrust Record")</f>
        <v/>
      </c>
      <c r="AS968">
        <f>HYPERLINK("https://creighton-primo.hosted.exlibrisgroup.com/primo-explore/search?tab=default_tab&amp;search_scope=EVERYTHING&amp;vid=01CRU&amp;lang=en_US&amp;offset=0&amp;query=any,contains,991005077009702656","Catalog Record")</f>
        <v/>
      </c>
      <c r="AT968">
        <f>HYPERLINK("http://www.worldcat.org/oclc/67405729","WorldCat Record")</f>
        <v/>
      </c>
      <c r="AU968" t="inlineStr">
        <is>
          <t>50895967:eng</t>
        </is>
      </c>
      <c r="AV968" t="inlineStr">
        <is>
          <t>67405729</t>
        </is>
      </c>
      <c r="AW968" t="inlineStr">
        <is>
          <t>991005077009702656</t>
        </is>
      </c>
      <c r="AX968" t="inlineStr">
        <is>
          <t>991005077009702656</t>
        </is>
      </c>
      <c r="AY968" t="inlineStr">
        <is>
          <t>2267119430002656</t>
        </is>
      </c>
      <c r="AZ968" t="inlineStr">
        <is>
          <t>BOOK</t>
        </is>
      </c>
      <c r="BB968" t="inlineStr">
        <is>
          <t>9780385511049</t>
        </is>
      </c>
      <c r="BC968" t="inlineStr">
        <is>
          <t>32285005310957</t>
        </is>
      </c>
      <c r="BD968" t="inlineStr">
        <is>
          <t>893613081</t>
        </is>
      </c>
    </row>
    <row r="969">
      <c r="A969" t="inlineStr">
        <is>
          <t>No</t>
        </is>
      </c>
      <c r="B969" t="inlineStr">
        <is>
          <t>GN799.R4 M67 2007</t>
        </is>
      </c>
      <c r="C969" t="inlineStr">
        <is>
          <t>0                      GN 0799000R  4                  M  67          2007</t>
        </is>
      </c>
      <c r="D969" t="inlineStr">
        <is>
          <t>"In the beginning-- " : the Paleolithic origins of religious consciousness / John H. Morgan.</t>
        </is>
      </c>
      <c r="F969" t="inlineStr">
        <is>
          <t>No</t>
        </is>
      </c>
      <c r="G969" t="inlineStr">
        <is>
          <t>1</t>
        </is>
      </c>
      <c r="H969" t="inlineStr">
        <is>
          <t>No</t>
        </is>
      </c>
      <c r="I969" t="inlineStr">
        <is>
          <t>No</t>
        </is>
      </c>
      <c r="J969" t="inlineStr">
        <is>
          <t>0</t>
        </is>
      </c>
      <c r="K969" t="inlineStr">
        <is>
          <t>Morgan, John H. (John Henry), 1945-</t>
        </is>
      </c>
      <c r="L969" t="inlineStr">
        <is>
          <t>South Bend, Ind. : Cloverdale Books, c2007.</t>
        </is>
      </c>
      <c r="M969" t="inlineStr">
        <is>
          <t>2007</t>
        </is>
      </c>
      <c r="O969" t="inlineStr">
        <is>
          <t>eng</t>
        </is>
      </c>
      <c r="P969" t="inlineStr">
        <is>
          <t>inu</t>
        </is>
      </c>
      <c r="R969" t="inlineStr">
        <is>
          <t xml:space="preserve">GN </t>
        </is>
      </c>
      <c r="S969" t="n">
        <v>1</v>
      </c>
      <c r="T969" t="n">
        <v>1</v>
      </c>
      <c r="U969" t="inlineStr">
        <is>
          <t>2010-10-14</t>
        </is>
      </c>
      <c r="V969" t="inlineStr">
        <is>
          <t>2010-10-14</t>
        </is>
      </c>
      <c r="W969" t="inlineStr">
        <is>
          <t>2010-10-13</t>
        </is>
      </c>
      <c r="X969" t="inlineStr">
        <is>
          <t>2010-10-13</t>
        </is>
      </c>
      <c r="Y969" t="n">
        <v>27</v>
      </c>
      <c r="Z969" t="n">
        <v>19</v>
      </c>
      <c r="AA969" t="n">
        <v>19</v>
      </c>
      <c r="AB969" t="n">
        <v>2</v>
      </c>
      <c r="AC969" t="n">
        <v>2</v>
      </c>
      <c r="AD969" t="n">
        <v>1</v>
      </c>
      <c r="AE969" t="n">
        <v>1</v>
      </c>
      <c r="AF969" t="n">
        <v>0</v>
      </c>
      <c r="AG969" t="n">
        <v>0</v>
      </c>
      <c r="AH969" t="n">
        <v>0</v>
      </c>
      <c r="AI969" t="n">
        <v>0</v>
      </c>
      <c r="AJ969" t="n">
        <v>0</v>
      </c>
      <c r="AK969" t="n">
        <v>0</v>
      </c>
      <c r="AL969" t="n">
        <v>1</v>
      </c>
      <c r="AM969" t="n">
        <v>1</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HYPERLINK("https://creighton-primo.hosted.exlibrisgroup.com/primo-explore/search?tab=default_tab&amp;search_scope=EVERYTHING&amp;vid=01CRU&amp;lang=en_US&amp;offset=0&amp;query=any,contains,991000181659702656","Catalog Record")</f>
        <v/>
      </c>
      <c r="AT969">
        <f>HYPERLINK("http://www.worldcat.org/oclc/174040123","WorldCat Record")</f>
        <v/>
      </c>
      <c r="AU969" t="inlineStr">
        <is>
          <t>1027063882:eng</t>
        </is>
      </c>
      <c r="AV969" t="inlineStr">
        <is>
          <t>174040123</t>
        </is>
      </c>
      <c r="AW969" t="inlineStr">
        <is>
          <t>991000181659702656</t>
        </is>
      </c>
      <c r="AX969" t="inlineStr">
        <is>
          <t>991000181659702656</t>
        </is>
      </c>
      <c r="AY969" t="inlineStr">
        <is>
          <t>2263569260002656</t>
        </is>
      </c>
      <c r="AZ969" t="inlineStr">
        <is>
          <t>BOOK</t>
        </is>
      </c>
      <c r="BB969" t="inlineStr">
        <is>
          <t>9781929569410</t>
        </is>
      </c>
      <c r="BC969" t="inlineStr">
        <is>
          <t>32285005601389</t>
        </is>
      </c>
      <c r="BD969" t="inlineStr">
        <is>
          <t>893314749</t>
        </is>
      </c>
    </row>
    <row r="970">
      <c r="A970" t="inlineStr">
        <is>
          <t>No</t>
        </is>
      </c>
      <c r="B970" t="inlineStr">
        <is>
          <t>GN799.T6 K66 2000</t>
        </is>
      </c>
      <c r="C970" t="inlineStr">
        <is>
          <t>0                      GN 0799000T  6                  K  66          2000</t>
        </is>
      </c>
      <c r="D970" t="inlineStr">
        <is>
          <t>Understanding stone tools and archaeological sites / Brian P. Kooyman.</t>
        </is>
      </c>
      <c r="F970" t="inlineStr">
        <is>
          <t>No</t>
        </is>
      </c>
      <c r="G970" t="inlineStr">
        <is>
          <t>1</t>
        </is>
      </c>
      <c r="H970" t="inlineStr">
        <is>
          <t>No</t>
        </is>
      </c>
      <c r="I970" t="inlineStr">
        <is>
          <t>No</t>
        </is>
      </c>
      <c r="J970" t="inlineStr">
        <is>
          <t>0</t>
        </is>
      </c>
      <c r="K970" t="inlineStr">
        <is>
          <t>Kooyman, Brian P. (Brian Patrick), 1953-</t>
        </is>
      </c>
      <c r="L970" t="inlineStr">
        <is>
          <t>Calgary : University of Calgary Press Albuquerque : University of New Mexico Press, 2000.</t>
        </is>
      </c>
      <c r="M970" t="inlineStr">
        <is>
          <t>2000</t>
        </is>
      </c>
      <c r="O970" t="inlineStr">
        <is>
          <t>eng</t>
        </is>
      </c>
      <c r="P970" t="inlineStr">
        <is>
          <t>abc</t>
        </is>
      </c>
      <c r="R970" t="inlineStr">
        <is>
          <t xml:space="preserve">GN </t>
        </is>
      </c>
      <c r="S970" t="n">
        <v>1</v>
      </c>
      <c r="T970" t="n">
        <v>1</v>
      </c>
      <c r="U970" t="inlineStr">
        <is>
          <t>2001-09-05</t>
        </is>
      </c>
      <c r="V970" t="inlineStr">
        <is>
          <t>2001-09-05</t>
        </is>
      </c>
      <c r="W970" t="inlineStr">
        <is>
          <t>2001-09-05</t>
        </is>
      </c>
      <c r="X970" t="inlineStr">
        <is>
          <t>2001-09-05</t>
        </is>
      </c>
      <c r="Y970" t="n">
        <v>507</v>
      </c>
      <c r="Z970" t="n">
        <v>411</v>
      </c>
      <c r="AA970" t="n">
        <v>904</v>
      </c>
      <c r="AB970" t="n">
        <v>3</v>
      </c>
      <c r="AC970" t="n">
        <v>5</v>
      </c>
      <c r="AD970" t="n">
        <v>14</v>
      </c>
      <c r="AE970" t="n">
        <v>23</v>
      </c>
      <c r="AF970" t="n">
        <v>6</v>
      </c>
      <c r="AG970" t="n">
        <v>14</v>
      </c>
      <c r="AH970" t="n">
        <v>5</v>
      </c>
      <c r="AI970" t="n">
        <v>5</v>
      </c>
      <c r="AJ970" t="n">
        <v>8</v>
      </c>
      <c r="AK970" t="n">
        <v>9</v>
      </c>
      <c r="AL970" t="n">
        <v>1</v>
      </c>
      <c r="AM970" t="n">
        <v>2</v>
      </c>
      <c r="AN970" t="n">
        <v>0</v>
      </c>
      <c r="AO970" t="n">
        <v>0</v>
      </c>
      <c r="AP970" t="inlineStr">
        <is>
          <t>No</t>
        </is>
      </c>
      <c r="AQ970" t="inlineStr">
        <is>
          <t>Yes</t>
        </is>
      </c>
      <c r="AR970">
        <f>HYPERLINK("http://catalog.hathitrust.org/Record/004126909","HathiTrust Record")</f>
        <v/>
      </c>
      <c r="AS970">
        <f>HYPERLINK("https://creighton-primo.hosted.exlibrisgroup.com/primo-explore/search?tab=default_tab&amp;search_scope=EVERYTHING&amp;vid=01CRU&amp;lang=en_US&amp;offset=0&amp;query=any,contains,991003592209702656","Catalog Record")</f>
        <v/>
      </c>
      <c r="AT970">
        <f>HYPERLINK("http://www.worldcat.org/oclc/43390765","WorldCat Record")</f>
        <v/>
      </c>
      <c r="AU970" t="inlineStr">
        <is>
          <t>1076955:eng</t>
        </is>
      </c>
      <c r="AV970" t="inlineStr">
        <is>
          <t>43390765</t>
        </is>
      </c>
      <c r="AW970" t="inlineStr">
        <is>
          <t>991003592209702656</t>
        </is>
      </c>
      <c r="AX970" t="inlineStr">
        <is>
          <t>991003592209702656</t>
        </is>
      </c>
      <c r="AY970" t="inlineStr">
        <is>
          <t>2266707610002656</t>
        </is>
      </c>
      <c r="AZ970" t="inlineStr">
        <is>
          <t>BOOK</t>
        </is>
      </c>
      <c r="BB970" t="inlineStr">
        <is>
          <t>9780826323002</t>
        </is>
      </c>
      <c r="BC970" t="inlineStr">
        <is>
          <t>32285004385000</t>
        </is>
      </c>
      <c r="BD970" t="inlineStr">
        <is>
          <t>893234319</t>
        </is>
      </c>
    </row>
    <row r="971">
      <c r="A971" t="inlineStr">
        <is>
          <t>No</t>
        </is>
      </c>
      <c r="B971" t="inlineStr">
        <is>
          <t>GN799.W66 A36 2007</t>
        </is>
      </c>
      <c r="C971" t="inlineStr">
        <is>
          <t>0                      GN 0799000W  66                 A  36          2007</t>
        </is>
      </c>
      <c r="D971" t="inlineStr">
        <is>
          <t>The invisible sex : uncovering the true roles of women in prehistory / J.M. Adovasio, Olga Soffer &amp; Jake Page.</t>
        </is>
      </c>
      <c r="F971" t="inlineStr">
        <is>
          <t>No</t>
        </is>
      </c>
      <c r="G971" t="inlineStr">
        <is>
          <t>1</t>
        </is>
      </c>
      <c r="H971" t="inlineStr">
        <is>
          <t>No</t>
        </is>
      </c>
      <c r="I971" t="inlineStr">
        <is>
          <t>No</t>
        </is>
      </c>
      <c r="J971" t="inlineStr">
        <is>
          <t>0</t>
        </is>
      </c>
      <c r="K971" t="inlineStr">
        <is>
          <t>Adovasio, J. M.</t>
        </is>
      </c>
      <c r="L971" t="inlineStr">
        <is>
          <t>New York : Smithsonian Books : Collins, 2007.</t>
        </is>
      </c>
      <c r="M971" t="inlineStr">
        <is>
          <t>2007</t>
        </is>
      </c>
      <c r="N971" t="inlineStr">
        <is>
          <t>1st Smithsonian books ed.</t>
        </is>
      </c>
      <c r="O971" t="inlineStr">
        <is>
          <t>eng</t>
        </is>
      </c>
      <c r="P971" t="inlineStr">
        <is>
          <t>nyu</t>
        </is>
      </c>
      <c r="R971" t="inlineStr">
        <is>
          <t xml:space="preserve">GN </t>
        </is>
      </c>
      <c r="S971" t="n">
        <v>1</v>
      </c>
      <c r="T971" t="n">
        <v>1</v>
      </c>
      <c r="U971" t="inlineStr">
        <is>
          <t>2007-05-08</t>
        </is>
      </c>
      <c r="V971" t="inlineStr">
        <is>
          <t>2007-05-08</t>
        </is>
      </c>
      <c r="W971" t="inlineStr">
        <is>
          <t>2007-05-08</t>
        </is>
      </c>
      <c r="X971" t="inlineStr">
        <is>
          <t>2007-05-08</t>
        </is>
      </c>
      <c r="Y971" t="n">
        <v>897</v>
      </c>
      <c r="Z971" t="n">
        <v>818</v>
      </c>
      <c r="AA971" t="n">
        <v>914</v>
      </c>
      <c r="AB971" t="n">
        <v>5</v>
      </c>
      <c r="AC971" t="n">
        <v>6</v>
      </c>
      <c r="AD971" t="n">
        <v>22</v>
      </c>
      <c r="AE971" t="n">
        <v>23</v>
      </c>
      <c r="AF971" t="n">
        <v>7</v>
      </c>
      <c r="AG971" t="n">
        <v>8</v>
      </c>
      <c r="AH971" t="n">
        <v>7</v>
      </c>
      <c r="AI971" t="n">
        <v>7</v>
      </c>
      <c r="AJ971" t="n">
        <v>9</v>
      </c>
      <c r="AK971" t="n">
        <v>9</v>
      </c>
      <c r="AL971" t="n">
        <v>2</v>
      </c>
      <c r="AM971" t="n">
        <v>2</v>
      </c>
      <c r="AN971" t="n">
        <v>0</v>
      </c>
      <c r="AO971" t="n">
        <v>0</v>
      </c>
      <c r="AP971" t="inlineStr">
        <is>
          <t>No</t>
        </is>
      </c>
      <c r="AQ971" t="inlineStr">
        <is>
          <t>Yes</t>
        </is>
      </c>
      <c r="AR971">
        <f>HYPERLINK("http://catalog.hathitrust.org/Record/005543636","HathiTrust Record")</f>
        <v/>
      </c>
      <c r="AS971">
        <f>HYPERLINK("https://creighton-primo.hosted.exlibrisgroup.com/primo-explore/search?tab=default_tab&amp;search_scope=EVERYTHING&amp;vid=01CRU&amp;lang=en_US&amp;offset=0&amp;query=any,contains,991005077209702656","Catalog Record")</f>
        <v/>
      </c>
      <c r="AT971">
        <f>HYPERLINK("http://www.worldcat.org/oclc/71126923","WorldCat Record")</f>
        <v/>
      </c>
      <c r="AU971" t="inlineStr">
        <is>
          <t>198131795:eng</t>
        </is>
      </c>
      <c r="AV971" t="inlineStr">
        <is>
          <t>71126923</t>
        </is>
      </c>
      <c r="AW971" t="inlineStr">
        <is>
          <t>991005077209702656</t>
        </is>
      </c>
      <c r="AX971" t="inlineStr">
        <is>
          <t>991005077209702656</t>
        </is>
      </c>
      <c r="AY971" t="inlineStr">
        <is>
          <t>2272321970002656</t>
        </is>
      </c>
      <c r="AZ971" t="inlineStr">
        <is>
          <t>BOOK</t>
        </is>
      </c>
      <c r="BB971" t="inlineStr">
        <is>
          <t>9780061170911</t>
        </is>
      </c>
      <c r="BC971" t="inlineStr">
        <is>
          <t>32285005310759</t>
        </is>
      </c>
      <c r="BD971" t="inlineStr">
        <is>
          <t>893895813</t>
        </is>
      </c>
    </row>
    <row r="972">
      <c r="A972" t="inlineStr">
        <is>
          <t>No</t>
        </is>
      </c>
      <c r="B972" t="inlineStr">
        <is>
          <t>GN8 .B44</t>
        </is>
      </c>
      <c r="C972" t="inlineStr">
        <is>
          <t>0                      GN 0008000B  44</t>
        </is>
      </c>
      <c r="D972" t="inlineStr">
        <is>
          <t>Being an anthropologist : fieldwork in eleven cultures / edited by George D. Spindler.</t>
        </is>
      </c>
      <c r="F972" t="inlineStr">
        <is>
          <t>No</t>
        </is>
      </c>
      <c r="G972" t="inlineStr">
        <is>
          <t>1</t>
        </is>
      </c>
      <c r="H972" t="inlineStr">
        <is>
          <t>No</t>
        </is>
      </c>
      <c r="I972" t="inlineStr">
        <is>
          <t>No</t>
        </is>
      </c>
      <c r="J972" t="inlineStr">
        <is>
          <t>0</t>
        </is>
      </c>
      <c r="L972" t="inlineStr">
        <is>
          <t>New York : Holt, Rinehart and Winston, [1970]</t>
        </is>
      </c>
      <c r="M972" t="inlineStr">
        <is>
          <t>1970</t>
        </is>
      </c>
      <c r="O972" t="inlineStr">
        <is>
          <t>eng</t>
        </is>
      </c>
      <c r="P972" t="inlineStr">
        <is>
          <t>nyu</t>
        </is>
      </c>
      <c r="R972" t="inlineStr">
        <is>
          <t xml:space="preserve">GN </t>
        </is>
      </c>
      <c r="S972" t="n">
        <v>5</v>
      </c>
      <c r="T972" t="n">
        <v>5</v>
      </c>
      <c r="U972" t="inlineStr">
        <is>
          <t>1992-11-03</t>
        </is>
      </c>
      <c r="V972" t="inlineStr">
        <is>
          <t>1992-11-03</t>
        </is>
      </c>
      <c r="W972" t="inlineStr">
        <is>
          <t>1990-10-08</t>
        </is>
      </c>
      <c r="X972" t="inlineStr">
        <is>
          <t>1990-10-08</t>
        </is>
      </c>
      <c r="Y972" t="n">
        <v>617</v>
      </c>
      <c r="Z972" t="n">
        <v>482</v>
      </c>
      <c r="AA972" t="n">
        <v>524</v>
      </c>
      <c r="AB972" t="n">
        <v>4</v>
      </c>
      <c r="AC972" t="n">
        <v>4</v>
      </c>
      <c r="AD972" t="n">
        <v>20</v>
      </c>
      <c r="AE972" t="n">
        <v>21</v>
      </c>
      <c r="AF972" t="n">
        <v>6</v>
      </c>
      <c r="AG972" t="n">
        <v>7</v>
      </c>
      <c r="AH972" t="n">
        <v>3</v>
      </c>
      <c r="AI972" t="n">
        <v>3</v>
      </c>
      <c r="AJ972" t="n">
        <v>11</v>
      </c>
      <c r="AK972" t="n">
        <v>12</v>
      </c>
      <c r="AL972" t="n">
        <v>3</v>
      </c>
      <c r="AM972" t="n">
        <v>3</v>
      </c>
      <c r="AN972" t="n">
        <v>0</v>
      </c>
      <c r="AO972" t="n">
        <v>0</v>
      </c>
      <c r="AP972" t="inlineStr">
        <is>
          <t>No</t>
        </is>
      </c>
      <c r="AQ972" t="inlineStr">
        <is>
          <t>Yes</t>
        </is>
      </c>
      <c r="AR972">
        <f>HYPERLINK("http://catalog.hathitrust.org/Record/001274060","HathiTrust Record")</f>
        <v/>
      </c>
      <c r="AS972">
        <f>HYPERLINK("https://creighton-primo.hosted.exlibrisgroup.com/primo-explore/search?tab=default_tab&amp;search_scope=EVERYTHING&amp;vid=01CRU&amp;lang=en_US&amp;offset=0&amp;query=any,contains,991000512429702656","Catalog Record")</f>
        <v/>
      </c>
      <c r="AT972">
        <f>HYPERLINK("http://www.worldcat.org/oclc/83974","WorldCat Record")</f>
        <v/>
      </c>
      <c r="AU972" t="inlineStr">
        <is>
          <t>836655411:eng</t>
        </is>
      </c>
      <c r="AV972" t="inlineStr">
        <is>
          <t>83974</t>
        </is>
      </c>
      <c r="AW972" t="inlineStr">
        <is>
          <t>991000512429702656</t>
        </is>
      </c>
      <c r="AX972" t="inlineStr">
        <is>
          <t>991000512429702656</t>
        </is>
      </c>
      <c r="AY972" t="inlineStr">
        <is>
          <t>2272556170002656</t>
        </is>
      </c>
      <c r="AZ972" t="inlineStr">
        <is>
          <t>BOOK</t>
        </is>
      </c>
      <c r="BB972" t="inlineStr">
        <is>
          <t>9780030811050</t>
        </is>
      </c>
      <c r="BC972" t="inlineStr">
        <is>
          <t>32285000334259</t>
        </is>
      </c>
      <c r="BD972" t="inlineStr">
        <is>
          <t>893502545</t>
        </is>
      </c>
    </row>
    <row r="973">
      <c r="A973" t="inlineStr">
        <is>
          <t>No</t>
        </is>
      </c>
      <c r="B973" t="inlineStr">
        <is>
          <t>GN803 .F33 2001</t>
        </is>
      </c>
      <c r="C973" t="inlineStr">
        <is>
          <t>0                      GN 0803000F  33          2001</t>
        </is>
      </c>
      <c r="D973" t="inlineStr">
        <is>
          <t>Facing the ocean : the Atlantic and its peoples, 8000 BC-AD 1500 / Barry Cunliffe.</t>
        </is>
      </c>
      <c r="F973" t="inlineStr">
        <is>
          <t>No</t>
        </is>
      </c>
      <c r="G973" t="inlineStr">
        <is>
          <t>1</t>
        </is>
      </c>
      <c r="H973" t="inlineStr">
        <is>
          <t>No</t>
        </is>
      </c>
      <c r="I973" t="inlineStr">
        <is>
          <t>No</t>
        </is>
      </c>
      <c r="J973" t="inlineStr">
        <is>
          <t>0</t>
        </is>
      </c>
      <c r="K973" t="inlineStr">
        <is>
          <t>Cunliffe, Barry W.</t>
        </is>
      </c>
      <c r="L973" t="inlineStr">
        <is>
          <t>Oxford : Oxford University Press, 2001.</t>
        </is>
      </c>
      <c r="M973" t="inlineStr">
        <is>
          <t>2001</t>
        </is>
      </c>
      <c r="O973" t="inlineStr">
        <is>
          <t>eng</t>
        </is>
      </c>
      <c r="P973" t="inlineStr">
        <is>
          <t>enk</t>
        </is>
      </c>
      <c r="R973" t="inlineStr">
        <is>
          <t xml:space="preserve">GN </t>
        </is>
      </c>
      <c r="S973" t="n">
        <v>2</v>
      </c>
      <c r="T973" t="n">
        <v>2</v>
      </c>
      <c r="U973" t="inlineStr">
        <is>
          <t>2001-06-17</t>
        </is>
      </c>
      <c r="V973" t="inlineStr">
        <is>
          <t>2001-06-17</t>
        </is>
      </c>
      <c r="W973" t="inlineStr">
        <is>
          <t>2001-05-29</t>
        </is>
      </c>
      <c r="X973" t="inlineStr">
        <is>
          <t>2001-05-29</t>
        </is>
      </c>
      <c r="Y973" t="n">
        <v>637</v>
      </c>
      <c r="Z973" t="n">
        <v>453</v>
      </c>
      <c r="AA973" t="n">
        <v>472</v>
      </c>
      <c r="AB973" t="n">
        <v>5</v>
      </c>
      <c r="AC973" t="n">
        <v>5</v>
      </c>
      <c r="AD973" t="n">
        <v>22</v>
      </c>
      <c r="AE973" t="n">
        <v>23</v>
      </c>
      <c r="AF973" t="n">
        <v>5</v>
      </c>
      <c r="AG973" t="n">
        <v>6</v>
      </c>
      <c r="AH973" t="n">
        <v>5</v>
      </c>
      <c r="AI973" t="n">
        <v>5</v>
      </c>
      <c r="AJ973" t="n">
        <v>12</v>
      </c>
      <c r="AK973" t="n">
        <v>13</v>
      </c>
      <c r="AL973" t="n">
        <v>4</v>
      </c>
      <c r="AM973" t="n">
        <v>4</v>
      </c>
      <c r="AN973" t="n">
        <v>0</v>
      </c>
      <c r="AO973" t="n">
        <v>0</v>
      </c>
      <c r="AP973" t="inlineStr">
        <is>
          <t>No</t>
        </is>
      </c>
      <c r="AQ973" t="inlineStr">
        <is>
          <t>Yes</t>
        </is>
      </c>
      <c r="AR973">
        <f>HYPERLINK("http://catalog.hathitrust.org/Record/004169631","HathiTrust Record")</f>
        <v/>
      </c>
      <c r="AS973">
        <f>HYPERLINK("https://creighton-primo.hosted.exlibrisgroup.com/primo-explore/search?tab=default_tab&amp;search_scope=EVERYTHING&amp;vid=01CRU&amp;lang=en_US&amp;offset=0&amp;query=any,contains,991003480569702656","Catalog Record")</f>
        <v/>
      </c>
      <c r="AT973">
        <f>HYPERLINK("http://www.worldcat.org/oclc/45406457","WorldCat Record")</f>
        <v/>
      </c>
      <c r="AU973" t="inlineStr">
        <is>
          <t>836986861:eng</t>
        </is>
      </c>
      <c r="AV973" t="inlineStr">
        <is>
          <t>45406457</t>
        </is>
      </c>
      <c r="AW973" t="inlineStr">
        <is>
          <t>991003480569702656</t>
        </is>
      </c>
      <c r="AX973" t="inlineStr">
        <is>
          <t>991003480569702656</t>
        </is>
      </c>
      <c r="AY973" t="inlineStr">
        <is>
          <t>2268285040002656</t>
        </is>
      </c>
      <c r="AZ973" t="inlineStr">
        <is>
          <t>BOOK</t>
        </is>
      </c>
      <c r="BB973" t="inlineStr">
        <is>
          <t>9780199240197</t>
        </is>
      </c>
      <c r="BC973" t="inlineStr">
        <is>
          <t>32285004318498</t>
        </is>
      </c>
      <c r="BD973" t="inlineStr">
        <is>
          <t>893262760</t>
        </is>
      </c>
    </row>
    <row r="974">
      <c r="A974" t="inlineStr">
        <is>
          <t>No</t>
        </is>
      </c>
      <c r="B974" t="inlineStr">
        <is>
          <t>GN803 .G55 1982b</t>
        </is>
      </c>
      <c r="C974" t="inlineStr">
        <is>
          <t>0                      GN 0803000G  55          1982b</t>
        </is>
      </c>
      <c r="D974" t="inlineStr">
        <is>
          <t>The goddesses and gods of Old Europe, 6500-3500 BC, myths and cult images / Marija Gimbutas.</t>
        </is>
      </c>
      <c r="F974" t="inlineStr">
        <is>
          <t>No</t>
        </is>
      </c>
      <c r="G974" t="inlineStr">
        <is>
          <t>1</t>
        </is>
      </c>
      <c r="H974" t="inlineStr">
        <is>
          <t>No</t>
        </is>
      </c>
      <c r="I974" t="inlineStr">
        <is>
          <t>No</t>
        </is>
      </c>
      <c r="J974" t="inlineStr">
        <is>
          <t>0</t>
        </is>
      </c>
      <c r="K974" t="inlineStr">
        <is>
          <t>Gimbutas, Marija, 1921-1994.</t>
        </is>
      </c>
      <c r="L974" t="inlineStr">
        <is>
          <t>Berkeley : University of California, 1982.</t>
        </is>
      </c>
      <c r="M974" t="inlineStr">
        <is>
          <t>1982</t>
        </is>
      </c>
      <c r="N974" t="inlineStr">
        <is>
          <t>New and updated ed.</t>
        </is>
      </c>
      <c r="O974" t="inlineStr">
        <is>
          <t>eng</t>
        </is>
      </c>
      <c r="P974" t="inlineStr">
        <is>
          <t>cau</t>
        </is>
      </c>
      <c r="R974" t="inlineStr">
        <is>
          <t xml:space="preserve">GN </t>
        </is>
      </c>
      <c r="S974" t="n">
        <v>7</v>
      </c>
      <c r="T974" t="n">
        <v>7</v>
      </c>
      <c r="U974" t="inlineStr">
        <is>
          <t>2006-04-02</t>
        </is>
      </c>
      <c r="V974" t="inlineStr">
        <is>
          <t>2006-04-02</t>
        </is>
      </c>
      <c r="W974" t="inlineStr">
        <is>
          <t>1990-10-01</t>
        </is>
      </c>
      <c r="X974" t="inlineStr">
        <is>
          <t>1990-10-01</t>
        </is>
      </c>
      <c r="Y974" t="n">
        <v>954</v>
      </c>
      <c r="Z974" t="n">
        <v>856</v>
      </c>
      <c r="AA974" t="n">
        <v>922</v>
      </c>
      <c r="AB974" t="n">
        <v>7</v>
      </c>
      <c r="AC974" t="n">
        <v>8</v>
      </c>
      <c r="AD974" t="n">
        <v>33</v>
      </c>
      <c r="AE974" t="n">
        <v>36</v>
      </c>
      <c r="AF974" t="n">
        <v>12</v>
      </c>
      <c r="AG974" t="n">
        <v>13</v>
      </c>
      <c r="AH974" t="n">
        <v>8</v>
      </c>
      <c r="AI974" t="n">
        <v>9</v>
      </c>
      <c r="AJ974" t="n">
        <v>14</v>
      </c>
      <c r="AK974" t="n">
        <v>15</v>
      </c>
      <c r="AL974" t="n">
        <v>6</v>
      </c>
      <c r="AM974" t="n">
        <v>7</v>
      </c>
      <c r="AN974" t="n">
        <v>0</v>
      </c>
      <c r="AO974" t="n">
        <v>0</v>
      </c>
      <c r="AP974" t="inlineStr">
        <is>
          <t>No</t>
        </is>
      </c>
      <c r="AQ974" t="inlineStr">
        <is>
          <t>No</t>
        </is>
      </c>
      <c r="AS974">
        <f>HYPERLINK("https://creighton-primo.hosted.exlibrisgroup.com/primo-explore/search?tab=default_tab&amp;search_scope=EVERYTHING&amp;vid=01CRU&amp;lang=en_US&amp;offset=0&amp;query=any,contains,991000078299702656","Catalog Record")</f>
        <v/>
      </c>
      <c r="AT974">
        <f>HYPERLINK("http://www.worldcat.org/oclc/8825828","WorldCat Record")</f>
        <v/>
      </c>
      <c r="AU974" t="inlineStr">
        <is>
          <t>159009818:eng</t>
        </is>
      </c>
      <c r="AV974" t="inlineStr">
        <is>
          <t>8825828</t>
        </is>
      </c>
      <c r="AW974" t="inlineStr">
        <is>
          <t>991000078299702656</t>
        </is>
      </c>
      <c r="AX974" t="inlineStr">
        <is>
          <t>991000078299702656</t>
        </is>
      </c>
      <c r="AY974" t="inlineStr">
        <is>
          <t>2268002360002656</t>
        </is>
      </c>
      <c r="AZ974" t="inlineStr">
        <is>
          <t>BOOK</t>
        </is>
      </c>
      <c r="BB974" t="inlineStr">
        <is>
          <t>9780520046559</t>
        </is>
      </c>
      <c r="BC974" t="inlineStr">
        <is>
          <t>32285000317650</t>
        </is>
      </c>
      <c r="BD974" t="inlineStr">
        <is>
          <t>893601434</t>
        </is>
      </c>
    </row>
    <row r="975">
      <c r="A975" t="inlineStr">
        <is>
          <t>No</t>
        </is>
      </c>
      <c r="B975" t="inlineStr">
        <is>
          <t>GN803 .O94 1997</t>
        </is>
      </c>
      <c r="C975" t="inlineStr">
        <is>
          <t>0                      GN 0803000O  94          1997</t>
        </is>
      </c>
      <c r="D975" t="inlineStr">
        <is>
          <t>Prehistoric Europe : an illustrated history / edited by Barry Cunliffe.</t>
        </is>
      </c>
      <c r="F975" t="inlineStr">
        <is>
          <t>No</t>
        </is>
      </c>
      <c r="G975" t="inlineStr">
        <is>
          <t>1</t>
        </is>
      </c>
      <c r="H975" t="inlineStr">
        <is>
          <t>No</t>
        </is>
      </c>
      <c r="I975" t="inlineStr">
        <is>
          <t>No</t>
        </is>
      </c>
      <c r="J975" t="inlineStr">
        <is>
          <t>0</t>
        </is>
      </c>
      <c r="K975" t="inlineStr">
        <is>
          <t>Oxford illustrated prehistory of Europe.</t>
        </is>
      </c>
      <c r="L975" t="inlineStr">
        <is>
          <t>Oxford ; New York : Oxford University Press, 1997, c1994</t>
        </is>
      </c>
      <c r="M975" t="inlineStr">
        <is>
          <t>1997</t>
        </is>
      </c>
      <c r="O975" t="inlineStr">
        <is>
          <t>eng</t>
        </is>
      </c>
      <c r="P975" t="inlineStr">
        <is>
          <t>enk</t>
        </is>
      </c>
      <c r="R975" t="inlineStr">
        <is>
          <t xml:space="preserve">GN </t>
        </is>
      </c>
      <c r="S975" t="n">
        <v>5</v>
      </c>
      <c r="T975" t="n">
        <v>5</v>
      </c>
      <c r="U975" t="inlineStr">
        <is>
          <t>1999-02-24</t>
        </is>
      </c>
      <c r="V975" t="inlineStr">
        <is>
          <t>1999-02-24</t>
        </is>
      </c>
      <c r="W975" t="inlineStr">
        <is>
          <t>1999-02-11</t>
        </is>
      </c>
      <c r="X975" t="inlineStr">
        <is>
          <t>1999-02-11</t>
        </is>
      </c>
      <c r="Y975" t="n">
        <v>176</v>
      </c>
      <c r="Z975" t="n">
        <v>116</v>
      </c>
      <c r="AA975" t="n">
        <v>143</v>
      </c>
      <c r="AB975" t="n">
        <v>1</v>
      </c>
      <c r="AC975" t="n">
        <v>1</v>
      </c>
      <c r="AD975" t="n">
        <v>1</v>
      </c>
      <c r="AE975" t="n">
        <v>2</v>
      </c>
      <c r="AF975" t="n">
        <v>0</v>
      </c>
      <c r="AG975" t="n">
        <v>0</v>
      </c>
      <c r="AH975" t="n">
        <v>0</v>
      </c>
      <c r="AI975" t="n">
        <v>1</v>
      </c>
      <c r="AJ975" t="n">
        <v>1</v>
      </c>
      <c r="AK975" t="n">
        <v>2</v>
      </c>
      <c r="AL975" t="n">
        <v>0</v>
      </c>
      <c r="AM975" t="n">
        <v>0</v>
      </c>
      <c r="AN975" t="n">
        <v>0</v>
      </c>
      <c r="AO975" t="n">
        <v>0</v>
      </c>
      <c r="AP975" t="inlineStr">
        <is>
          <t>No</t>
        </is>
      </c>
      <c r="AQ975" t="inlineStr">
        <is>
          <t>Yes</t>
        </is>
      </c>
      <c r="AR975">
        <f>HYPERLINK("http://catalog.hathitrust.org/Record/012267037","HathiTrust Record")</f>
        <v/>
      </c>
      <c r="AS975">
        <f>HYPERLINK("https://creighton-primo.hosted.exlibrisgroup.com/primo-explore/search?tab=default_tab&amp;search_scope=EVERYTHING&amp;vid=01CRU&amp;lang=en_US&amp;offset=0&amp;query=any,contains,991002874809702656","Catalog Record")</f>
        <v/>
      </c>
      <c r="AT975">
        <f>HYPERLINK("http://www.worldcat.org/oclc/37884753","WorldCat Record")</f>
        <v/>
      </c>
      <c r="AU975" t="inlineStr">
        <is>
          <t>4202357323:eng</t>
        </is>
      </c>
      <c r="AV975" t="inlineStr">
        <is>
          <t>37884753</t>
        </is>
      </c>
      <c r="AW975" t="inlineStr">
        <is>
          <t>991002874809702656</t>
        </is>
      </c>
      <c r="AX975" t="inlineStr">
        <is>
          <t>991002874809702656</t>
        </is>
      </c>
      <c r="AY975" t="inlineStr">
        <is>
          <t>2267090180002656</t>
        </is>
      </c>
      <c r="AZ975" t="inlineStr">
        <is>
          <t>BOOK</t>
        </is>
      </c>
      <c r="BB975" t="inlineStr">
        <is>
          <t>9780192880635</t>
        </is>
      </c>
      <c r="BC975" t="inlineStr">
        <is>
          <t>32285003519302</t>
        </is>
      </c>
      <c r="BD975" t="inlineStr">
        <is>
          <t>893805169</t>
        </is>
      </c>
    </row>
    <row r="976">
      <c r="A976" t="inlineStr">
        <is>
          <t>No</t>
        </is>
      </c>
      <c r="B976" t="inlineStr">
        <is>
          <t>GN805 .D25 1987b</t>
        </is>
      </c>
      <c r="C976" t="inlineStr">
        <is>
          <t>0                      GN 0805000D  25          1987b</t>
        </is>
      </c>
      <c r="D976" t="inlineStr">
        <is>
          <t>Prehistoric Britain / Timothy Darvill.</t>
        </is>
      </c>
      <c r="F976" t="inlineStr">
        <is>
          <t>No</t>
        </is>
      </c>
      <c r="G976" t="inlineStr">
        <is>
          <t>1</t>
        </is>
      </c>
      <c r="H976" t="inlineStr">
        <is>
          <t>No</t>
        </is>
      </c>
      <c r="I976" t="inlineStr">
        <is>
          <t>No</t>
        </is>
      </c>
      <c r="J976" t="inlineStr">
        <is>
          <t>0</t>
        </is>
      </c>
      <c r="K976" t="inlineStr">
        <is>
          <t>Darvill, Timothy.</t>
        </is>
      </c>
      <c r="L976" t="inlineStr">
        <is>
          <t>London : Batsford, 1987.</t>
        </is>
      </c>
      <c r="M976" t="inlineStr">
        <is>
          <t>1987</t>
        </is>
      </c>
      <c r="O976" t="inlineStr">
        <is>
          <t>eng</t>
        </is>
      </c>
      <c r="P976" t="inlineStr">
        <is>
          <t>enk</t>
        </is>
      </c>
      <c r="R976" t="inlineStr">
        <is>
          <t xml:space="preserve">GN </t>
        </is>
      </c>
      <c r="S976" t="n">
        <v>2</v>
      </c>
      <c r="T976" t="n">
        <v>2</v>
      </c>
      <c r="U976" t="inlineStr">
        <is>
          <t>1995-02-19</t>
        </is>
      </c>
      <c r="V976" t="inlineStr">
        <is>
          <t>1995-02-19</t>
        </is>
      </c>
      <c r="W976" t="inlineStr">
        <is>
          <t>1990-10-01</t>
        </is>
      </c>
      <c r="X976" t="inlineStr">
        <is>
          <t>1990-10-01</t>
        </is>
      </c>
      <c r="Y976" t="n">
        <v>141</v>
      </c>
      <c r="Z976" t="n">
        <v>34</v>
      </c>
      <c r="AA976" t="n">
        <v>772</v>
      </c>
      <c r="AB976" t="n">
        <v>1</v>
      </c>
      <c r="AC976" t="n">
        <v>6</v>
      </c>
      <c r="AD976" t="n">
        <v>0</v>
      </c>
      <c r="AE976" t="n">
        <v>32</v>
      </c>
      <c r="AF976" t="n">
        <v>0</v>
      </c>
      <c r="AG976" t="n">
        <v>11</v>
      </c>
      <c r="AH976" t="n">
        <v>0</v>
      </c>
      <c r="AI976" t="n">
        <v>9</v>
      </c>
      <c r="AJ976" t="n">
        <v>0</v>
      </c>
      <c r="AK976" t="n">
        <v>15</v>
      </c>
      <c r="AL976" t="n">
        <v>0</v>
      </c>
      <c r="AM976" t="n">
        <v>4</v>
      </c>
      <c r="AN976" t="n">
        <v>0</v>
      </c>
      <c r="AO976" t="n">
        <v>1</v>
      </c>
      <c r="AP976" t="inlineStr">
        <is>
          <t>No</t>
        </is>
      </c>
      <c r="AQ976" t="inlineStr">
        <is>
          <t>Yes</t>
        </is>
      </c>
      <c r="AR976">
        <f>HYPERLINK("http://catalog.hathitrust.org/Record/009444213","HathiTrust Record")</f>
        <v/>
      </c>
      <c r="AS976">
        <f>HYPERLINK("https://creighton-primo.hosted.exlibrisgroup.com/primo-explore/search?tab=default_tab&amp;search_scope=EVERYTHING&amp;vid=01CRU&amp;lang=en_US&amp;offset=0&amp;query=any,contains,991000987789702656","Catalog Record")</f>
        <v/>
      </c>
      <c r="AT976">
        <f>HYPERLINK("http://www.worldcat.org/oclc/15083904","WorldCat Record")</f>
        <v/>
      </c>
      <c r="AU976" t="inlineStr">
        <is>
          <t>9069269:eng</t>
        </is>
      </c>
      <c r="AV976" t="inlineStr">
        <is>
          <t>15083904</t>
        </is>
      </c>
      <c r="AW976" t="inlineStr">
        <is>
          <t>991000987789702656</t>
        </is>
      </c>
      <c r="AX976" t="inlineStr">
        <is>
          <t>991000987789702656</t>
        </is>
      </c>
      <c r="AY976" t="inlineStr">
        <is>
          <t>2257739260002656</t>
        </is>
      </c>
      <c r="AZ976" t="inlineStr">
        <is>
          <t>BOOK</t>
        </is>
      </c>
      <c r="BB976" t="inlineStr">
        <is>
          <t>9780713451801</t>
        </is>
      </c>
      <c r="BC976" t="inlineStr">
        <is>
          <t>32285000317700</t>
        </is>
      </c>
      <c r="BD976" t="inlineStr">
        <is>
          <t>893340070</t>
        </is>
      </c>
    </row>
    <row r="977">
      <c r="A977" t="inlineStr">
        <is>
          <t>No</t>
        </is>
      </c>
      <c r="B977" t="inlineStr">
        <is>
          <t>GN805 .M5</t>
        </is>
      </c>
      <c r="C977" t="inlineStr">
        <is>
          <t>0                      GN 0805000M  5</t>
        </is>
      </c>
      <c r="D977" t="inlineStr">
        <is>
          <t>Introduction to British prehistory : from the arrival of homo sapiens to the Claudian invasion / J.V.S. Megaw and D.D.A. Simpson ; with contributions from T.C. Champion [et al.] ; line illustrations by MornaMacGregor.</t>
        </is>
      </c>
      <c r="F977" t="inlineStr">
        <is>
          <t>No</t>
        </is>
      </c>
      <c r="G977" t="inlineStr">
        <is>
          <t>1</t>
        </is>
      </c>
      <c r="H977" t="inlineStr">
        <is>
          <t>No</t>
        </is>
      </c>
      <c r="I977" t="inlineStr">
        <is>
          <t>No</t>
        </is>
      </c>
      <c r="J977" t="inlineStr">
        <is>
          <t>0</t>
        </is>
      </c>
      <c r="K977" t="inlineStr">
        <is>
          <t>Megaw, J. V. S.</t>
        </is>
      </c>
      <c r="L977" t="inlineStr">
        <is>
          <t>[Leicester] : Leicester University Press, 1979.</t>
        </is>
      </c>
      <c r="M977" t="inlineStr">
        <is>
          <t>1979</t>
        </is>
      </c>
      <c r="O977" t="inlineStr">
        <is>
          <t>eng</t>
        </is>
      </c>
      <c r="P977" t="inlineStr">
        <is>
          <t>enk</t>
        </is>
      </c>
      <c r="R977" t="inlineStr">
        <is>
          <t xml:space="preserve">GN </t>
        </is>
      </c>
      <c r="S977" t="n">
        <v>2</v>
      </c>
      <c r="T977" t="n">
        <v>2</v>
      </c>
      <c r="U977" t="inlineStr">
        <is>
          <t>2005-03-02</t>
        </is>
      </c>
      <c r="V977" t="inlineStr">
        <is>
          <t>2005-03-02</t>
        </is>
      </c>
      <c r="W977" t="inlineStr">
        <is>
          <t>1990-10-01</t>
        </is>
      </c>
      <c r="X977" t="inlineStr">
        <is>
          <t>1990-10-01</t>
        </is>
      </c>
      <c r="Y977" t="n">
        <v>266</v>
      </c>
      <c r="Z977" t="n">
        <v>122</v>
      </c>
      <c r="AA977" t="n">
        <v>166</v>
      </c>
      <c r="AB977" t="n">
        <v>2</v>
      </c>
      <c r="AC977" t="n">
        <v>2</v>
      </c>
      <c r="AD977" t="n">
        <v>3</v>
      </c>
      <c r="AE977" t="n">
        <v>4</v>
      </c>
      <c r="AF977" t="n">
        <v>0</v>
      </c>
      <c r="AG977" t="n">
        <v>0</v>
      </c>
      <c r="AH977" t="n">
        <v>1</v>
      </c>
      <c r="AI977" t="n">
        <v>1</v>
      </c>
      <c r="AJ977" t="n">
        <v>2</v>
      </c>
      <c r="AK977" t="n">
        <v>3</v>
      </c>
      <c r="AL977" t="n">
        <v>1</v>
      </c>
      <c r="AM977" t="n">
        <v>1</v>
      </c>
      <c r="AN977" t="n">
        <v>0</v>
      </c>
      <c r="AO977" t="n">
        <v>0</v>
      </c>
      <c r="AP977" t="inlineStr">
        <is>
          <t>No</t>
        </is>
      </c>
      <c r="AQ977" t="inlineStr">
        <is>
          <t>Yes</t>
        </is>
      </c>
      <c r="AR977">
        <f>HYPERLINK("http://catalog.hathitrust.org/Record/000713132","HathiTrust Record")</f>
        <v/>
      </c>
      <c r="AS977">
        <f>HYPERLINK("https://creighton-primo.hosted.exlibrisgroup.com/primo-explore/search?tab=default_tab&amp;search_scope=EVERYTHING&amp;vid=01CRU&amp;lang=en_US&amp;offset=0&amp;query=any,contains,991004923939702656","Catalog Record")</f>
        <v/>
      </c>
      <c r="AT977">
        <f>HYPERLINK("http://www.worldcat.org/oclc/6761569","WorldCat Record")</f>
        <v/>
      </c>
      <c r="AU977" t="inlineStr">
        <is>
          <t>23831064:eng</t>
        </is>
      </c>
      <c r="AV977" t="inlineStr">
        <is>
          <t>6761569</t>
        </is>
      </c>
      <c r="AW977" t="inlineStr">
        <is>
          <t>991004923939702656</t>
        </is>
      </c>
      <c r="AX977" t="inlineStr">
        <is>
          <t>991004923939702656</t>
        </is>
      </c>
      <c r="AY977" t="inlineStr">
        <is>
          <t>2268082120002656</t>
        </is>
      </c>
      <c r="AZ977" t="inlineStr">
        <is>
          <t>BOOK</t>
        </is>
      </c>
      <c r="BB977" t="inlineStr">
        <is>
          <t>9780718511227</t>
        </is>
      </c>
      <c r="BC977" t="inlineStr">
        <is>
          <t>32285000317734</t>
        </is>
      </c>
      <c r="BD977" t="inlineStr">
        <is>
          <t>893236060</t>
        </is>
      </c>
    </row>
    <row r="978">
      <c r="A978" t="inlineStr">
        <is>
          <t>No</t>
        </is>
      </c>
      <c r="B978" t="inlineStr">
        <is>
          <t>GN806.5 .C66 1994</t>
        </is>
      </c>
      <c r="C978" t="inlineStr">
        <is>
          <t>0                      GN 0806500C  66          1994</t>
        </is>
      </c>
      <c r="D978" t="inlineStr">
        <is>
          <t>Irish prehistory : a social perspective / Gabriel Cooney, Eoin Grogan.</t>
        </is>
      </c>
      <c r="F978" t="inlineStr">
        <is>
          <t>No</t>
        </is>
      </c>
      <c r="G978" t="inlineStr">
        <is>
          <t>1</t>
        </is>
      </c>
      <c r="H978" t="inlineStr">
        <is>
          <t>No</t>
        </is>
      </c>
      <c r="I978" t="inlineStr">
        <is>
          <t>No</t>
        </is>
      </c>
      <c r="J978" t="inlineStr">
        <is>
          <t>0</t>
        </is>
      </c>
      <c r="K978" t="inlineStr">
        <is>
          <t>Cooney, Gabriel.</t>
        </is>
      </c>
      <c r="L978" t="inlineStr">
        <is>
          <t>Dublin : Wordwell, 1994.</t>
        </is>
      </c>
      <c r="M978" t="inlineStr">
        <is>
          <t>1994</t>
        </is>
      </c>
      <c r="O978" t="inlineStr">
        <is>
          <t>eng</t>
        </is>
      </c>
      <c r="P978" t="inlineStr">
        <is>
          <t xml:space="preserve">ie </t>
        </is>
      </c>
      <c r="R978" t="inlineStr">
        <is>
          <t xml:space="preserve">GN </t>
        </is>
      </c>
      <c r="S978" t="n">
        <v>0</v>
      </c>
      <c r="T978" t="n">
        <v>0</v>
      </c>
      <c r="U978" t="inlineStr">
        <is>
          <t>2002-09-30</t>
        </is>
      </c>
      <c r="V978" t="inlineStr">
        <is>
          <t>2002-09-30</t>
        </is>
      </c>
      <c r="W978" t="inlineStr">
        <is>
          <t>1996-02-29</t>
        </is>
      </c>
      <c r="X978" t="inlineStr">
        <is>
          <t>1996-02-29</t>
        </is>
      </c>
      <c r="Y978" t="n">
        <v>114</v>
      </c>
      <c r="Z978" t="n">
        <v>54</v>
      </c>
      <c r="AA978" t="n">
        <v>68</v>
      </c>
      <c r="AB978" t="n">
        <v>1</v>
      </c>
      <c r="AC978" t="n">
        <v>1</v>
      </c>
      <c r="AD978" t="n">
        <v>4</v>
      </c>
      <c r="AE978" t="n">
        <v>4</v>
      </c>
      <c r="AF978" t="n">
        <v>0</v>
      </c>
      <c r="AG978" t="n">
        <v>0</v>
      </c>
      <c r="AH978" t="n">
        <v>3</v>
      </c>
      <c r="AI978" t="n">
        <v>3</v>
      </c>
      <c r="AJ978" t="n">
        <v>2</v>
      </c>
      <c r="AK978" t="n">
        <v>2</v>
      </c>
      <c r="AL978" t="n">
        <v>0</v>
      </c>
      <c r="AM978" t="n">
        <v>0</v>
      </c>
      <c r="AN978" t="n">
        <v>0</v>
      </c>
      <c r="AO978" t="n">
        <v>0</v>
      </c>
      <c r="AP978" t="inlineStr">
        <is>
          <t>No</t>
        </is>
      </c>
      <c r="AQ978" t="inlineStr">
        <is>
          <t>Yes</t>
        </is>
      </c>
      <c r="AR978">
        <f>HYPERLINK("http://catalog.hathitrust.org/Record/002999676","HathiTrust Record")</f>
        <v/>
      </c>
      <c r="AS978">
        <f>HYPERLINK("https://creighton-primo.hosted.exlibrisgroup.com/primo-explore/search?tab=default_tab&amp;search_scope=EVERYTHING&amp;vid=01CRU&amp;lang=en_US&amp;offset=0&amp;query=any,contains,991002502619702656","Catalog Record")</f>
        <v/>
      </c>
      <c r="AT978">
        <f>HYPERLINK("http://www.worldcat.org/oclc/32550027","WorldCat Record")</f>
        <v/>
      </c>
      <c r="AU978" t="inlineStr">
        <is>
          <t>34020315:eng</t>
        </is>
      </c>
      <c r="AV978" t="inlineStr">
        <is>
          <t>32550027</t>
        </is>
      </c>
      <c r="AW978" t="inlineStr">
        <is>
          <t>991002502619702656</t>
        </is>
      </c>
      <c r="AX978" t="inlineStr">
        <is>
          <t>991002502619702656</t>
        </is>
      </c>
      <c r="AY978" t="inlineStr">
        <is>
          <t>2271017680002656</t>
        </is>
      </c>
      <c r="AZ978" t="inlineStr">
        <is>
          <t>BOOK</t>
        </is>
      </c>
      <c r="BB978" t="inlineStr">
        <is>
          <t>9781869857110</t>
        </is>
      </c>
      <c r="BC978" t="inlineStr">
        <is>
          <t>32285002138674</t>
        </is>
      </c>
      <c r="BD978" t="inlineStr">
        <is>
          <t>893504463</t>
        </is>
      </c>
    </row>
    <row r="979">
      <c r="A979" t="inlineStr">
        <is>
          <t>No</t>
        </is>
      </c>
      <c r="B979" t="inlineStr">
        <is>
          <t>GN848 .A73 2005</t>
        </is>
      </c>
      <c r="C979" t="inlineStr">
        <is>
          <t>0                      GN 0848000A  73          2005</t>
        </is>
      </c>
      <c r="D979" t="inlineStr">
        <is>
          <t>The archaeology of Mediterranean prehistory / edited by Emma Blake and A. Bernard Knapp.</t>
        </is>
      </c>
      <c r="F979" t="inlineStr">
        <is>
          <t>No</t>
        </is>
      </c>
      <c r="G979" t="inlineStr">
        <is>
          <t>1</t>
        </is>
      </c>
      <c r="H979" t="inlineStr">
        <is>
          <t>No</t>
        </is>
      </c>
      <c r="I979" t="inlineStr">
        <is>
          <t>No</t>
        </is>
      </c>
      <c r="J979" t="inlineStr">
        <is>
          <t>0</t>
        </is>
      </c>
      <c r="L979" t="inlineStr">
        <is>
          <t>Malden, MA : Blackwell Pub., 2005.</t>
        </is>
      </c>
      <c r="M979" t="inlineStr">
        <is>
          <t>2005</t>
        </is>
      </c>
      <c r="O979" t="inlineStr">
        <is>
          <t>eng</t>
        </is>
      </c>
      <c r="P979" t="inlineStr">
        <is>
          <t>mau</t>
        </is>
      </c>
      <c r="Q979" t="inlineStr">
        <is>
          <t>Blackwell studies in global archaeology ; 6</t>
        </is>
      </c>
      <c r="R979" t="inlineStr">
        <is>
          <t xml:space="preserve">GN </t>
        </is>
      </c>
      <c r="S979" t="n">
        <v>2</v>
      </c>
      <c r="T979" t="n">
        <v>2</v>
      </c>
      <c r="U979" t="inlineStr">
        <is>
          <t>2010-02-01</t>
        </is>
      </c>
      <c r="V979" t="inlineStr">
        <is>
          <t>2010-02-01</t>
        </is>
      </c>
      <c r="W979" t="inlineStr">
        <is>
          <t>2010-01-21</t>
        </is>
      </c>
      <c r="X979" t="inlineStr">
        <is>
          <t>2010-01-21</t>
        </is>
      </c>
      <c r="Y979" t="n">
        <v>307</v>
      </c>
      <c r="Z979" t="n">
        <v>207</v>
      </c>
      <c r="AA979" t="n">
        <v>601</v>
      </c>
      <c r="AB979" t="n">
        <v>3</v>
      </c>
      <c r="AC979" t="n">
        <v>6</v>
      </c>
      <c r="AD979" t="n">
        <v>9</v>
      </c>
      <c r="AE979" t="n">
        <v>31</v>
      </c>
      <c r="AF979" t="n">
        <v>2</v>
      </c>
      <c r="AG979" t="n">
        <v>11</v>
      </c>
      <c r="AH979" t="n">
        <v>3</v>
      </c>
      <c r="AI979" t="n">
        <v>8</v>
      </c>
      <c r="AJ979" t="n">
        <v>5</v>
      </c>
      <c r="AK979" t="n">
        <v>12</v>
      </c>
      <c r="AL979" t="n">
        <v>2</v>
      </c>
      <c r="AM979" t="n">
        <v>5</v>
      </c>
      <c r="AN979" t="n">
        <v>0</v>
      </c>
      <c r="AO979" t="n">
        <v>1</v>
      </c>
      <c r="AP979" t="inlineStr">
        <is>
          <t>No</t>
        </is>
      </c>
      <c r="AQ979" t="inlineStr">
        <is>
          <t>No</t>
        </is>
      </c>
      <c r="AS979">
        <f>HYPERLINK("https://creighton-primo.hosted.exlibrisgroup.com/primo-explore/search?tab=default_tab&amp;search_scope=EVERYTHING&amp;vid=01CRU&amp;lang=en_US&amp;offset=0&amp;query=any,contains,991005350679702656","Catalog Record")</f>
        <v/>
      </c>
      <c r="AT979">
        <f>HYPERLINK("http://www.worldcat.org/oclc/55729808","WorldCat Record")</f>
        <v/>
      </c>
      <c r="AU979" t="inlineStr">
        <is>
          <t>866843688:eng</t>
        </is>
      </c>
      <c r="AV979" t="inlineStr">
        <is>
          <t>55729808</t>
        </is>
      </c>
      <c r="AW979" t="inlineStr">
        <is>
          <t>991005350679702656</t>
        </is>
      </c>
      <c r="AX979" t="inlineStr">
        <is>
          <t>991005350679702656</t>
        </is>
      </c>
      <c r="AY979" t="inlineStr">
        <is>
          <t>2271947170002656</t>
        </is>
      </c>
      <c r="AZ979" t="inlineStr">
        <is>
          <t>BOOK</t>
        </is>
      </c>
      <c r="BB979" t="inlineStr">
        <is>
          <t>9780631231837</t>
        </is>
      </c>
      <c r="BC979" t="inlineStr">
        <is>
          <t>32285005558910</t>
        </is>
      </c>
      <c r="BD979" t="inlineStr">
        <is>
          <t>893437562</t>
        </is>
      </c>
    </row>
    <row r="980">
      <c r="A980" t="inlineStr">
        <is>
          <t>No</t>
        </is>
      </c>
      <c r="B980" t="inlineStr">
        <is>
          <t>GN855.E3 M53 2000</t>
        </is>
      </c>
      <c r="C980" t="inlineStr">
        <is>
          <t>0                      GN 0855000E  3                  M  53          2000</t>
        </is>
      </c>
      <c r="D980" t="inlineStr">
        <is>
          <t>The prehistory of Egypt : from the first Egyptians to the first pharaohs / Béatrix Midant-Reynes ; translated by Ian Shaw ; preface by Jean Leclant.</t>
        </is>
      </c>
      <c r="F980" t="inlineStr">
        <is>
          <t>No</t>
        </is>
      </c>
      <c r="G980" t="inlineStr">
        <is>
          <t>1</t>
        </is>
      </c>
      <c r="H980" t="inlineStr">
        <is>
          <t>No</t>
        </is>
      </c>
      <c r="I980" t="inlineStr">
        <is>
          <t>No</t>
        </is>
      </c>
      <c r="J980" t="inlineStr">
        <is>
          <t>0</t>
        </is>
      </c>
      <c r="K980" t="inlineStr">
        <is>
          <t>Midant-Reynes, Béatrix.</t>
        </is>
      </c>
      <c r="L980" t="inlineStr">
        <is>
          <t>Oxford ; Malden, Mass. : Blackwell Publishers, 2000.</t>
        </is>
      </c>
      <c r="M980" t="inlineStr">
        <is>
          <t>2000</t>
        </is>
      </c>
      <c r="O980" t="inlineStr">
        <is>
          <t>eng</t>
        </is>
      </c>
      <c r="P980" t="inlineStr">
        <is>
          <t>enk</t>
        </is>
      </c>
      <c r="R980" t="inlineStr">
        <is>
          <t xml:space="preserve">GN </t>
        </is>
      </c>
      <c r="S980" t="n">
        <v>5</v>
      </c>
      <c r="T980" t="n">
        <v>5</v>
      </c>
      <c r="U980" t="inlineStr">
        <is>
          <t>2000-03-01</t>
        </is>
      </c>
      <c r="V980" t="inlineStr">
        <is>
          <t>2000-03-01</t>
        </is>
      </c>
      <c r="W980" t="inlineStr">
        <is>
          <t>2000-02-23</t>
        </is>
      </c>
      <c r="X980" t="inlineStr">
        <is>
          <t>2000-02-23</t>
        </is>
      </c>
      <c r="Y980" t="n">
        <v>306</v>
      </c>
      <c r="Z980" t="n">
        <v>238</v>
      </c>
      <c r="AA980" t="n">
        <v>254</v>
      </c>
      <c r="AB980" t="n">
        <v>3</v>
      </c>
      <c r="AC980" t="n">
        <v>3</v>
      </c>
      <c r="AD980" t="n">
        <v>12</v>
      </c>
      <c r="AE980" t="n">
        <v>12</v>
      </c>
      <c r="AF980" t="n">
        <v>2</v>
      </c>
      <c r="AG980" t="n">
        <v>2</v>
      </c>
      <c r="AH980" t="n">
        <v>4</v>
      </c>
      <c r="AI980" t="n">
        <v>4</v>
      </c>
      <c r="AJ980" t="n">
        <v>6</v>
      </c>
      <c r="AK980" t="n">
        <v>6</v>
      </c>
      <c r="AL980" t="n">
        <v>2</v>
      </c>
      <c r="AM980" t="n">
        <v>2</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HYPERLINK("https://creighton-primo.hosted.exlibrisgroup.com/primo-explore/search?tab=default_tab&amp;search_scope=EVERYTHING&amp;vid=01CRU&amp;lang=en_US&amp;offset=0&amp;query=any,contains,991003035109702656","Catalog Record")</f>
        <v/>
      </c>
      <c r="AT980">
        <f>HYPERLINK("http://www.worldcat.org/oclc/41641272","WorldCat Record")</f>
        <v/>
      </c>
      <c r="AU980" t="inlineStr">
        <is>
          <t>916264:eng</t>
        </is>
      </c>
      <c r="AV980" t="inlineStr">
        <is>
          <t>41641272</t>
        </is>
      </c>
      <c r="AW980" t="inlineStr">
        <is>
          <t>991003035109702656</t>
        </is>
      </c>
      <c r="AX980" t="inlineStr">
        <is>
          <t>991003035109702656</t>
        </is>
      </c>
      <c r="AY980" t="inlineStr">
        <is>
          <t>2263546950002656</t>
        </is>
      </c>
      <c r="AZ980" t="inlineStr">
        <is>
          <t>BOOK</t>
        </is>
      </c>
      <c r="BB980" t="inlineStr">
        <is>
          <t>9780631201694</t>
        </is>
      </c>
      <c r="BC980" t="inlineStr">
        <is>
          <t>32285003663860</t>
        </is>
      </c>
      <c r="BD980" t="inlineStr">
        <is>
          <t>893227612</t>
        </is>
      </c>
    </row>
    <row r="981">
      <c r="A981" t="inlineStr">
        <is>
          <t>No</t>
        </is>
      </c>
      <c r="B981" t="inlineStr">
        <is>
          <t>GN871 .B44 1979</t>
        </is>
      </c>
      <c r="C981" t="inlineStr">
        <is>
          <t>0                      GN 0871000B  44          1979</t>
        </is>
      </c>
      <c r="D981" t="inlineStr">
        <is>
          <t>Man's conquest of the Pacific : the prehistory of Southeast Asia and Oceania / Peter Bellwood.</t>
        </is>
      </c>
      <c r="F981" t="inlineStr">
        <is>
          <t>No</t>
        </is>
      </c>
      <c r="G981" t="inlineStr">
        <is>
          <t>1</t>
        </is>
      </c>
      <c r="H981" t="inlineStr">
        <is>
          <t>No</t>
        </is>
      </c>
      <c r="I981" t="inlineStr">
        <is>
          <t>No</t>
        </is>
      </c>
      <c r="J981" t="inlineStr">
        <is>
          <t>0</t>
        </is>
      </c>
      <c r="K981" t="inlineStr">
        <is>
          <t>Bellwood, Peter S.</t>
        </is>
      </c>
      <c r="L981" t="inlineStr">
        <is>
          <t>New York : Oxford University Press, 1979, c1978.</t>
        </is>
      </c>
      <c r="M981" t="inlineStr">
        <is>
          <t>1979</t>
        </is>
      </c>
      <c r="O981" t="inlineStr">
        <is>
          <t>eng</t>
        </is>
      </c>
      <c r="P981" t="inlineStr">
        <is>
          <t>nyu</t>
        </is>
      </c>
      <c r="R981" t="inlineStr">
        <is>
          <t xml:space="preserve">GN </t>
        </is>
      </c>
      <c r="S981" t="n">
        <v>1</v>
      </c>
      <c r="T981" t="n">
        <v>1</v>
      </c>
      <c r="U981" t="inlineStr">
        <is>
          <t>1995-11-06</t>
        </is>
      </c>
      <c r="V981" t="inlineStr">
        <is>
          <t>1995-11-06</t>
        </is>
      </c>
      <c r="W981" t="inlineStr">
        <is>
          <t>1990-10-01</t>
        </is>
      </c>
      <c r="X981" t="inlineStr">
        <is>
          <t>1990-10-01</t>
        </is>
      </c>
      <c r="Y981" t="n">
        <v>711</v>
      </c>
      <c r="Z981" t="n">
        <v>634</v>
      </c>
      <c r="AA981" t="n">
        <v>646</v>
      </c>
      <c r="AB981" t="n">
        <v>6</v>
      </c>
      <c r="AC981" t="n">
        <v>6</v>
      </c>
      <c r="AD981" t="n">
        <v>18</v>
      </c>
      <c r="AE981" t="n">
        <v>18</v>
      </c>
      <c r="AF981" t="n">
        <v>6</v>
      </c>
      <c r="AG981" t="n">
        <v>6</v>
      </c>
      <c r="AH981" t="n">
        <v>5</v>
      </c>
      <c r="AI981" t="n">
        <v>5</v>
      </c>
      <c r="AJ981" t="n">
        <v>9</v>
      </c>
      <c r="AK981" t="n">
        <v>9</v>
      </c>
      <c r="AL981" t="n">
        <v>3</v>
      </c>
      <c r="AM981" t="n">
        <v>3</v>
      </c>
      <c r="AN981" t="n">
        <v>0</v>
      </c>
      <c r="AO981" t="n">
        <v>0</v>
      </c>
      <c r="AP981" t="inlineStr">
        <is>
          <t>No</t>
        </is>
      </c>
      <c r="AQ981" t="inlineStr">
        <is>
          <t>Yes</t>
        </is>
      </c>
      <c r="AR981">
        <f>HYPERLINK("http://catalog.hathitrust.org/Record/000038111","HathiTrust Record")</f>
        <v/>
      </c>
      <c r="AS981">
        <f>HYPERLINK("https://creighton-primo.hosted.exlibrisgroup.com/primo-explore/search?tab=default_tab&amp;search_scope=EVERYTHING&amp;vid=01CRU&amp;lang=en_US&amp;offset=0&amp;query=any,contains,991004706299702656","Catalog Record")</f>
        <v/>
      </c>
      <c r="AT981">
        <f>HYPERLINK("http://www.worldcat.org/oclc/4716799","WorldCat Record")</f>
        <v/>
      </c>
      <c r="AU981" t="inlineStr">
        <is>
          <t>326979631:eng</t>
        </is>
      </c>
      <c r="AV981" t="inlineStr">
        <is>
          <t>4716799</t>
        </is>
      </c>
      <c r="AW981" t="inlineStr">
        <is>
          <t>991004706299702656</t>
        </is>
      </c>
      <c r="AX981" t="inlineStr">
        <is>
          <t>991004706299702656</t>
        </is>
      </c>
      <c r="AY981" t="inlineStr">
        <is>
          <t>2258608570002656</t>
        </is>
      </c>
      <c r="AZ981" t="inlineStr">
        <is>
          <t>BOOK</t>
        </is>
      </c>
      <c r="BB981" t="inlineStr">
        <is>
          <t>9780195201031</t>
        </is>
      </c>
      <c r="BC981" t="inlineStr">
        <is>
          <t>32285000317791</t>
        </is>
      </c>
      <c r="BD981" t="inlineStr">
        <is>
          <t>893593998</t>
        </is>
      </c>
    </row>
    <row r="982">
      <c r="A982" t="inlineStr">
        <is>
          <t>No</t>
        </is>
      </c>
      <c r="B982" t="inlineStr">
        <is>
          <t>GR1 .A5 v.54</t>
        </is>
      </c>
      <c r="C982" t="inlineStr">
        <is>
          <t>0                      GR 0001000A  5                                                       v.54</t>
        </is>
      </c>
      <c r="D982" t="inlineStr">
        <is>
          <t>Country music U.S.A.; a fifty-year history, by Bill C. Malone.</t>
        </is>
      </c>
      <c r="E982" t="inlineStr">
        <is>
          <t>V.54</t>
        </is>
      </c>
      <c r="F982" t="inlineStr">
        <is>
          <t>No</t>
        </is>
      </c>
      <c r="G982" t="inlineStr">
        <is>
          <t>1</t>
        </is>
      </c>
      <c r="H982" t="inlineStr">
        <is>
          <t>No</t>
        </is>
      </c>
      <c r="I982" t="inlineStr">
        <is>
          <t>No</t>
        </is>
      </c>
      <c r="J982" t="inlineStr">
        <is>
          <t>0</t>
        </is>
      </c>
      <c r="K982" t="inlineStr">
        <is>
          <t>Malone, Bill C.</t>
        </is>
      </c>
      <c r="L982" t="inlineStr">
        <is>
          <t>Austin, published for the American Folklore Society by the University of Texas Press [c1968]</t>
        </is>
      </c>
      <c r="M982" t="inlineStr">
        <is>
          <t>1968</t>
        </is>
      </c>
      <c r="O982" t="inlineStr">
        <is>
          <t>eng</t>
        </is>
      </c>
      <c r="P982" t="inlineStr">
        <is>
          <t>txu</t>
        </is>
      </c>
      <c r="Q982" t="inlineStr">
        <is>
          <t>Publications of the American Folklore Society. Memoir series ; v. 54</t>
        </is>
      </c>
      <c r="R982" t="inlineStr">
        <is>
          <t xml:space="preserve">GR </t>
        </is>
      </c>
      <c r="S982" t="n">
        <v>2</v>
      </c>
      <c r="T982" t="n">
        <v>2</v>
      </c>
      <c r="U982" t="inlineStr">
        <is>
          <t>1999-10-24</t>
        </is>
      </c>
      <c r="V982" t="inlineStr">
        <is>
          <t>1999-10-24</t>
        </is>
      </c>
      <c r="W982" t="inlineStr">
        <is>
          <t>1997-05-29</t>
        </is>
      </c>
      <c r="X982" t="inlineStr">
        <is>
          <t>1997-05-29</t>
        </is>
      </c>
      <c r="Y982" t="n">
        <v>1420</v>
      </c>
      <c r="Z982" t="n">
        <v>1314</v>
      </c>
      <c r="AA982" t="n">
        <v>1324</v>
      </c>
      <c r="AB982" t="n">
        <v>9</v>
      </c>
      <c r="AC982" t="n">
        <v>9</v>
      </c>
      <c r="AD982" t="n">
        <v>34</v>
      </c>
      <c r="AE982" t="n">
        <v>34</v>
      </c>
      <c r="AF982" t="n">
        <v>13</v>
      </c>
      <c r="AG982" t="n">
        <v>13</v>
      </c>
      <c r="AH982" t="n">
        <v>6</v>
      </c>
      <c r="AI982" t="n">
        <v>6</v>
      </c>
      <c r="AJ982" t="n">
        <v>13</v>
      </c>
      <c r="AK982" t="n">
        <v>13</v>
      </c>
      <c r="AL982" t="n">
        <v>7</v>
      </c>
      <c r="AM982" t="n">
        <v>7</v>
      </c>
      <c r="AN982" t="n">
        <v>0</v>
      </c>
      <c r="AO982" t="n">
        <v>0</v>
      </c>
      <c r="AP982" t="inlineStr">
        <is>
          <t>No</t>
        </is>
      </c>
      <c r="AQ982" t="inlineStr">
        <is>
          <t>Yes</t>
        </is>
      </c>
      <c r="AR982">
        <f>HYPERLINK("http://catalog.hathitrust.org/Record/001459093","HathiTrust Record")</f>
        <v/>
      </c>
      <c r="AS982">
        <f>HYPERLINK("https://creighton-primo.hosted.exlibrisgroup.com/primo-explore/search?tab=default_tab&amp;search_scope=EVERYTHING&amp;vid=01CRU&amp;lang=en_US&amp;offset=0&amp;query=any,contains,991005435509702656","Catalog Record")</f>
        <v/>
      </c>
      <c r="AT982">
        <f>HYPERLINK("http://www.worldcat.org/oclc/3515","WorldCat Record")</f>
        <v/>
      </c>
      <c r="AU982" t="inlineStr">
        <is>
          <t>4087468416:eng</t>
        </is>
      </c>
      <c r="AV982" t="inlineStr">
        <is>
          <t>3515</t>
        </is>
      </c>
      <c r="AW982" t="inlineStr">
        <is>
          <t>991005435509702656</t>
        </is>
      </c>
      <c r="AX982" t="inlineStr">
        <is>
          <t>991005435509702656</t>
        </is>
      </c>
      <c r="AY982" t="inlineStr">
        <is>
          <t>2265777490002656</t>
        </is>
      </c>
      <c r="AZ982" t="inlineStr">
        <is>
          <t>BOOK</t>
        </is>
      </c>
      <c r="BB982" t="inlineStr">
        <is>
          <t>9780292783775</t>
        </is>
      </c>
      <c r="BC982" t="inlineStr">
        <is>
          <t>32285002697794</t>
        </is>
      </c>
      <c r="BD982" t="inlineStr">
        <is>
          <t>893905471</t>
        </is>
      </c>
    </row>
    <row r="983">
      <c r="A983" t="inlineStr">
        <is>
          <t>No</t>
        </is>
      </c>
      <c r="B983" t="inlineStr">
        <is>
          <t>GR105 .B715 1999</t>
        </is>
      </c>
      <c r="C983" t="inlineStr">
        <is>
          <t>0                      GR 0105000B  715         1999</t>
        </is>
      </c>
      <c r="D983" t="inlineStr">
        <is>
          <t>Too good to be true : the colossal book of urban legends / Jan Harold Brunvand.</t>
        </is>
      </c>
      <c r="F983" t="inlineStr">
        <is>
          <t>No</t>
        </is>
      </c>
      <c r="G983" t="inlineStr">
        <is>
          <t>1</t>
        </is>
      </c>
      <c r="H983" t="inlineStr">
        <is>
          <t>No</t>
        </is>
      </c>
      <c r="I983" t="inlineStr">
        <is>
          <t>No</t>
        </is>
      </c>
      <c r="J983" t="inlineStr">
        <is>
          <t>0</t>
        </is>
      </c>
      <c r="K983" t="inlineStr">
        <is>
          <t>Brunvand, Jan Harold.</t>
        </is>
      </c>
      <c r="L983" t="inlineStr">
        <is>
          <t>New York : W.W. Norton, c1999.</t>
        </is>
      </c>
      <c r="M983" t="inlineStr">
        <is>
          <t>1999</t>
        </is>
      </c>
      <c r="N983" t="inlineStr">
        <is>
          <t>1st ed.</t>
        </is>
      </c>
      <c r="O983" t="inlineStr">
        <is>
          <t>eng</t>
        </is>
      </c>
      <c r="P983" t="inlineStr">
        <is>
          <t>nyu</t>
        </is>
      </c>
      <c r="R983" t="inlineStr">
        <is>
          <t xml:space="preserve">GR </t>
        </is>
      </c>
      <c r="S983" t="n">
        <v>14</v>
      </c>
      <c r="T983" t="n">
        <v>14</v>
      </c>
      <c r="U983" t="inlineStr">
        <is>
          <t>2004-03-18</t>
        </is>
      </c>
      <c r="V983" t="inlineStr">
        <is>
          <t>2004-03-18</t>
        </is>
      </c>
      <c r="W983" t="inlineStr">
        <is>
          <t>1999-08-12</t>
        </is>
      </c>
      <c r="X983" t="inlineStr">
        <is>
          <t>1999-08-12</t>
        </is>
      </c>
      <c r="Y983" t="n">
        <v>1420</v>
      </c>
      <c r="Z983" t="n">
        <v>1317</v>
      </c>
      <c r="AA983" t="n">
        <v>1601</v>
      </c>
      <c r="AB983" t="n">
        <v>13</v>
      </c>
      <c r="AC983" t="n">
        <v>15</v>
      </c>
      <c r="AD983" t="n">
        <v>26</v>
      </c>
      <c r="AE983" t="n">
        <v>27</v>
      </c>
      <c r="AF983" t="n">
        <v>8</v>
      </c>
      <c r="AG983" t="n">
        <v>8</v>
      </c>
      <c r="AH983" t="n">
        <v>5</v>
      </c>
      <c r="AI983" t="n">
        <v>5</v>
      </c>
      <c r="AJ983" t="n">
        <v>15</v>
      </c>
      <c r="AK983" t="n">
        <v>15</v>
      </c>
      <c r="AL983" t="n">
        <v>6</v>
      </c>
      <c r="AM983" t="n">
        <v>7</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HYPERLINK("https://creighton-primo.hosted.exlibrisgroup.com/primo-explore/search?tab=default_tab&amp;search_scope=EVERYTHING&amp;vid=01CRU&amp;lang=en_US&amp;offset=0&amp;query=any,contains,991003006839702656","Catalog Record")</f>
        <v/>
      </c>
      <c r="AT983">
        <f>HYPERLINK("http://www.worldcat.org/oclc/40762683","WorldCat Record")</f>
        <v/>
      </c>
      <c r="AU983" t="inlineStr">
        <is>
          <t>23752871:eng</t>
        </is>
      </c>
      <c r="AV983" t="inlineStr">
        <is>
          <t>40762683</t>
        </is>
      </c>
      <c r="AW983" t="inlineStr">
        <is>
          <t>991003006839702656</t>
        </is>
      </c>
      <c r="AX983" t="inlineStr">
        <is>
          <t>991003006839702656</t>
        </is>
      </c>
      <c r="AY983" t="inlineStr">
        <is>
          <t>2267104910002656</t>
        </is>
      </c>
      <c r="AZ983" t="inlineStr">
        <is>
          <t>BOOK</t>
        </is>
      </c>
      <c r="BB983" t="inlineStr">
        <is>
          <t>9780393047349</t>
        </is>
      </c>
      <c r="BC983" t="inlineStr">
        <is>
          <t>32285003581567</t>
        </is>
      </c>
      <c r="BD983" t="inlineStr">
        <is>
          <t>893893272</t>
        </is>
      </c>
    </row>
    <row r="984">
      <c r="A984" t="inlineStr">
        <is>
          <t>No</t>
        </is>
      </c>
      <c r="B984" t="inlineStr">
        <is>
          <t>GR105 .B72 1981</t>
        </is>
      </c>
      <c r="C984" t="inlineStr">
        <is>
          <t>0                      GR 0105000B  72          1981</t>
        </is>
      </c>
      <c r="D984" t="inlineStr">
        <is>
          <t>The vanishing hitchhiker : American urban legends and their meanings / Jan Harold Brunvand.</t>
        </is>
      </c>
      <c r="F984" t="inlineStr">
        <is>
          <t>No</t>
        </is>
      </c>
      <c r="G984" t="inlineStr">
        <is>
          <t>1</t>
        </is>
      </c>
      <c r="H984" t="inlineStr">
        <is>
          <t>No</t>
        </is>
      </c>
      <c r="I984" t="inlineStr">
        <is>
          <t>No</t>
        </is>
      </c>
      <c r="J984" t="inlineStr">
        <is>
          <t>0</t>
        </is>
      </c>
      <c r="K984" t="inlineStr">
        <is>
          <t>Brunvand, Jan Harold.</t>
        </is>
      </c>
      <c r="L984" t="inlineStr">
        <is>
          <t>New York : Norton, c1981.</t>
        </is>
      </c>
      <c r="M984" t="inlineStr">
        <is>
          <t>1981</t>
        </is>
      </c>
      <c r="N984" t="inlineStr">
        <is>
          <t>1st ed.</t>
        </is>
      </c>
      <c r="O984" t="inlineStr">
        <is>
          <t>eng</t>
        </is>
      </c>
      <c r="P984" t="inlineStr">
        <is>
          <t>nyu</t>
        </is>
      </c>
      <c r="R984" t="inlineStr">
        <is>
          <t xml:space="preserve">GR </t>
        </is>
      </c>
      <c r="S984" t="n">
        <v>8</v>
      </c>
      <c r="T984" t="n">
        <v>8</v>
      </c>
      <c r="U984" t="inlineStr">
        <is>
          <t>2004-02-24</t>
        </is>
      </c>
      <c r="V984" t="inlineStr">
        <is>
          <t>2004-02-24</t>
        </is>
      </c>
      <c r="W984" t="inlineStr">
        <is>
          <t>1990-10-01</t>
        </is>
      </c>
      <c r="X984" t="inlineStr">
        <is>
          <t>1990-10-01</t>
        </is>
      </c>
      <c r="Y984" t="n">
        <v>1614</v>
      </c>
      <c r="Z984" t="n">
        <v>1458</v>
      </c>
      <c r="AA984" t="n">
        <v>1495</v>
      </c>
      <c r="AB984" t="n">
        <v>12</v>
      </c>
      <c r="AC984" t="n">
        <v>12</v>
      </c>
      <c r="AD984" t="n">
        <v>40</v>
      </c>
      <c r="AE984" t="n">
        <v>41</v>
      </c>
      <c r="AF984" t="n">
        <v>20</v>
      </c>
      <c r="AG984" t="n">
        <v>21</v>
      </c>
      <c r="AH984" t="n">
        <v>8</v>
      </c>
      <c r="AI984" t="n">
        <v>8</v>
      </c>
      <c r="AJ984" t="n">
        <v>19</v>
      </c>
      <c r="AK984" t="n">
        <v>19</v>
      </c>
      <c r="AL984" t="n">
        <v>4</v>
      </c>
      <c r="AM984" t="n">
        <v>4</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HYPERLINK("https://creighton-primo.hosted.exlibrisgroup.com/primo-explore/search?tab=default_tab&amp;search_scope=EVERYTHING&amp;vid=01CRU&amp;lang=en_US&amp;offset=0&amp;query=any,contains,991005099229702656","Catalog Record")</f>
        <v/>
      </c>
      <c r="AT984">
        <f>HYPERLINK("http://www.worldcat.org/oclc/7279335","WorldCat Record")</f>
        <v/>
      </c>
      <c r="AU984" t="inlineStr">
        <is>
          <t>12767905:eng</t>
        </is>
      </c>
      <c r="AV984" t="inlineStr">
        <is>
          <t>7279335</t>
        </is>
      </c>
      <c r="AW984" t="inlineStr">
        <is>
          <t>991005099229702656</t>
        </is>
      </c>
      <c r="AX984" t="inlineStr">
        <is>
          <t>991005099229702656</t>
        </is>
      </c>
      <c r="AY984" t="inlineStr">
        <is>
          <t>2262327920002656</t>
        </is>
      </c>
      <c r="AZ984" t="inlineStr">
        <is>
          <t>BOOK</t>
        </is>
      </c>
      <c r="BB984" t="inlineStr">
        <is>
          <t>9780393014730</t>
        </is>
      </c>
      <c r="BC984" t="inlineStr">
        <is>
          <t>32285000317924</t>
        </is>
      </c>
      <c r="BD984" t="inlineStr">
        <is>
          <t>893430839</t>
        </is>
      </c>
    </row>
    <row r="985">
      <c r="A985" t="inlineStr">
        <is>
          <t>No</t>
        </is>
      </c>
      <c r="B985" t="inlineStr">
        <is>
          <t>GR105 .D53 1983</t>
        </is>
      </c>
      <c r="C985" t="inlineStr">
        <is>
          <t>0                      GR 0105000D  53          1983</t>
        </is>
      </c>
      <c r="D985" t="inlineStr">
        <is>
          <t>There are alligators in our sewers, and other American credos / Paul Dickson and Joseph C. Goulden ; illustrated by R.J. Shay.</t>
        </is>
      </c>
      <c r="F985" t="inlineStr">
        <is>
          <t>No</t>
        </is>
      </c>
      <c r="G985" t="inlineStr">
        <is>
          <t>1</t>
        </is>
      </c>
      <c r="H985" t="inlineStr">
        <is>
          <t>No</t>
        </is>
      </c>
      <c r="I985" t="inlineStr">
        <is>
          <t>No</t>
        </is>
      </c>
      <c r="J985" t="inlineStr">
        <is>
          <t>0</t>
        </is>
      </c>
      <c r="K985" t="inlineStr">
        <is>
          <t>Dickson, Paul.</t>
        </is>
      </c>
      <c r="L985" t="inlineStr">
        <is>
          <t>New York : Delacorte Press, c1983.</t>
        </is>
      </c>
      <c r="M985" t="inlineStr">
        <is>
          <t>1983</t>
        </is>
      </c>
      <c r="O985" t="inlineStr">
        <is>
          <t>eng</t>
        </is>
      </c>
      <c r="P985" t="inlineStr">
        <is>
          <t>nyu</t>
        </is>
      </c>
      <c r="R985" t="inlineStr">
        <is>
          <t xml:space="preserve">GR </t>
        </is>
      </c>
      <c r="S985" t="n">
        <v>8</v>
      </c>
      <c r="T985" t="n">
        <v>8</v>
      </c>
      <c r="U985" t="inlineStr">
        <is>
          <t>2004-02-24</t>
        </is>
      </c>
      <c r="V985" t="inlineStr">
        <is>
          <t>2004-02-24</t>
        </is>
      </c>
      <c r="W985" t="inlineStr">
        <is>
          <t>1990-10-01</t>
        </is>
      </c>
      <c r="X985" t="inlineStr">
        <is>
          <t>1990-10-01</t>
        </is>
      </c>
      <c r="Y985" t="n">
        <v>443</v>
      </c>
      <c r="Z985" t="n">
        <v>431</v>
      </c>
      <c r="AA985" t="n">
        <v>440</v>
      </c>
      <c r="AB985" t="n">
        <v>3</v>
      </c>
      <c r="AC985" t="n">
        <v>3</v>
      </c>
      <c r="AD985" t="n">
        <v>5</v>
      </c>
      <c r="AE985" t="n">
        <v>5</v>
      </c>
      <c r="AF985" t="n">
        <v>1</v>
      </c>
      <c r="AG985" t="n">
        <v>1</v>
      </c>
      <c r="AH985" t="n">
        <v>1</v>
      </c>
      <c r="AI985" t="n">
        <v>1</v>
      </c>
      <c r="AJ985" t="n">
        <v>4</v>
      </c>
      <c r="AK985" t="n">
        <v>4</v>
      </c>
      <c r="AL985" t="n">
        <v>1</v>
      </c>
      <c r="AM985" t="n">
        <v>1</v>
      </c>
      <c r="AN985" t="n">
        <v>0</v>
      </c>
      <c r="AO985" t="n">
        <v>0</v>
      </c>
      <c r="AP985" t="inlineStr">
        <is>
          <t>No</t>
        </is>
      </c>
      <c r="AQ985" t="inlineStr">
        <is>
          <t>Yes</t>
        </is>
      </c>
      <c r="AR985">
        <f>HYPERLINK("http://catalog.hathitrust.org/Record/000197391","HathiTrust Record")</f>
        <v/>
      </c>
      <c r="AS985">
        <f>HYPERLINK("https://creighton-primo.hosted.exlibrisgroup.com/primo-explore/search?tab=default_tab&amp;search_scope=EVERYTHING&amp;vid=01CRU&amp;lang=en_US&amp;offset=0&amp;query=any,contains,991000079879702656","Catalog Record")</f>
        <v/>
      </c>
      <c r="AT985">
        <f>HYPERLINK("http://www.worldcat.org/oclc/8827152","WorldCat Record")</f>
        <v/>
      </c>
      <c r="AU985" t="inlineStr">
        <is>
          <t>456938:eng</t>
        </is>
      </c>
      <c r="AV985" t="inlineStr">
        <is>
          <t>8827152</t>
        </is>
      </c>
      <c r="AW985" t="inlineStr">
        <is>
          <t>991000079879702656</t>
        </is>
      </c>
      <c r="AX985" t="inlineStr">
        <is>
          <t>991000079879702656</t>
        </is>
      </c>
      <c r="AY985" t="inlineStr">
        <is>
          <t>2266925060002656</t>
        </is>
      </c>
      <c r="AZ985" t="inlineStr">
        <is>
          <t>BOOK</t>
        </is>
      </c>
      <c r="BB985" t="inlineStr">
        <is>
          <t>9780440088820</t>
        </is>
      </c>
      <c r="BC985" t="inlineStr">
        <is>
          <t>32285000317932</t>
        </is>
      </c>
      <c r="BD985" t="inlineStr">
        <is>
          <t>893502208</t>
        </is>
      </c>
    </row>
    <row r="986">
      <c r="A986" t="inlineStr">
        <is>
          <t>No</t>
        </is>
      </c>
      <c r="B986" t="inlineStr">
        <is>
          <t>GR105 .D65 1977</t>
        </is>
      </c>
      <c r="C986" t="inlineStr">
        <is>
          <t>0                      GR 0105000D  65          1977</t>
        </is>
      </c>
      <c r="D986" t="inlineStr">
        <is>
          <t>American folklore : with revised bibliographical notes, 1977 / Richard M. Dorson.</t>
        </is>
      </c>
      <c r="F986" t="inlineStr">
        <is>
          <t>No</t>
        </is>
      </c>
      <c r="G986" t="inlineStr">
        <is>
          <t>1</t>
        </is>
      </c>
      <c r="H986" t="inlineStr">
        <is>
          <t>No</t>
        </is>
      </c>
      <c r="I986" t="inlineStr">
        <is>
          <t>No</t>
        </is>
      </c>
      <c r="J986" t="inlineStr">
        <is>
          <t>0</t>
        </is>
      </c>
      <c r="K986" t="inlineStr">
        <is>
          <t>Dorson, Richard M. (Richard Mercer), 1916-1981.</t>
        </is>
      </c>
      <c r="L986" t="inlineStr">
        <is>
          <t>Chicago : University of Chicago Press, c1977.</t>
        </is>
      </c>
      <c r="M986" t="inlineStr">
        <is>
          <t>1977</t>
        </is>
      </c>
      <c r="O986" t="inlineStr">
        <is>
          <t>eng</t>
        </is>
      </c>
      <c r="P986" t="inlineStr">
        <is>
          <t>ilu</t>
        </is>
      </c>
      <c r="Q986" t="inlineStr">
        <is>
          <t>Chicago history of American civilization ; 4</t>
        </is>
      </c>
      <c r="R986" t="inlineStr">
        <is>
          <t xml:space="preserve">GR </t>
        </is>
      </c>
      <c r="S986" t="n">
        <v>4</v>
      </c>
      <c r="T986" t="n">
        <v>4</v>
      </c>
      <c r="U986" t="inlineStr">
        <is>
          <t>1999-11-13</t>
        </is>
      </c>
      <c r="V986" t="inlineStr">
        <is>
          <t>1999-11-13</t>
        </is>
      </c>
      <c r="W986" t="inlineStr">
        <is>
          <t>1990-10-01</t>
        </is>
      </c>
      <c r="X986" t="inlineStr">
        <is>
          <t>1990-10-01</t>
        </is>
      </c>
      <c r="Y986" t="n">
        <v>264</v>
      </c>
      <c r="Z986" t="n">
        <v>233</v>
      </c>
      <c r="AA986" t="n">
        <v>1744</v>
      </c>
      <c r="AB986" t="n">
        <v>1</v>
      </c>
      <c r="AC986" t="n">
        <v>11</v>
      </c>
      <c r="AD986" t="n">
        <v>3</v>
      </c>
      <c r="AE986" t="n">
        <v>52</v>
      </c>
      <c r="AF986" t="n">
        <v>0</v>
      </c>
      <c r="AG986" t="n">
        <v>20</v>
      </c>
      <c r="AH986" t="n">
        <v>2</v>
      </c>
      <c r="AI986" t="n">
        <v>10</v>
      </c>
      <c r="AJ986" t="n">
        <v>3</v>
      </c>
      <c r="AK986" t="n">
        <v>23</v>
      </c>
      <c r="AL986" t="n">
        <v>0</v>
      </c>
      <c r="AM986" t="n">
        <v>10</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HYPERLINK("https://creighton-primo.hosted.exlibrisgroup.com/primo-explore/search?tab=default_tab&amp;search_scope=EVERYTHING&amp;vid=01CRU&amp;lang=en_US&amp;offset=0&amp;query=any,contains,991004595979702656","Catalog Record")</f>
        <v/>
      </c>
      <c r="AT986">
        <f>HYPERLINK("http://www.worldcat.org/oclc/4136949","WorldCat Record")</f>
        <v/>
      </c>
      <c r="AU986" t="inlineStr">
        <is>
          <t>762360419:eng</t>
        </is>
      </c>
      <c r="AV986" t="inlineStr">
        <is>
          <t>4136949</t>
        </is>
      </c>
      <c r="AW986" t="inlineStr">
        <is>
          <t>991004595979702656</t>
        </is>
      </c>
      <c r="AX986" t="inlineStr">
        <is>
          <t>991004595979702656</t>
        </is>
      </c>
      <c r="AY986" t="inlineStr">
        <is>
          <t>2257863320002656</t>
        </is>
      </c>
      <c r="AZ986" t="inlineStr">
        <is>
          <t>BOOK</t>
        </is>
      </c>
      <c r="BB986" t="inlineStr">
        <is>
          <t>9780226158594</t>
        </is>
      </c>
      <c r="BC986" t="inlineStr">
        <is>
          <t>32285000317940</t>
        </is>
      </c>
      <c r="BD986" t="inlineStr">
        <is>
          <t>893536083</t>
        </is>
      </c>
    </row>
    <row r="987">
      <c r="A987" t="inlineStr">
        <is>
          <t>No</t>
        </is>
      </c>
      <c r="B987" t="inlineStr">
        <is>
          <t>GR105 .U7</t>
        </is>
      </c>
      <c r="C987" t="inlineStr">
        <is>
          <t>0                      GR 0105000U  7</t>
        </is>
      </c>
      <c r="D987" t="inlineStr">
        <is>
          <t>The Urban experience and folk tradition. Edited by Américo Paredes and Ellen J. Stekert.</t>
        </is>
      </c>
      <c r="F987" t="inlineStr">
        <is>
          <t>No</t>
        </is>
      </c>
      <c r="G987" t="inlineStr">
        <is>
          <t>1</t>
        </is>
      </c>
      <c r="H987" t="inlineStr">
        <is>
          <t>No</t>
        </is>
      </c>
      <c r="I987" t="inlineStr">
        <is>
          <t>No</t>
        </is>
      </c>
      <c r="J987" t="inlineStr">
        <is>
          <t>0</t>
        </is>
      </c>
      <c r="L987" t="inlineStr">
        <is>
          <t>Austin, Published for the American Folklore Society by the University of Texas Press [1971]</t>
        </is>
      </c>
      <c r="M987" t="inlineStr">
        <is>
          <t>1971</t>
        </is>
      </c>
      <c r="O987" t="inlineStr">
        <is>
          <t>eng</t>
        </is>
      </c>
      <c r="P987" t="inlineStr">
        <is>
          <t>txu</t>
        </is>
      </c>
      <c r="Q987" t="inlineStr">
        <is>
          <t>Publications of the American Folklore Society. Bibliographical and special series ; v. 22</t>
        </is>
      </c>
      <c r="R987" t="inlineStr">
        <is>
          <t xml:space="preserve">GR </t>
        </is>
      </c>
      <c r="S987" t="n">
        <v>4</v>
      </c>
      <c r="T987" t="n">
        <v>4</v>
      </c>
      <c r="U987" t="inlineStr">
        <is>
          <t>2001-04-19</t>
        </is>
      </c>
      <c r="V987" t="inlineStr">
        <is>
          <t>2001-04-19</t>
        </is>
      </c>
      <c r="W987" t="inlineStr">
        <is>
          <t>1997-05-29</t>
        </is>
      </c>
      <c r="X987" t="inlineStr">
        <is>
          <t>1997-05-29</t>
        </is>
      </c>
      <c r="Y987" t="n">
        <v>641</v>
      </c>
      <c r="Z987" t="n">
        <v>562</v>
      </c>
      <c r="AA987" t="n">
        <v>566</v>
      </c>
      <c r="AB987" t="n">
        <v>6</v>
      </c>
      <c r="AC987" t="n">
        <v>6</v>
      </c>
      <c r="AD987" t="n">
        <v>26</v>
      </c>
      <c r="AE987" t="n">
        <v>26</v>
      </c>
      <c r="AF987" t="n">
        <v>8</v>
      </c>
      <c r="AG987" t="n">
        <v>8</v>
      </c>
      <c r="AH987" t="n">
        <v>6</v>
      </c>
      <c r="AI987" t="n">
        <v>6</v>
      </c>
      <c r="AJ987" t="n">
        <v>15</v>
      </c>
      <c r="AK987" t="n">
        <v>15</v>
      </c>
      <c r="AL987" t="n">
        <v>5</v>
      </c>
      <c r="AM987" t="n">
        <v>5</v>
      </c>
      <c r="AN987" t="n">
        <v>0</v>
      </c>
      <c r="AO987" t="n">
        <v>0</v>
      </c>
      <c r="AP987" t="inlineStr">
        <is>
          <t>No</t>
        </is>
      </c>
      <c r="AQ987" t="inlineStr">
        <is>
          <t>Yes</t>
        </is>
      </c>
      <c r="AR987">
        <f>HYPERLINK("http://catalog.hathitrust.org/Record/001276371","HathiTrust Record")</f>
        <v/>
      </c>
      <c r="AS987">
        <f>HYPERLINK("https://creighton-primo.hosted.exlibrisgroup.com/primo-explore/search?tab=default_tab&amp;search_scope=EVERYTHING&amp;vid=01CRU&amp;lang=en_US&amp;offset=0&amp;query=any,contains,991001256669702656","Catalog Record")</f>
        <v/>
      </c>
      <c r="AT987">
        <f>HYPERLINK("http://www.worldcat.org/oclc/209262","WorldCat Record")</f>
        <v/>
      </c>
      <c r="AU987" t="inlineStr">
        <is>
          <t>351249859:eng</t>
        </is>
      </c>
      <c r="AV987" t="inlineStr">
        <is>
          <t>209262</t>
        </is>
      </c>
      <c r="AW987" t="inlineStr">
        <is>
          <t>991001256669702656</t>
        </is>
      </c>
      <c r="AX987" t="inlineStr">
        <is>
          <t>991001256669702656</t>
        </is>
      </c>
      <c r="AY987" t="inlineStr">
        <is>
          <t>2270726610002656</t>
        </is>
      </c>
      <c r="AZ987" t="inlineStr">
        <is>
          <t>BOOK</t>
        </is>
      </c>
      <c r="BB987" t="inlineStr">
        <is>
          <t>9780292701229</t>
        </is>
      </c>
      <c r="BC987" t="inlineStr">
        <is>
          <t>32285002698099</t>
        </is>
      </c>
      <c r="BD987" t="inlineStr">
        <is>
          <t>893720976</t>
        </is>
      </c>
    </row>
    <row r="988">
      <c r="A988" t="inlineStr">
        <is>
          <t>No</t>
        </is>
      </c>
      <c r="B988" t="inlineStr">
        <is>
          <t>GR105.5 .W44</t>
        </is>
      </c>
      <c r="C988" t="inlineStr">
        <is>
          <t>0                      GR 0105500W  44</t>
        </is>
      </c>
      <c r="D988" t="inlineStr">
        <is>
          <t>Mister, you got yourself a horse : tales of old-time horse trading / edited, with an introd., by Roger L. Welsch.</t>
        </is>
      </c>
      <c r="F988" t="inlineStr">
        <is>
          <t>No</t>
        </is>
      </c>
      <c r="G988" t="inlineStr">
        <is>
          <t>1</t>
        </is>
      </c>
      <c r="H988" t="inlineStr">
        <is>
          <t>No</t>
        </is>
      </c>
      <c r="I988" t="inlineStr">
        <is>
          <t>No</t>
        </is>
      </c>
      <c r="J988" t="inlineStr">
        <is>
          <t>0</t>
        </is>
      </c>
      <c r="K988" t="inlineStr">
        <is>
          <t>Welsch, Roger L.</t>
        </is>
      </c>
      <c r="L988" t="inlineStr">
        <is>
          <t>Lincoln : University of Nebraska Press, c1981.</t>
        </is>
      </c>
      <c r="M988" t="inlineStr">
        <is>
          <t>1981</t>
        </is>
      </c>
      <c r="O988" t="inlineStr">
        <is>
          <t>eng</t>
        </is>
      </c>
      <c r="P988" t="inlineStr">
        <is>
          <t>nbu</t>
        </is>
      </c>
      <c r="R988" t="inlineStr">
        <is>
          <t xml:space="preserve">GR </t>
        </is>
      </c>
      <c r="S988" t="n">
        <v>3</v>
      </c>
      <c r="T988" t="n">
        <v>3</v>
      </c>
      <c r="U988" t="inlineStr">
        <is>
          <t>1999-10-25</t>
        </is>
      </c>
      <c r="V988" t="inlineStr">
        <is>
          <t>1999-10-25</t>
        </is>
      </c>
      <c r="W988" t="inlineStr">
        <is>
          <t>1990-10-01</t>
        </is>
      </c>
      <c r="X988" t="inlineStr">
        <is>
          <t>1990-10-01</t>
        </is>
      </c>
      <c r="Y988" t="n">
        <v>466</v>
      </c>
      <c r="Z988" t="n">
        <v>453</v>
      </c>
      <c r="AA988" t="n">
        <v>469</v>
      </c>
      <c r="AB988" t="n">
        <v>43</v>
      </c>
      <c r="AC988" t="n">
        <v>43</v>
      </c>
      <c r="AD988" t="n">
        <v>11</v>
      </c>
      <c r="AE988" t="n">
        <v>11</v>
      </c>
      <c r="AF988" t="n">
        <v>1</v>
      </c>
      <c r="AG988" t="n">
        <v>1</v>
      </c>
      <c r="AH988" t="n">
        <v>0</v>
      </c>
      <c r="AI988" t="n">
        <v>0</v>
      </c>
      <c r="AJ988" t="n">
        <v>1</v>
      </c>
      <c r="AK988" t="n">
        <v>1</v>
      </c>
      <c r="AL988" t="n">
        <v>9</v>
      </c>
      <c r="AM988" t="n">
        <v>9</v>
      </c>
      <c r="AN988" t="n">
        <v>0</v>
      </c>
      <c r="AO988" t="n">
        <v>0</v>
      </c>
      <c r="AP988" t="inlineStr">
        <is>
          <t>No</t>
        </is>
      </c>
      <c r="AQ988" t="inlineStr">
        <is>
          <t>Yes</t>
        </is>
      </c>
      <c r="AR988">
        <f>HYPERLINK("http://catalog.hathitrust.org/Record/000184317","HathiTrust Record")</f>
        <v/>
      </c>
      <c r="AS988">
        <f>HYPERLINK("https://creighton-primo.hosted.exlibrisgroup.com/primo-explore/search?tab=default_tab&amp;search_scope=EVERYTHING&amp;vid=01CRU&amp;lang=en_US&amp;offset=0&amp;query=any,contains,991005088039702656","Catalog Record")</f>
        <v/>
      </c>
      <c r="AT988">
        <f>HYPERLINK("http://www.worldcat.org/oclc/7197769","WorldCat Record")</f>
        <v/>
      </c>
      <c r="AU988" t="inlineStr">
        <is>
          <t>289262617:eng</t>
        </is>
      </c>
      <c r="AV988" t="inlineStr">
        <is>
          <t>7197769</t>
        </is>
      </c>
      <c r="AW988" t="inlineStr">
        <is>
          <t>991005088039702656</t>
        </is>
      </c>
      <c r="AX988" t="inlineStr">
        <is>
          <t>991005088039702656</t>
        </is>
      </c>
      <c r="AY988" t="inlineStr">
        <is>
          <t>2256810540002656</t>
        </is>
      </c>
      <c r="AZ988" t="inlineStr">
        <is>
          <t>BOOK</t>
        </is>
      </c>
      <c r="BB988" t="inlineStr">
        <is>
          <t>9780803247116</t>
        </is>
      </c>
      <c r="BC988" t="inlineStr">
        <is>
          <t>32285000317999</t>
        </is>
      </c>
      <c r="BD988" t="inlineStr">
        <is>
          <t>893619427</t>
        </is>
      </c>
    </row>
    <row r="989">
      <c r="A989" t="inlineStr">
        <is>
          <t>No</t>
        </is>
      </c>
      <c r="B989" t="inlineStr">
        <is>
          <t>GR106 .J5 1963</t>
        </is>
      </c>
      <c r="C989" t="inlineStr">
        <is>
          <t>0                      GR 0106000J  5           1963</t>
        </is>
      </c>
      <c r="D989" t="inlineStr">
        <is>
          <t>What they say in New England : and other American folklore / edited with an introd. by Carl Withers. [Illus. by Clifton Johnson]</t>
        </is>
      </c>
      <c r="F989" t="inlineStr">
        <is>
          <t>No</t>
        </is>
      </c>
      <c r="G989" t="inlineStr">
        <is>
          <t>1</t>
        </is>
      </c>
      <c r="H989" t="inlineStr">
        <is>
          <t>No</t>
        </is>
      </c>
      <c r="I989" t="inlineStr">
        <is>
          <t>No</t>
        </is>
      </c>
      <c r="J989" t="inlineStr">
        <is>
          <t>0</t>
        </is>
      </c>
      <c r="K989" t="inlineStr">
        <is>
          <t>Johnson, Clifton, 1865-1940 compiler.</t>
        </is>
      </c>
      <c r="L989" t="inlineStr">
        <is>
          <t>New York : Columbia University Press, 1963.</t>
        </is>
      </c>
      <c r="M989" t="inlineStr">
        <is>
          <t>1963</t>
        </is>
      </c>
      <c r="O989" t="inlineStr">
        <is>
          <t>eng</t>
        </is>
      </c>
      <c r="P989" t="inlineStr">
        <is>
          <t>nyu</t>
        </is>
      </c>
      <c r="R989" t="inlineStr">
        <is>
          <t xml:space="preserve">GR </t>
        </is>
      </c>
      <c r="S989" t="n">
        <v>8</v>
      </c>
      <c r="T989" t="n">
        <v>8</v>
      </c>
      <c r="U989" t="inlineStr">
        <is>
          <t>1995-11-25</t>
        </is>
      </c>
      <c r="V989" t="inlineStr">
        <is>
          <t>1995-11-25</t>
        </is>
      </c>
      <c r="W989" t="inlineStr">
        <is>
          <t>1991-05-20</t>
        </is>
      </c>
      <c r="X989" t="inlineStr">
        <is>
          <t>1991-05-20</t>
        </is>
      </c>
      <c r="Y989" t="n">
        <v>605</v>
      </c>
      <c r="Z989" t="n">
        <v>571</v>
      </c>
      <c r="AA989" t="n">
        <v>588</v>
      </c>
      <c r="AB989" t="n">
        <v>7</v>
      </c>
      <c r="AC989" t="n">
        <v>7</v>
      </c>
      <c r="AD989" t="n">
        <v>25</v>
      </c>
      <c r="AE989" t="n">
        <v>25</v>
      </c>
      <c r="AF989" t="n">
        <v>7</v>
      </c>
      <c r="AG989" t="n">
        <v>7</v>
      </c>
      <c r="AH989" t="n">
        <v>5</v>
      </c>
      <c r="AI989" t="n">
        <v>5</v>
      </c>
      <c r="AJ989" t="n">
        <v>13</v>
      </c>
      <c r="AK989" t="n">
        <v>13</v>
      </c>
      <c r="AL989" t="n">
        <v>5</v>
      </c>
      <c r="AM989" t="n">
        <v>5</v>
      </c>
      <c r="AN989" t="n">
        <v>0</v>
      </c>
      <c r="AO989" t="n">
        <v>0</v>
      </c>
      <c r="AP989" t="inlineStr">
        <is>
          <t>No</t>
        </is>
      </c>
      <c r="AQ989" t="inlineStr">
        <is>
          <t>Yes</t>
        </is>
      </c>
      <c r="AR989">
        <f>HYPERLINK("http://catalog.hathitrust.org/Record/001276376","HathiTrust Record")</f>
        <v/>
      </c>
      <c r="AS989">
        <f>HYPERLINK("https://creighton-primo.hosted.exlibrisgroup.com/primo-explore/search?tab=default_tab&amp;search_scope=EVERYTHING&amp;vid=01CRU&amp;lang=en_US&amp;offset=0&amp;query=any,contains,991003350179702656","Catalog Record")</f>
        <v/>
      </c>
      <c r="AT989">
        <f>HYPERLINK("http://www.worldcat.org/oclc/406566","WorldCat Record")</f>
        <v/>
      </c>
      <c r="AU989" t="inlineStr">
        <is>
          <t>196652404:eng</t>
        </is>
      </c>
      <c r="AV989" t="inlineStr">
        <is>
          <t>406566</t>
        </is>
      </c>
      <c r="AW989" t="inlineStr">
        <is>
          <t>991003350179702656</t>
        </is>
      </c>
      <c r="AX989" t="inlineStr">
        <is>
          <t>991003350179702656</t>
        </is>
      </c>
      <c r="AY989" t="inlineStr">
        <is>
          <t>2258674030002656</t>
        </is>
      </c>
      <c r="AZ989" t="inlineStr">
        <is>
          <t>BOOK</t>
        </is>
      </c>
      <c r="BC989" t="inlineStr">
        <is>
          <t>32285000597525</t>
        </is>
      </c>
      <c r="BD989" t="inlineStr">
        <is>
          <t>893686468</t>
        </is>
      </c>
    </row>
    <row r="990">
      <c r="A990" t="inlineStr">
        <is>
          <t>No</t>
        </is>
      </c>
      <c r="B990" t="inlineStr">
        <is>
          <t>GR109 .B58</t>
        </is>
      </c>
      <c r="C990" t="inlineStr">
        <is>
          <t>0                      GR 0109000B  58</t>
        </is>
      </c>
      <c r="D990" t="inlineStr">
        <is>
          <t>A treasury of Mississippi River folklore : stories, ballads, traditions, and folkways of the mid-American river country / Edited by B. A. Botkin ; foreword by Carl Carmer.</t>
        </is>
      </c>
      <c r="F990" t="inlineStr">
        <is>
          <t>No</t>
        </is>
      </c>
      <c r="G990" t="inlineStr">
        <is>
          <t>1</t>
        </is>
      </c>
      <c r="H990" t="inlineStr">
        <is>
          <t>No</t>
        </is>
      </c>
      <c r="I990" t="inlineStr">
        <is>
          <t>No</t>
        </is>
      </c>
      <c r="J990" t="inlineStr">
        <is>
          <t>0</t>
        </is>
      </c>
      <c r="K990" t="inlineStr">
        <is>
          <t>Botkin, Benjamin Albert, 1901-1975 editor.</t>
        </is>
      </c>
      <c r="L990" t="inlineStr">
        <is>
          <t>New York : Crown Publishers, 1955.</t>
        </is>
      </c>
      <c r="M990" t="inlineStr">
        <is>
          <t>1955</t>
        </is>
      </c>
      <c r="O990" t="inlineStr">
        <is>
          <t>eng</t>
        </is>
      </c>
      <c r="P990" t="inlineStr">
        <is>
          <t>___</t>
        </is>
      </c>
      <c r="R990" t="inlineStr">
        <is>
          <t xml:space="preserve">GR </t>
        </is>
      </c>
      <c r="S990" t="n">
        <v>2</v>
      </c>
      <c r="T990" t="n">
        <v>2</v>
      </c>
      <c r="U990" t="inlineStr">
        <is>
          <t>1992-02-05</t>
        </is>
      </c>
      <c r="V990" t="inlineStr">
        <is>
          <t>1992-02-05</t>
        </is>
      </c>
      <c r="W990" t="inlineStr">
        <is>
          <t>1990-10-01</t>
        </is>
      </c>
      <c r="X990" t="inlineStr">
        <is>
          <t>1990-10-01</t>
        </is>
      </c>
      <c r="Y990" t="n">
        <v>780</v>
      </c>
      <c r="Z990" t="n">
        <v>770</v>
      </c>
      <c r="AA990" t="n">
        <v>1291</v>
      </c>
      <c r="AB990" t="n">
        <v>8</v>
      </c>
      <c r="AC990" t="n">
        <v>14</v>
      </c>
      <c r="AD990" t="n">
        <v>22</v>
      </c>
      <c r="AE990" t="n">
        <v>30</v>
      </c>
      <c r="AF990" t="n">
        <v>8</v>
      </c>
      <c r="AG990" t="n">
        <v>8</v>
      </c>
      <c r="AH990" t="n">
        <v>4</v>
      </c>
      <c r="AI990" t="n">
        <v>7</v>
      </c>
      <c r="AJ990" t="n">
        <v>14</v>
      </c>
      <c r="AK990" t="n">
        <v>18</v>
      </c>
      <c r="AL990" t="n">
        <v>3</v>
      </c>
      <c r="AM990" t="n">
        <v>5</v>
      </c>
      <c r="AN990" t="n">
        <v>0</v>
      </c>
      <c r="AO990" t="n">
        <v>0</v>
      </c>
      <c r="AP990" t="inlineStr">
        <is>
          <t>No</t>
        </is>
      </c>
      <c r="AQ990" t="inlineStr">
        <is>
          <t>No</t>
        </is>
      </c>
      <c r="AS990">
        <f>HYPERLINK("https://creighton-primo.hosted.exlibrisgroup.com/primo-explore/search?tab=default_tab&amp;search_scope=EVERYTHING&amp;vid=01CRU&amp;lang=en_US&amp;offset=0&amp;query=any,contains,991002860539702656","Catalog Record")</f>
        <v/>
      </c>
      <c r="AT990">
        <f>HYPERLINK("http://www.worldcat.org/oclc/492633","WorldCat Record")</f>
        <v/>
      </c>
      <c r="AU990" t="inlineStr">
        <is>
          <t>792944048:eng</t>
        </is>
      </c>
      <c r="AV990" t="inlineStr">
        <is>
          <t>492633</t>
        </is>
      </c>
      <c r="AW990" t="inlineStr">
        <is>
          <t>991002860539702656</t>
        </is>
      </c>
      <c r="AX990" t="inlineStr">
        <is>
          <t>991002860539702656</t>
        </is>
      </c>
      <c r="AY990" t="inlineStr">
        <is>
          <t>2256518750002656</t>
        </is>
      </c>
      <c r="AZ990" t="inlineStr">
        <is>
          <t>BOOK</t>
        </is>
      </c>
      <c r="BC990" t="inlineStr">
        <is>
          <t>32285000318005</t>
        </is>
      </c>
      <c r="BD990" t="inlineStr">
        <is>
          <t>893721680</t>
        </is>
      </c>
    </row>
    <row r="991">
      <c r="A991" t="inlineStr">
        <is>
          <t>No</t>
        </is>
      </c>
      <c r="B991" t="inlineStr">
        <is>
          <t>GR109 .G7</t>
        </is>
      </c>
      <c r="C991" t="inlineStr">
        <is>
          <t>0                      GR 0109000G  7</t>
        </is>
      </c>
      <c r="D991" t="inlineStr">
        <is>
          <t>Folklore of the great West; selections from eighty-three years of the Journal of American folklore, edited with extensive commentary by John Greenway. With line drawings by Glen Rounds.</t>
        </is>
      </c>
      <c r="F991" t="inlineStr">
        <is>
          <t>No</t>
        </is>
      </c>
      <c r="G991" t="inlineStr">
        <is>
          <t>1</t>
        </is>
      </c>
      <c r="H991" t="inlineStr">
        <is>
          <t>No</t>
        </is>
      </c>
      <c r="I991" t="inlineStr">
        <is>
          <t>No</t>
        </is>
      </c>
      <c r="J991" t="inlineStr">
        <is>
          <t>0</t>
        </is>
      </c>
      <c r="K991" t="inlineStr">
        <is>
          <t>Greenway, John compiler.</t>
        </is>
      </c>
      <c r="L991" t="inlineStr">
        <is>
          <t>Palo Alto, Calif., American West Pub. Co. [1969]</t>
        </is>
      </c>
      <c r="M991" t="inlineStr">
        <is>
          <t>1969</t>
        </is>
      </c>
      <c r="O991" t="inlineStr">
        <is>
          <t>eng</t>
        </is>
      </c>
      <c r="P991" t="inlineStr">
        <is>
          <t>cau</t>
        </is>
      </c>
      <c r="R991" t="inlineStr">
        <is>
          <t xml:space="preserve">GR </t>
        </is>
      </c>
      <c r="S991" t="n">
        <v>1</v>
      </c>
      <c r="T991" t="n">
        <v>1</v>
      </c>
      <c r="U991" t="inlineStr">
        <is>
          <t>2001-04-03</t>
        </is>
      </c>
      <c r="V991" t="inlineStr">
        <is>
          <t>2001-04-03</t>
        </is>
      </c>
      <c r="W991" t="inlineStr">
        <is>
          <t>1997-05-29</t>
        </is>
      </c>
      <c r="X991" t="inlineStr">
        <is>
          <t>1997-05-29</t>
        </is>
      </c>
      <c r="Y991" t="n">
        <v>1013</v>
      </c>
      <c r="Z991" t="n">
        <v>980</v>
      </c>
      <c r="AA991" t="n">
        <v>1003</v>
      </c>
      <c r="AB991" t="n">
        <v>14</v>
      </c>
      <c r="AC991" t="n">
        <v>14</v>
      </c>
      <c r="AD991" t="n">
        <v>22</v>
      </c>
      <c r="AE991" t="n">
        <v>23</v>
      </c>
      <c r="AF991" t="n">
        <v>5</v>
      </c>
      <c r="AG991" t="n">
        <v>6</v>
      </c>
      <c r="AH991" t="n">
        <v>4</v>
      </c>
      <c r="AI991" t="n">
        <v>4</v>
      </c>
      <c r="AJ991" t="n">
        <v>9</v>
      </c>
      <c r="AK991" t="n">
        <v>9</v>
      </c>
      <c r="AL991" t="n">
        <v>6</v>
      </c>
      <c r="AM991" t="n">
        <v>6</v>
      </c>
      <c r="AN991" t="n">
        <v>0</v>
      </c>
      <c r="AO991" t="n">
        <v>0</v>
      </c>
      <c r="AP991" t="inlineStr">
        <is>
          <t>No</t>
        </is>
      </c>
      <c r="AQ991" t="inlineStr">
        <is>
          <t>Yes</t>
        </is>
      </c>
      <c r="AR991">
        <f>HYPERLINK("http://catalog.hathitrust.org/Record/001276383","HathiTrust Record")</f>
        <v/>
      </c>
      <c r="AS991">
        <f>HYPERLINK("https://creighton-primo.hosted.exlibrisgroup.com/primo-explore/search?tab=default_tab&amp;search_scope=EVERYTHING&amp;vid=01CRU&amp;lang=en_US&amp;offset=0&amp;query=any,contains,991000074449702656","Catalog Record")</f>
        <v/>
      </c>
      <c r="AT991">
        <f>HYPERLINK("http://www.worldcat.org/oclc/29438","WorldCat Record")</f>
        <v/>
      </c>
      <c r="AU991" t="inlineStr">
        <is>
          <t>190724032:eng</t>
        </is>
      </c>
      <c r="AV991" t="inlineStr">
        <is>
          <t>29438</t>
        </is>
      </c>
      <c r="AW991" t="inlineStr">
        <is>
          <t>991000074449702656</t>
        </is>
      </c>
      <c r="AX991" t="inlineStr">
        <is>
          <t>991000074449702656</t>
        </is>
      </c>
      <c r="AY991" t="inlineStr">
        <is>
          <t>2266355980002656</t>
        </is>
      </c>
      <c r="AZ991" t="inlineStr">
        <is>
          <t>BOOK</t>
        </is>
      </c>
      <c r="BC991" t="inlineStr">
        <is>
          <t>32285002698131</t>
        </is>
      </c>
      <c r="BD991" t="inlineStr">
        <is>
          <t>893896590</t>
        </is>
      </c>
    </row>
    <row r="992">
      <c r="A992" t="inlineStr">
        <is>
          <t>No</t>
        </is>
      </c>
      <c r="B992" t="inlineStr">
        <is>
          <t>GR109 .T35 1998</t>
        </is>
      </c>
      <c r="C992" t="inlineStr">
        <is>
          <t>0                      GR 0109000T  35          1998</t>
        </is>
      </c>
      <c r="D992" t="inlineStr">
        <is>
          <t>Legends and tales of the American West / edited, told, retold, and illustrated by Richard Erdoes.</t>
        </is>
      </c>
      <c r="F992" t="inlineStr">
        <is>
          <t>No</t>
        </is>
      </c>
      <c r="G992" t="inlineStr">
        <is>
          <t>1</t>
        </is>
      </c>
      <c r="H992" t="inlineStr">
        <is>
          <t>No</t>
        </is>
      </c>
      <c r="I992" t="inlineStr">
        <is>
          <t>No</t>
        </is>
      </c>
      <c r="J992" t="inlineStr">
        <is>
          <t>0</t>
        </is>
      </c>
      <c r="K992" t="inlineStr">
        <is>
          <t>Tales from the American frontier.</t>
        </is>
      </c>
      <c r="L992" t="inlineStr">
        <is>
          <t>New York : Pantheon Books, [c1998].</t>
        </is>
      </c>
      <c r="M992" t="inlineStr">
        <is>
          <t>1998</t>
        </is>
      </c>
      <c r="N992" t="inlineStr">
        <is>
          <t>1st pbk. ed.</t>
        </is>
      </c>
      <c r="O992" t="inlineStr">
        <is>
          <t>eng</t>
        </is>
      </c>
      <c r="P992" t="inlineStr">
        <is>
          <t>nyu</t>
        </is>
      </c>
      <c r="R992" t="inlineStr">
        <is>
          <t xml:space="preserve">GR </t>
        </is>
      </c>
      <c r="S992" t="n">
        <v>4</v>
      </c>
      <c r="T992" t="n">
        <v>4</v>
      </c>
      <c r="U992" t="inlineStr">
        <is>
          <t>2001-04-03</t>
        </is>
      </c>
      <c r="V992" t="inlineStr">
        <is>
          <t>2001-04-03</t>
        </is>
      </c>
      <c r="W992" t="inlineStr">
        <is>
          <t>1999-09-28</t>
        </is>
      </c>
      <c r="X992" t="inlineStr">
        <is>
          <t>1999-09-28</t>
        </is>
      </c>
      <c r="Y992" t="n">
        <v>237</v>
      </c>
      <c r="Z992" t="n">
        <v>229</v>
      </c>
      <c r="AA992" t="n">
        <v>255</v>
      </c>
      <c r="AB992" t="n">
        <v>3</v>
      </c>
      <c r="AC992" t="n">
        <v>3</v>
      </c>
      <c r="AD992" t="n">
        <v>2</v>
      </c>
      <c r="AE992" t="n">
        <v>2</v>
      </c>
      <c r="AF992" t="n">
        <v>1</v>
      </c>
      <c r="AG992" t="n">
        <v>1</v>
      </c>
      <c r="AH992" t="n">
        <v>0</v>
      </c>
      <c r="AI992" t="n">
        <v>0</v>
      </c>
      <c r="AJ992" t="n">
        <v>1</v>
      </c>
      <c r="AK992" t="n">
        <v>1</v>
      </c>
      <c r="AL992" t="n">
        <v>1</v>
      </c>
      <c r="AM992" t="n">
        <v>1</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HYPERLINK("https://creighton-primo.hosted.exlibrisgroup.com/primo-explore/search?tab=default_tab&amp;search_scope=EVERYTHING&amp;vid=01CRU&amp;lang=en_US&amp;offset=0&amp;query=any,contains,991002921139702656","Catalog Record")</f>
        <v/>
      </c>
      <c r="AT992">
        <f>HYPERLINK("http://www.worldcat.org/oclc/38752993","WorldCat Record")</f>
        <v/>
      </c>
      <c r="AU992" t="inlineStr">
        <is>
          <t>55430460:eng</t>
        </is>
      </c>
      <c r="AV992" t="inlineStr">
        <is>
          <t>38752993</t>
        </is>
      </c>
      <c r="AW992" t="inlineStr">
        <is>
          <t>991002921139702656</t>
        </is>
      </c>
      <c r="AX992" t="inlineStr">
        <is>
          <t>991002921139702656</t>
        </is>
      </c>
      <c r="AY992" t="inlineStr">
        <is>
          <t>2269318820002656</t>
        </is>
      </c>
      <c r="AZ992" t="inlineStr">
        <is>
          <t>BOOK</t>
        </is>
      </c>
      <c r="BB992" t="inlineStr">
        <is>
          <t>9780375702662</t>
        </is>
      </c>
      <c r="BC992" t="inlineStr">
        <is>
          <t>32285003591152</t>
        </is>
      </c>
      <c r="BD992" t="inlineStr">
        <is>
          <t>893415810</t>
        </is>
      </c>
    </row>
    <row r="993">
      <c r="A993" t="inlineStr">
        <is>
          <t>No</t>
        </is>
      </c>
      <c r="B993" t="inlineStr">
        <is>
          <t>GR109 .W4 1980</t>
        </is>
      </c>
      <c r="C993" t="inlineStr">
        <is>
          <t>0                      GR 0109000W  4           1980</t>
        </is>
      </c>
      <c r="D993" t="inlineStr">
        <is>
          <t>Shingling the fog and other Plains lies / Roger Welsch.</t>
        </is>
      </c>
      <c r="F993" t="inlineStr">
        <is>
          <t>No</t>
        </is>
      </c>
      <c r="G993" t="inlineStr">
        <is>
          <t>1</t>
        </is>
      </c>
      <c r="H993" t="inlineStr">
        <is>
          <t>No</t>
        </is>
      </c>
      <c r="I993" t="inlineStr">
        <is>
          <t>No</t>
        </is>
      </c>
      <c r="J993" t="inlineStr">
        <is>
          <t>0</t>
        </is>
      </c>
      <c r="K993" t="inlineStr">
        <is>
          <t>Welsch, Roger L.</t>
        </is>
      </c>
      <c r="L993" t="inlineStr">
        <is>
          <t>Lincoln : University of Nebraska Press, 1980, c1972.</t>
        </is>
      </c>
      <c r="M993" t="inlineStr">
        <is>
          <t>1980</t>
        </is>
      </c>
      <c r="O993" t="inlineStr">
        <is>
          <t>eng</t>
        </is>
      </c>
      <c r="P993" t="inlineStr">
        <is>
          <t>nbu</t>
        </is>
      </c>
      <c r="R993" t="inlineStr">
        <is>
          <t xml:space="preserve">GR </t>
        </is>
      </c>
      <c r="S993" t="n">
        <v>1</v>
      </c>
      <c r="T993" t="n">
        <v>1</v>
      </c>
      <c r="U993" t="inlineStr">
        <is>
          <t>2008-06-26</t>
        </is>
      </c>
      <c r="V993" t="inlineStr">
        <is>
          <t>2008-06-26</t>
        </is>
      </c>
      <c r="W993" t="inlineStr">
        <is>
          <t>2008-06-26</t>
        </is>
      </c>
      <c r="X993" t="inlineStr">
        <is>
          <t>2008-06-26</t>
        </is>
      </c>
      <c r="Y993" t="n">
        <v>168</v>
      </c>
      <c r="Z993" t="n">
        <v>162</v>
      </c>
      <c r="AA993" t="n">
        <v>489</v>
      </c>
      <c r="AB993" t="n">
        <v>39</v>
      </c>
      <c r="AC993" t="n">
        <v>59</v>
      </c>
      <c r="AD993" t="n">
        <v>12</v>
      </c>
      <c r="AE993" t="n">
        <v>23</v>
      </c>
      <c r="AF993" t="n">
        <v>1</v>
      </c>
      <c r="AG993" t="n">
        <v>1</v>
      </c>
      <c r="AH993" t="n">
        <v>0</v>
      </c>
      <c r="AI993" t="n">
        <v>0</v>
      </c>
      <c r="AJ993" t="n">
        <v>0</v>
      </c>
      <c r="AK993" t="n">
        <v>5</v>
      </c>
      <c r="AL993" t="n">
        <v>11</v>
      </c>
      <c r="AM993" t="n">
        <v>16</v>
      </c>
      <c r="AN993" t="n">
        <v>0</v>
      </c>
      <c r="AO993" t="n">
        <v>1</v>
      </c>
      <c r="AP993" t="inlineStr">
        <is>
          <t>No</t>
        </is>
      </c>
      <c r="AQ993" t="inlineStr">
        <is>
          <t>No</t>
        </is>
      </c>
      <c r="AS993">
        <f>HYPERLINK("https://creighton-primo.hosted.exlibrisgroup.com/primo-explore/search?tab=default_tab&amp;search_scope=EVERYTHING&amp;vid=01CRU&amp;lang=en_US&amp;offset=0&amp;query=any,contains,991005239139702656","Catalog Record")</f>
        <v/>
      </c>
      <c r="AT993">
        <f>HYPERLINK("http://www.worldcat.org/oclc/5264374","WorldCat Record")</f>
        <v/>
      </c>
      <c r="AU993" t="inlineStr">
        <is>
          <t>455762:eng</t>
        </is>
      </c>
      <c r="AV993" t="inlineStr">
        <is>
          <t>5264374</t>
        </is>
      </c>
      <c r="AW993" t="inlineStr">
        <is>
          <t>991005239139702656</t>
        </is>
      </c>
      <c r="AX993" t="inlineStr">
        <is>
          <t>991005239139702656</t>
        </is>
      </c>
      <c r="AY993" t="inlineStr">
        <is>
          <t>2258535790002656</t>
        </is>
      </c>
      <c r="AZ993" t="inlineStr">
        <is>
          <t>BOOK</t>
        </is>
      </c>
      <c r="BB993" t="inlineStr">
        <is>
          <t>9780803247093</t>
        </is>
      </c>
      <c r="BC993" t="inlineStr">
        <is>
          <t>32285005446751</t>
        </is>
      </c>
      <c r="BD993" t="inlineStr">
        <is>
          <t>893688816</t>
        </is>
      </c>
    </row>
    <row r="994">
      <c r="A994" t="inlineStr">
        <is>
          <t>No</t>
        </is>
      </c>
      <c r="B994" t="inlineStr">
        <is>
          <t>GR110.N2 W45</t>
        </is>
      </c>
      <c r="C994" t="inlineStr">
        <is>
          <t>0                      GR 0110000N  2                  W  45</t>
        </is>
      </c>
      <c r="D994" t="inlineStr">
        <is>
          <t>Catfish at the pump : humor and the frontier / Roger L. Welsch ; with Linda K. Welsch.</t>
        </is>
      </c>
      <c r="F994" t="inlineStr">
        <is>
          <t>No</t>
        </is>
      </c>
      <c r="G994" t="inlineStr">
        <is>
          <t>1</t>
        </is>
      </c>
      <c r="H994" t="inlineStr">
        <is>
          <t>No</t>
        </is>
      </c>
      <c r="I994" t="inlineStr">
        <is>
          <t>No</t>
        </is>
      </c>
      <c r="J994" t="inlineStr">
        <is>
          <t>0</t>
        </is>
      </c>
      <c r="K994" t="inlineStr">
        <is>
          <t>Welsch, Roger L.</t>
        </is>
      </c>
      <c r="L994" t="inlineStr">
        <is>
          <t>Lincoln, Neb. : Plains Heritage, 1982.</t>
        </is>
      </c>
      <c r="M994" t="inlineStr">
        <is>
          <t>1982</t>
        </is>
      </c>
      <c r="O994" t="inlineStr">
        <is>
          <t>eng</t>
        </is>
      </c>
      <c r="P994" t="inlineStr">
        <is>
          <t>nbu</t>
        </is>
      </c>
      <c r="R994" t="inlineStr">
        <is>
          <t xml:space="preserve">GR </t>
        </is>
      </c>
      <c r="S994" t="n">
        <v>11</v>
      </c>
      <c r="T994" t="n">
        <v>11</v>
      </c>
      <c r="U994" t="inlineStr">
        <is>
          <t>1999-10-25</t>
        </is>
      </c>
      <c r="V994" t="inlineStr">
        <is>
          <t>1999-10-25</t>
        </is>
      </c>
      <c r="W994" t="inlineStr">
        <is>
          <t>1990-05-24</t>
        </is>
      </c>
      <c r="X994" t="inlineStr">
        <is>
          <t>1990-05-24</t>
        </is>
      </c>
      <c r="Y994" t="n">
        <v>70</v>
      </c>
      <c r="Z994" t="n">
        <v>66</v>
      </c>
      <c r="AA994" t="n">
        <v>204</v>
      </c>
      <c r="AB994" t="n">
        <v>25</v>
      </c>
      <c r="AC994" t="n">
        <v>45</v>
      </c>
      <c r="AD994" t="n">
        <v>9</v>
      </c>
      <c r="AE994" t="n">
        <v>12</v>
      </c>
      <c r="AF994" t="n">
        <v>0</v>
      </c>
      <c r="AG994" t="n">
        <v>0</v>
      </c>
      <c r="AH994" t="n">
        <v>0</v>
      </c>
      <c r="AI994" t="n">
        <v>1</v>
      </c>
      <c r="AJ994" t="n">
        <v>0</v>
      </c>
      <c r="AK994" t="n">
        <v>2</v>
      </c>
      <c r="AL994" t="n">
        <v>9</v>
      </c>
      <c r="AM994" t="n">
        <v>10</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HYPERLINK("https://creighton-primo.hosted.exlibrisgroup.com/primo-explore/search?tab=default_tab&amp;search_scope=EVERYTHING&amp;vid=01CRU&amp;lang=en_US&amp;offset=0&amp;query=any,contains,991000069399702656","Catalog Record")</f>
        <v/>
      </c>
      <c r="AT994">
        <f>HYPERLINK("http://www.worldcat.org/oclc/8772022","WorldCat Record")</f>
        <v/>
      </c>
      <c r="AU994" t="inlineStr">
        <is>
          <t>7493463:eng</t>
        </is>
      </c>
      <c r="AV994" t="inlineStr">
        <is>
          <t>8772022</t>
        </is>
      </c>
      <c r="AW994" t="inlineStr">
        <is>
          <t>991000069399702656</t>
        </is>
      </c>
      <c r="AX994" t="inlineStr">
        <is>
          <t>991000069399702656</t>
        </is>
      </c>
      <c r="AY994" t="inlineStr">
        <is>
          <t>2270011790002656</t>
        </is>
      </c>
      <c r="AZ994" t="inlineStr">
        <is>
          <t>BOOK</t>
        </is>
      </c>
      <c r="BC994" t="inlineStr">
        <is>
          <t>32285000170034</t>
        </is>
      </c>
      <c r="BD994" t="inlineStr">
        <is>
          <t>893242950</t>
        </is>
      </c>
    </row>
    <row r="995">
      <c r="A995" t="inlineStr">
        <is>
          <t>No</t>
        </is>
      </c>
      <c r="B995" t="inlineStr">
        <is>
          <t>GR111.G47 B37 1987</t>
        </is>
      </c>
      <c r="C995" t="inlineStr">
        <is>
          <t>0                      GR 0111000G  47                 B  37          1987</t>
        </is>
      </c>
      <c r="D995" t="inlineStr">
        <is>
          <t>German-American folklore / compiled and edited by Mac E. Barrick.</t>
        </is>
      </c>
      <c r="F995" t="inlineStr">
        <is>
          <t>No</t>
        </is>
      </c>
      <c r="G995" t="inlineStr">
        <is>
          <t>1</t>
        </is>
      </c>
      <c r="H995" t="inlineStr">
        <is>
          <t>No</t>
        </is>
      </c>
      <c r="I995" t="inlineStr">
        <is>
          <t>No</t>
        </is>
      </c>
      <c r="J995" t="inlineStr">
        <is>
          <t>0</t>
        </is>
      </c>
      <c r="K995" t="inlineStr">
        <is>
          <t>Barrick, Mac E.</t>
        </is>
      </c>
      <c r="L995" t="inlineStr">
        <is>
          <t>Little Rock, Ark. : August House, 1987.</t>
        </is>
      </c>
      <c r="M995" t="inlineStr">
        <is>
          <t>1987</t>
        </is>
      </c>
      <c r="N995" t="inlineStr">
        <is>
          <t>1st ed.</t>
        </is>
      </c>
      <c r="O995" t="inlineStr">
        <is>
          <t>eng</t>
        </is>
      </c>
      <c r="P995" t="inlineStr">
        <is>
          <t>aru</t>
        </is>
      </c>
      <c r="Q995" t="inlineStr">
        <is>
          <t>American folklore series</t>
        </is>
      </c>
      <c r="R995" t="inlineStr">
        <is>
          <t xml:space="preserve">GR </t>
        </is>
      </c>
      <c r="S995" t="n">
        <v>3</v>
      </c>
      <c r="T995" t="n">
        <v>3</v>
      </c>
      <c r="U995" t="inlineStr">
        <is>
          <t>1999-11-13</t>
        </is>
      </c>
      <c r="V995" t="inlineStr">
        <is>
          <t>1999-11-13</t>
        </is>
      </c>
      <c r="W995" t="inlineStr">
        <is>
          <t>1990-10-01</t>
        </is>
      </c>
      <c r="X995" t="inlineStr">
        <is>
          <t>1990-10-01</t>
        </is>
      </c>
      <c r="Y995" t="n">
        <v>626</v>
      </c>
      <c r="Z995" t="n">
        <v>598</v>
      </c>
      <c r="AA995" t="n">
        <v>605</v>
      </c>
      <c r="AB995" t="n">
        <v>8</v>
      </c>
      <c r="AC995" t="n">
        <v>8</v>
      </c>
      <c r="AD995" t="n">
        <v>10</v>
      </c>
      <c r="AE995" t="n">
        <v>10</v>
      </c>
      <c r="AF995" t="n">
        <v>3</v>
      </c>
      <c r="AG995" t="n">
        <v>3</v>
      </c>
      <c r="AH995" t="n">
        <v>4</v>
      </c>
      <c r="AI995" t="n">
        <v>4</v>
      </c>
      <c r="AJ995" t="n">
        <v>4</v>
      </c>
      <c r="AK995" t="n">
        <v>4</v>
      </c>
      <c r="AL995" t="n">
        <v>2</v>
      </c>
      <c r="AM995" t="n">
        <v>2</v>
      </c>
      <c r="AN995" t="n">
        <v>0</v>
      </c>
      <c r="AO995" t="n">
        <v>0</v>
      </c>
      <c r="AP995" t="inlineStr">
        <is>
          <t>No</t>
        </is>
      </c>
      <c r="AQ995" t="inlineStr">
        <is>
          <t>Yes</t>
        </is>
      </c>
      <c r="AR995">
        <f>HYPERLINK("http://catalog.hathitrust.org/Record/000902085","HathiTrust Record")</f>
        <v/>
      </c>
      <c r="AS995">
        <f>HYPERLINK("https://creighton-primo.hosted.exlibrisgroup.com/primo-explore/search?tab=default_tab&amp;search_scope=EVERYTHING&amp;vid=01CRU&amp;lang=en_US&amp;offset=0&amp;query=any,contains,991001097189702656","Catalog Record")</f>
        <v/>
      </c>
      <c r="AT995">
        <f>HYPERLINK("http://www.worldcat.org/oclc/16276664","WorldCat Record")</f>
        <v/>
      </c>
      <c r="AU995" t="inlineStr">
        <is>
          <t>12337520:eng</t>
        </is>
      </c>
      <c r="AV995" t="inlineStr">
        <is>
          <t>16276664</t>
        </is>
      </c>
      <c r="AW995" t="inlineStr">
        <is>
          <t>991001097189702656</t>
        </is>
      </c>
      <c r="AX995" t="inlineStr">
        <is>
          <t>991001097189702656</t>
        </is>
      </c>
      <c r="AY995" t="inlineStr">
        <is>
          <t>2262097260002656</t>
        </is>
      </c>
      <c r="AZ995" t="inlineStr">
        <is>
          <t>BOOK</t>
        </is>
      </c>
      <c r="BB995" t="inlineStr">
        <is>
          <t>9780874830378</t>
        </is>
      </c>
      <c r="BC995" t="inlineStr">
        <is>
          <t>32285000318047</t>
        </is>
      </c>
      <c r="BD995" t="inlineStr">
        <is>
          <t>893791166</t>
        </is>
      </c>
    </row>
    <row r="996">
      <c r="A996" t="inlineStr">
        <is>
          <t>No</t>
        </is>
      </c>
      <c r="B996" t="inlineStr">
        <is>
          <t>GR111.S65 V36 1990</t>
        </is>
      </c>
      <c r="C996" t="inlineStr">
        <is>
          <t>0                      GR 0111000S  65                 V  36          1990</t>
        </is>
      </c>
      <c r="D996" t="inlineStr">
        <is>
          <t>Spanish-American folktales : the practical wisdom of Spanish-Americans in 28 eloquent and simple stories / Teresa Pijoan de Van Etten.</t>
        </is>
      </c>
      <c r="F996" t="inlineStr">
        <is>
          <t>No</t>
        </is>
      </c>
      <c r="G996" t="inlineStr">
        <is>
          <t>1</t>
        </is>
      </c>
      <c r="H996" t="inlineStr">
        <is>
          <t>No</t>
        </is>
      </c>
      <c r="I996" t="inlineStr">
        <is>
          <t>No</t>
        </is>
      </c>
      <c r="J996" t="inlineStr">
        <is>
          <t>0</t>
        </is>
      </c>
      <c r="K996" t="inlineStr">
        <is>
          <t>Pijoan, Teresa, 1951-</t>
        </is>
      </c>
      <c r="L996" t="inlineStr">
        <is>
          <t>Little Rock : August House, 1990.</t>
        </is>
      </c>
      <c r="M996" t="inlineStr">
        <is>
          <t>1990</t>
        </is>
      </c>
      <c r="N996" t="inlineStr">
        <is>
          <t>1st ed.</t>
        </is>
      </c>
      <c r="O996" t="inlineStr">
        <is>
          <t>eng</t>
        </is>
      </c>
      <c r="P996" t="inlineStr">
        <is>
          <t>aru</t>
        </is>
      </c>
      <c r="R996" t="inlineStr">
        <is>
          <t xml:space="preserve">GR </t>
        </is>
      </c>
      <c r="S996" t="n">
        <v>5</v>
      </c>
      <c r="T996" t="n">
        <v>5</v>
      </c>
      <c r="U996" t="inlineStr">
        <is>
          <t>1997-10-12</t>
        </is>
      </c>
      <c r="V996" t="inlineStr">
        <is>
          <t>1997-10-12</t>
        </is>
      </c>
      <c r="W996" t="inlineStr">
        <is>
          <t>1995-10-30</t>
        </is>
      </c>
      <c r="X996" t="inlineStr">
        <is>
          <t>1995-10-30</t>
        </is>
      </c>
      <c r="Y996" t="n">
        <v>461</v>
      </c>
      <c r="Z996" t="n">
        <v>457</v>
      </c>
      <c r="AA996" t="n">
        <v>464</v>
      </c>
      <c r="AB996" t="n">
        <v>4</v>
      </c>
      <c r="AC996" t="n">
        <v>4</v>
      </c>
      <c r="AD996" t="n">
        <v>5</v>
      </c>
      <c r="AE996" t="n">
        <v>5</v>
      </c>
      <c r="AF996" t="n">
        <v>2</v>
      </c>
      <c r="AG996" t="n">
        <v>2</v>
      </c>
      <c r="AH996" t="n">
        <v>1</v>
      </c>
      <c r="AI996" t="n">
        <v>1</v>
      </c>
      <c r="AJ996" t="n">
        <v>2</v>
      </c>
      <c r="AK996" t="n">
        <v>2</v>
      </c>
      <c r="AL996" t="n">
        <v>1</v>
      </c>
      <c r="AM996" t="n">
        <v>1</v>
      </c>
      <c r="AN996" t="n">
        <v>0</v>
      </c>
      <c r="AO996" t="n">
        <v>0</v>
      </c>
      <c r="AP996" t="inlineStr">
        <is>
          <t>No</t>
        </is>
      </c>
      <c r="AQ996" t="inlineStr">
        <is>
          <t>Yes</t>
        </is>
      </c>
      <c r="AR996">
        <f>HYPERLINK("http://catalog.hathitrust.org/Record/006932923","HathiTrust Record")</f>
        <v/>
      </c>
      <c r="AS996">
        <f>HYPERLINK("https://creighton-primo.hosted.exlibrisgroup.com/primo-explore/search?tab=default_tab&amp;search_scope=EVERYTHING&amp;vid=01CRU&amp;lang=en_US&amp;offset=0&amp;query=any,contains,991001742299702656","Catalog Record")</f>
        <v/>
      </c>
      <c r="AT996">
        <f>HYPERLINK("http://www.worldcat.org/oclc/22006132","WorldCat Record")</f>
        <v/>
      </c>
      <c r="AU996" t="inlineStr">
        <is>
          <t>22972705:eng</t>
        </is>
      </c>
      <c r="AV996" t="inlineStr">
        <is>
          <t>22006132</t>
        </is>
      </c>
      <c r="AW996" t="inlineStr">
        <is>
          <t>991001742299702656</t>
        </is>
      </c>
      <c r="AX996" t="inlineStr">
        <is>
          <t>991001742299702656</t>
        </is>
      </c>
      <c r="AY996" t="inlineStr">
        <is>
          <t>2265085450002656</t>
        </is>
      </c>
      <c r="AZ996" t="inlineStr">
        <is>
          <t>BOOK</t>
        </is>
      </c>
      <c r="BB996" t="inlineStr">
        <is>
          <t>9780874831559</t>
        </is>
      </c>
      <c r="BC996" t="inlineStr">
        <is>
          <t>32285002069655</t>
        </is>
      </c>
      <c r="BD996" t="inlineStr">
        <is>
          <t>893529177</t>
        </is>
      </c>
    </row>
    <row r="997">
      <c r="A997" t="inlineStr">
        <is>
          <t>No</t>
        </is>
      </c>
      <c r="B997" t="inlineStr">
        <is>
          <t>GR113 .F68 1981</t>
        </is>
      </c>
      <c r="C997" t="inlineStr">
        <is>
          <t>0                      GR 0113000F  68          1981</t>
        </is>
      </c>
      <c r="D997" t="inlineStr">
        <is>
          <t>A bibliography of Canadian folklore in English / compiled by Edith Fowke and Carole Henderson Carpenter.</t>
        </is>
      </c>
      <c r="F997" t="inlineStr">
        <is>
          <t>No</t>
        </is>
      </c>
      <c r="G997" t="inlineStr">
        <is>
          <t>1</t>
        </is>
      </c>
      <c r="H997" t="inlineStr">
        <is>
          <t>No</t>
        </is>
      </c>
      <c r="I997" t="inlineStr">
        <is>
          <t>No</t>
        </is>
      </c>
      <c r="J997" t="inlineStr">
        <is>
          <t>0</t>
        </is>
      </c>
      <c r="K997" t="inlineStr">
        <is>
          <t>Fowke, Edith, 1913-1996.</t>
        </is>
      </c>
      <c r="L997" t="inlineStr">
        <is>
          <t>Toronto ; Buffalo : University of Toronto Press, c1981.</t>
        </is>
      </c>
      <c r="M997" t="inlineStr">
        <is>
          <t>1981</t>
        </is>
      </c>
      <c r="O997" t="inlineStr">
        <is>
          <t>eng</t>
        </is>
      </c>
      <c r="P997" t="inlineStr">
        <is>
          <t>onc</t>
        </is>
      </c>
      <c r="R997" t="inlineStr">
        <is>
          <t xml:space="preserve">GR </t>
        </is>
      </c>
      <c r="S997" t="n">
        <v>3</v>
      </c>
      <c r="T997" t="n">
        <v>3</v>
      </c>
      <c r="U997" t="inlineStr">
        <is>
          <t>1999-11-13</t>
        </is>
      </c>
      <c r="V997" t="inlineStr">
        <is>
          <t>1999-11-13</t>
        </is>
      </c>
      <c r="W997" t="inlineStr">
        <is>
          <t>1990-10-01</t>
        </is>
      </c>
      <c r="X997" t="inlineStr">
        <is>
          <t>1990-10-01</t>
        </is>
      </c>
      <c r="Y997" t="n">
        <v>322</v>
      </c>
      <c r="Z997" t="n">
        <v>226</v>
      </c>
      <c r="AA997" t="n">
        <v>286</v>
      </c>
      <c r="AB997" t="n">
        <v>2</v>
      </c>
      <c r="AC997" t="n">
        <v>3</v>
      </c>
      <c r="AD997" t="n">
        <v>3</v>
      </c>
      <c r="AE997" t="n">
        <v>9</v>
      </c>
      <c r="AF997" t="n">
        <v>1</v>
      </c>
      <c r="AG997" t="n">
        <v>5</v>
      </c>
      <c r="AH997" t="n">
        <v>1</v>
      </c>
      <c r="AI997" t="n">
        <v>2</v>
      </c>
      <c r="AJ997" t="n">
        <v>2</v>
      </c>
      <c r="AK997" t="n">
        <v>3</v>
      </c>
      <c r="AL997" t="n">
        <v>1</v>
      </c>
      <c r="AM997" t="n">
        <v>2</v>
      </c>
      <c r="AN997" t="n">
        <v>0</v>
      </c>
      <c r="AO997" t="n">
        <v>0</v>
      </c>
      <c r="AP997" t="inlineStr">
        <is>
          <t>No</t>
        </is>
      </c>
      <c r="AQ997" t="inlineStr">
        <is>
          <t>Yes</t>
        </is>
      </c>
      <c r="AR997">
        <f>HYPERLINK("http://catalog.hathitrust.org/Record/000182687","HathiTrust Record")</f>
        <v/>
      </c>
      <c r="AS997">
        <f>HYPERLINK("https://creighton-primo.hosted.exlibrisgroup.com/primo-explore/search?tab=default_tab&amp;search_scope=EVERYTHING&amp;vid=01CRU&amp;lang=en_US&amp;offset=0&amp;query=any,contains,991005191789702656","Catalog Record")</f>
        <v/>
      </c>
      <c r="AT997">
        <f>HYPERLINK("http://www.worldcat.org/oclc/8006694","WorldCat Record")</f>
        <v/>
      </c>
      <c r="AU997" t="inlineStr">
        <is>
          <t>62259817:eng</t>
        </is>
      </c>
      <c r="AV997" t="inlineStr">
        <is>
          <t>8006694</t>
        </is>
      </c>
      <c r="AW997" t="inlineStr">
        <is>
          <t>991005191789702656</t>
        </is>
      </c>
      <c r="AX997" t="inlineStr">
        <is>
          <t>991005191789702656</t>
        </is>
      </c>
      <c r="AY997" t="inlineStr">
        <is>
          <t>2263138540002656</t>
        </is>
      </c>
      <c r="AZ997" t="inlineStr">
        <is>
          <t>BOOK</t>
        </is>
      </c>
      <c r="BB997" t="inlineStr">
        <is>
          <t>9780802023940</t>
        </is>
      </c>
      <c r="BC997" t="inlineStr">
        <is>
          <t>32285000318062</t>
        </is>
      </c>
      <c r="BD997" t="inlineStr">
        <is>
          <t>893533331</t>
        </is>
      </c>
    </row>
    <row r="998">
      <c r="A998" t="inlineStr">
        <is>
          <t>No</t>
        </is>
      </c>
      <c r="B998" t="inlineStr">
        <is>
          <t>GR115 .P36</t>
        </is>
      </c>
      <c r="C998" t="inlineStr">
        <is>
          <t>0                      GR 0115000P  36</t>
        </is>
      </c>
      <c r="D998" t="inlineStr">
        <is>
          <t>Folktales of Mexico. Edited and translated by Américo Paredes. Foreword by Richard M. Dorson.</t>
        </is>
      </c>
      <c r="F998" t="inlineStr">
        <is>
          <t>No</t>
        </is>
      </c>
      <c r="G998" t="inlineStr">
        <is>
          <t>1</t>
        </is>
      </c>
      <c r="H998" t="inlineStr">
        <is>
          <t>No</t>
        </is>
      </c>
      <c r="I998" t="inlineStr">
        <is>
          <t>No</t>
        </is>
      </c>
      <c r="J998" t="inlineStr">
        <is>
          <t>0</t>
        </is>
      </c>
      <c r="K998" t="inlineStr">
        <is>
          <t>Paredes, Américo, 1915-1999, compiler.</t>
        </is>
      </c>
      <c r="L998" t="inlineStr">
        <is>
          <t>Chicago, University of Chicago Press [1970]</t>
        </is>
      </c>
      <c r="M998" t="inlineStr">
        <is>
          <t>1970</t>
        </is>
      </c>
      <c r="O998" t="inlineStr">
        <is>
          <t>eng</t>
        </is>
      </c>
      <c r="P998" t="inlineStr">
        <is>
          <t>ilu</t>
        </is>
      </c>
      <c r="Q998" t="inlineStr">
        <is>
          <t>Folktales of the world</t>
        </is>
      </c>
      <c r="R998" t="inlineStr">
        <is>
          <t xml:space="preserve">GR </t>
        </is>
      </c>
      <c r="S998" t="n">
        <v>3</v>
      </c>
      <c r="T998" t="n">
        <v>3</v>
      </c>
      <c r="U998" t="inlineStr">
        <is>
          <t>1999-11-13</t>
        </is>
      </c>
      <c r="V998" t="inlineStr">
        <is>
          <t>1999-11-13</t>
        </is>
      </c>
      <c r="W998" t="inlineStr">
        <is>
          <t>1997-05-29</t>
        </is>
      </c>
      <c r="X998" t="inlineStr">
        <is>
          <t>1997-05-29</t>
        </is>
      </c>
      <c r="Y998" t="n">
        <v>1148</v>
      </c>
      <c r="Z998" t="n">
        <v>1065</v>
      </c>
      <c r="AA998" t="n">
        <v>1076</v>
      </c>
      <c r="AB998" t="n">
        <v>9</v>
      </c>
      <c r="AC998" t="n">
        <v>9</v>
      </c>
      <c r="AD998" t="n">
        <v>30</v>
      </c>
      <c r="AE998" t="n">
        <v>30</v>
      </c>
      <c r="AF998" t="n">
        <v>12</v>
      </c>
      <c r="AG998" t="n">
        <v>12</v>
      </c>
      <c r="AH998" t="n">
        <v>6</v>
      </c>
      <c r="AI998" t="n">
        <v>6</v>
      </c>
      <c r="AJ998" t="n">
        <v>15</v>
      </c>
      <c r="AK998" t="n">
        <v>15</v>
      </c>
      <c r="AL998" t="n">
        <v>5</v>
      </c>
      <c r="AM998" t="n">
        <v>5</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HYPERLINK("https://creighton-primo.hosted.exlibrisgroup.com/primo-explore/search?tab=default_tab&amp;search_scope=EVERYTHING&amp;vid=01CRU&amp;lang=en_US&amp;offset=0&amp;query=any,contains,991000727859702656","Catalog Record")</f>
        <v/>
      </c>
      <c r="AT998">
        <f>HYPERLINK("http://www.worldcat.org/oclc/128227","WorldCat Record")</f>
        <v/>
      </c>
      <c r="AU998" t="inlineStr">
        <is>
          <t>14561745:eng</t>
        </is>
      </c>
      <c r="AV998" t="inlineStr">
        <is>
          <t>128227</t>
        </is>
      </c>
      <c r="AW998" t="inlineStr">
        <is>
          <t>991000727859702656</t>
        </is>
      </c>
      <c r="AX998" t="inlineStr">
        <is>
          <t>991000727859702656</t>
        </is>
      </c>
      <c r="AY998" t="inlineStr">
        <is>
          <t>2261619700002656</t>
        </is>
      </c>
      <c r="AZ998" t="inlineStr">
        <is>
          <t>BOOK</t>
        </is>
      </c>
      <c r="BB998" t="inlineStr">
        <is>
          <t>9780226645711</t>
        </is>
      </c>
      <c r="BC998" t="inlineStr">
        <is>
          <t>32285002698214</t>
        </is>
      </c>
      <c r="BD998" t="inlineStr">
        <is>
          <t>893425979</t>
        </is>
      </c>
    </row>
    <row r="999">
      <c r="A999" t="inlineStr">
        <is>
          <t>No</t>
        </is>
      </c>
      <c r="B999" t="inlineStr">
        <is>
          <t>GR120 .A27 1983</t>
        </is>
      </c>
      <c r="C999" t="inlineStr">
        <is>
          <t>0                      GR 0120000A  27          1983</t>
        </is>
      </c>
      <c r="D999" t="inlineStr">
        <is>
          <t>The man-of-words in the West Indies : performance and the emergence of Creole culture / Roger D. Abrahams.</t>
        </is>
      </c>
      <c r="F999" t="inlineStr">
        <is>
          <t>No</t>
        </is>
      </c>
      <c r="G999" t="inlineStr">
        <is>
          <t>1</t>
        </is>
      </c>
      <c r="H999" t="inlineStr">
        <is>
          <t>No</t>
        </is>
      </c>
      <c r="I999" t="inlineStr">
        <is>
          <t>No</t>
        </is>
      </c>
      <c r="J999" t="inlineStr">
        <is>
          <t>0</t>
        </is>
      </c>
      <c r="K999" t="inlineStr">
        <is>
          <t>Abrahams, Roger D.</t>
        </is>
      </c>
      <c r="L999" t="inlineStr">
        <is>
          <t>Baltimore : Johns Hopkins University Press, c1983.</t>
        </is>
      </c>
      <c r="M999" t="inlineStr">
        <is>
          <t>1983</t>
        </is>
      </c>
      <c r="O999" t="inlineStr">
        <is>
          <t>eng</t>
        </is>
      </c>
      <c r="P999" t="inlineStr">
        <is>
          <t>mdu</t>
        </is>
      </c>
      <c r="Q999" t="inlineStr">
        <is>
          <t>Johns Hopkins studies in Atlantic history and culture</t>
        </is>
      </c>
      <c r="R999" t="inlineStr">
        <is>
          <t xml:space="preserve">GR </t>
        </is>
      </c>
      <c r="S999" t="n">
        <v>2</v>
      </c>
      <c r="T999" t="n">
        <v>2</v>
      </c>
      <c r="U999" t="inlineStr">
        <is>
          <t>1993-12-03</t>
        </is>
      </c>
      <c r="V999" t="inlineStr">
        <is>
          <t>1993-12-03</t>
        </is>
      </c>
      <c r="W999" t="inlineStr">
        <is>
          <t>1990-03-02</t>
        </is>
      </c>
      <c r="X999" t="inlineStr">
        <is>
          <t>1990-03-02</t>
        </is>
      </c>
      <c r="Y999" t="n">
        <v>549</v>
      </c>
      <c r="Z999" t="n">
        <v>447</v>
      </c>
      <c r="AA999" t="n">
        <v>454</v>
      </c>
      <c r="AB999" t="n">
        <v>3</v>
      </c>
      <c r="AC999" t="n">
        <v>3</v>
      </c>
      <c r="AD999" t="n">
        <v>18</v>
      </c>
      <c r="AE999" t="n">
        <v>18</v>
      </c>
      <c r="AF999" t="n">
        <v>8</v>
      </c>
      <c r="AG999" t="n">
        <v>8</v>
      </c>
      <c r="AH999" t="n">
        <v>4</v>
      </c>
      <c r="AI999" t="n">
        <v>4</v>
      </c>
      <c r="AJ999" t="n">
        <v>10</v>
      </c>
      <c r="AK999" t="n">
        <v>10</v>
      </c>
      <c r="AL999" t="n">
        <v>2</v>
      </c>
      <c r="AM999" t="n">
        <v>2</v>
      </c>
      <c r="AN999" t="n">
        <v>0</v>
      </c>
      <c r="AO999" t="n">
        <v>0</v>
      </c>
      <c r="AP999" t="inlineStr">
        <is>
          <t>No</t>
        </is>
      </c>
      <c r="AQ999" t="inlineStr">
        <is>
          <t>Yes</t>
        </is>
      </c>
      <c r="AR999">
        <f>HYPERLINK("http://catalog.hathitrust.org/Record/000196245","HathiTrust Record")</f>
        <v/>
      </c>
      <c r="AS999">
        <f>HYPERLINK("https://creighton-primo.hosted.exlibrisgroup.com/primo-explore/search?tab=default_tab&amp;search_scope=EVERYTHING&amp;vid=01CRU&amp;lang=en_US&amp;offset=0&amp;query=any,contains,991000060709702656","Catalog Record")</f>
        <v/>
      </c>
      <c r="AT999">
        <f>HYPERLINK("http://www.worldcat.org/oclc/8729188","WorldCat Record")</f>
        <v/>
      </c>
      <c r="AU999" t="inlineStr">
        <is>
          <t>257246190:eng</t>
        </is>
      </c>
      <c r="AV999" t="inlineStr">
        <is>
          <t>8729188</t>
        </is>
      </c>
      <c r="AW999" t="inlineStr">
        <is>
          <t>991000060709702656</t>
        </is>
      </c>
      <c r="AX999" t="inlineStr">
        <is>
          <t>991000060709702656</t>
        </is>
      </c>
      <c r="AY999" t="inlineStr">
        <is>
          <t>2269648070002656</t>
        </is>
      </c>
      <c r="AZ999" t="inlineStr">
        <is>
          <t>BOOK</t>
        </is>
      </c>
      <c r="BB999" t="inlineStr">
        <is>
          <t>9780801828393</t>
        </is>
      </c>
      <c r="BC999" t="inlineStr">
        <is>
          <t>32285000073881</t>
        </is>
      </c>
      <c r="BD999" t="inlineStr">
        <is>
          <t>893249047</t>
        </is>
      </c>
    </row>
    <row r="1000">
      <c r="A1000" t="inlineStr">
        <is>
          <t>No</t>
        </is>
      </c>
      <c r="B1000" t="inlineStr">
        <is>
          <t>GR120 .H55 2007</t>
        </is>
      </c>
      <c r="C1000" t="inlineStr">
        <is>
          <t>0                      GR 0120000H  55          2007</t>
        </is>
      </c>
      <c r="D1000" t="inlineStr">
        <is>
          <t>Caribbean folklore : a handbook / Donald R. Hill.</t>
        </is>
      </c>
      <c r="F1000" t="inlineStr">
        <is>
          <t>No</t>
        </is>
      </c>
      <c r="G1000" t="inlineStr">
        <is>
          <t>1</t>
        </is>
      </c>
      <c r="H1000" t="inlineStr">
        <is>
          <t>No</t>
        </is>
      </c>
      <c r="I1000" t="inlineStr">
        <is>
          <t>No</t>
        </is>
      </c>
      <c r="J1000" t="inlineStr">
        <is>
          <t>0</t>
        </is>
      </c>
      <c r="K1000" t="inlineStr">
        <is>
          <t>Hill, Donald R.</t>
        </is>
      </c>
      <c r="L1000" t="inlineStr">
        <is>
          <t>Westport, Conn. : Greenwood Press, 2007.</t>
        </is>
      </c>
      <c r="M1000" t="inlineStr">
        <is>
          <t>2007</t>
        </is>
      </c>
      <c r="O1000" t="inlineStr">
        <is>
          <t>eng</t>
        </is>
      </c>
      <c r="P1000" t="inlineStr">
        <is>
          <t>ctu</t>
        </is>
      </c>
      <c r="Q1000" t="inlineStr">
        <is>
          <t>Greenwood folklore handbooks, 1549-733X</t>
        </is>
      </c>
      <c r="R1000" t="inlineStr">
        <is>
          <t xml:space="preserve">GR </t>
        </is>
      </c>
      <c r="S1000" t="n">
        <v>1</v>
      </c>
      <c r="T1000" t="n">
        <v>1</v>
      </c>
      <c r="U1000" t="inlineStr">
        <is>
          <t>2009-06-18</t>
        </is>
      </c>
      <c r="V1000" t="inlineStr">
        <is>
          <t>2009-06-18</t>
        </is>
      </c>
      <c r="W1000" t="inlineStr">
        <is>
          <t>2009-06-18</t>
        </is>
      </c>
      <c r="X1000" t="inlineStr">
        <is>
          <t>2009-06-18</t>
        </is>
      </c>
      <c r="Y1000" t="n">
        <v>253</v>
      </c>
      <c r="Z1000" t="n">
        <v>228</v>
      </c>
      <c r="AA1000" t="n">
        <v>238</v>
      </c>
      <c r="AB1000" t="n">
        <v>1</v>
      </c>
      <c r="AC1000" t="n">
        <v>1</v>
      </c>
      <c r="AD1000" t="n">
        <v>7</v>
      </c>
      <c r="AE1000" t="n">
        <v>8</v>
      </c>
      <c r="AF1000" t="n">
        <v>3</v>
      </c>
      <c r="AG1000" t="n">
        <v>3</v>
      </c>
      <c r="AH1000" t="n">
        <v>3</v>
      </c>
      <c r="AI1000" t="n">
        <v>3</v>
      </c>
      <c r="AJ1000" t="n">
        <v>3</v>
      </c>
      <c r="AK1000" t="n">
        <v>4</v>
      </c>
      <c r="AL1000" t="n">
        <v>0</v>
      </c>
      <c r="AM1000" t="n">
        <v>0</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HYPERLINK("https://creighton-primo.hosted.exlibrisgroup.com/primo-explore/search?tab=default_tab&amp;search_scope=EVERYTHING&amp;vid=01CRU&amp;lang=en_US&amp;offset=0&amp;query=any,contains,991005321189702656","Catalog Record")</f>
        <v/>
      </c>
      <c r="AT1000">
        <f>HYPERLINK("http://www.worldcat.org/oclc/154308947","WorldCat Record")</f>
        <v/>
      </c>
      <c r="AU1000" t="inlineStr">
        <is>
          <t>294198993:eng</t>
        </is>
      </c>
      <c r="AV1000" t="inlineStr">
        <is>
          <t>154308947</t>
        </is>
      </c>
      <c r="AW1000" t="inlineStr">
        <is>
          <t>991005321189702656</t>
        </is>
      </c>
      <c r="AX1000" t="inlineStr">
        <is>
          <t>991005321189702656</t>
        </is>
      </c>
      <c r="AY1000" t="inlineStr">
        <is>
          <t>2265743140002656</t>
        </is>
      </c>
      <c r="AZ1000" t="inlineStr">
        <is>
          <t>BOOK</t>
        </is>
      </c>
      <c r="BB1000" t="inlineStr">
        <is>
          <t>9780313336058</t>
        </is>
      </c>
      <c r="BC1000" t="inlineStr">
        <is>
          <t>32285005535504</t>
        </is>
      </c>
      <c r="BD1000" t="inlineStr">
        <is>
          <t>893418737</t>
        </is>
      </c>
    </row>
    <row r="1001">
      <c r="A1001" t="inlineStr">
        <is>
          <t>No</t>
        </is>
      </c>
      <c r="B1001" t="inlineStr">
        <is>
          <t>GR121.D6 U25 2000</t>
        </is>
      </c>
      <c r="C1001" t="inlineStr">
        <is>
          <t>0                      GR 0121000D  6                  U  25          2000</t>
        </is>
      </c>
      <c r="D1001" t="inlineStr">
        <is>
          <t>Mitos, creencias y leyendas dominicanas / Guaroa Ubiñas Renville.</t>
        </is>
      </c>
      <c r="F1001" t="inlineStr">
        <is>
          <t>No</t>
        </is>
      </c>
      <c r="G1001" t="inlineStr">
        <is>
          <t>1</t>
        </is>
      </c>
      <c r="H1001" t="inlineStr">
        <is>
          <t>No</t>
        </is>
      </c>
      <c r="I1001" t="inlineStr">
        <is>
          <t>No</t>
        </is>
      </c>
      <c r="J1001" t="inlineStr">
        <is>
          <t>0</t>
        </is>
      </c>
      <c r="K1001" t="inlineStr">
        <is>
          <t>Ubiñas Renville, Juan Guaroa, 1944-</t>
        </is>
      </c>
      <c r="L1001" t="inlineStr">
        <is>
          <t>Santo Domingo, Rep. Dom. : Ediciones Librería La Trinitaria, 2000.</t>
        </is>
      </c>
      <c r="M1001" t="inlineStr">
        <is>
          <t>2000</t>
        </is>
      </c>
      <c r="O1001" t="inlineStr">
        <is>
          <t>spa</t>
        </is>
      </c>
      <c r="P1001" t="inlineStr">
        <is>
          <t xml:space="preserve">dr </t>
        </is>
      </c>
      <c r="R1001" t="inlineStr">
        <is>
          <t xml:space="preserve">GR </t>
        </is>
      </c>
      <c r="S1001" t="n">
        <v>1</v>
      </c>
      <c r="T1001" t="n">
        <v>1</v>
      </c>
      <c r="U1001" t="inlineStr">
        <is>
          <t>2009-02-12</t>
        </is>
      </c>
      <c r="V1001" t="inlineStr">
        <is>
          <t>2009-02-12</t>
        </is>
      </c>
      <c r="W1001" t="inlineStr">
        <is>
          <t>2001-09-11</t>
        </is>
      </c>
      <c r="X1001" t="inlineStr">
        <is>
          <t>2001-09-11</t>
        </is>
      </c>
      <c r="Y1001" t="n">
        <v>33</v>
      </c>
      <c r="Z1001" t="n">
        <v>29</v>
      </c>
      <c r="AA1001" t="n">
        <v>31</v>
      </c>
      <c r="AB1001" t="n">
        <v>1</v>
      </c>
      <c r="AC1001" t="n">
        <v>1</v>
      </c>
      <c r="AD1001" t="n">
        <v>1</v>
      </c>
      <c r="AE1001" t="n">
        <v>1</v>
      </c>
      <c r="AF1001" t="n">
        <v>0</v>
      </c>
      <c r="AG1001" t="n">
        <v>0</v>
      </c>
      <c r="AH1001" t="n">
        <v>1</v>
      </c>
      <c r="AI1001" t="n">
        <v>1</v>
      </c>
      <c r="AJ1001" t="n">
        <v>0</v>
      </c>
      <c r="AK1001" t="n">
        <v>0</v>
      </c>
      <c r="AL1001" t="n">
        <v>0</v>
      </c>
      <c r="AM1001" t="n">
        <v>0</v>
      </c>
      <c r="AN1001" t="n">
        <v>0</v>
      </c>
      <c r="AO1001" t="n">
        <v>0</v>
      </c>
      <c r="AP1001" t="inlineStr">
        <is>
          <t>No</t>
        </is>
      </c>
      <c r="AQ1001" t="inlineStr">
        <is>
          <t>Yes</t>
        </is>
      </c>
      <c r="AR1001">
        <f>HYPERLINK("http://catalog.hathitrust.org/Record/101182359","HathiTrust Record")</f>
        <v/>
      </c>
      <c r="AS1001">
        <f>HYPERLINK("https://creighton-primo.hosted.exlibrisgroup.com/primo-explore/search?tab=default_tab&amp;search_scope=EVERYTHING&amp;vid=01CRU&amp;lang=en_US&amp;offset=0&amp;query=any,contains,991003547059702656","Catalog Record")</f>
        <v/>
      </c>
      <c r="AT1001">
        <f>HYPERLINK("http://www.worldcat.org/oclc/47250004","WorldCat Record")</f>
        <v/>
      </c>
      <c r="AU1001" t="inlineStr">
        <is>
          <t>35952809:spa</t>
        </is>
      </c>
      <c r="AV1001" t="inlineStr">
        <is>
          <t>47250004</t>
        </is>
      </c>
      <c r="AW1001" t="inlineStr">
        <is>
          <t>991003547059702656</t>
        </is>
      </c>
      <c r="AX1001" t="inlineStr">
        <is>
          <t>991003547059702656</t>
        </is>
      </c>
      <c r="AY1001" t="inlineStr">
        <is>
          <t>2257467280002656</t>
        </is>
      </c>
      <c r="AZ1001" t="inlineStr">
        <is>
          <t>BOOK</t>
        </is>
      </c>
      <c r="BB1001" t="inlineStr">
        <is>
          <t>9789993400998</t>
        </is>
      </c>
      <c r="BC1001" t="inlineStr">
        <is>
          <t>32285004390414</t>
        </is>
      </c>
      <c r="BD1001" t="inlineStr">
        <is>
          <t>893324178</t>
        </is>
      </c>
    </row>
    <row r="1002">
      <c r="A1002" t="inlineStr">
        <is>
          <t>No</t>
        </is>
      </c>
      <c r="B1002" t="inlineStr">
        <is>
          <t>GR121.D6 U25 2003</t>
        </is>
      </c>
      <c r="C1002" t="inlineStr">
        <is>
          <t>0                      GR 0121000D  6                  U  25          2003</t>
        </is>
      </c>
      <c r="D1002" t="inlineStr">
        <is>
          <t>Historias y leyendas afro-dominicanas / Guaroa Ubiñas Renville.</t>
        </is>
      </c>
      <c r="F1002" t="inlineStr">
        <is>
          <t>No</t>
        </is>
      </c>
      <c r="G1002" t="inlineStr">
        <is>
          <t>1</t>
        </is>
      </c>
      <c r="H1002" t="inlineStr">
        <is>
          <t>No</t>
        </is>
      </c>
      <c r="I1002" t="inlineStr">
        <is>
          <t>No</t>
        </is>
      </c>
      <c r="J1002" t="inlineStr">
        <is>
          <t>0</t>
        </is>
      </c>
      <c r="K1002" t="inlineStr">
        <is>
          <t>Ubiñas Renville, Juan Guaroa, 1944-</t>
        </is>
      </c>
      <c r="L1002" t="inlineStr">
        <is>
          <t>Santo Domingo, República Dominicana : Manatí, 2003.</t>
        </is>
      </c>
      <c r="M1002" t="inlineStr">
        <is>
          <t>2003</t>
        </is>
      </c>
      <c r="O1002" t="inlineStr">
        <is>
          <t>spa</t>
        </is>
      </c>
      <c r="P1002" t="inlineStr">
        <is>
          <t xml:space="preserve">dr </t>
        </is>
      </c>
      <c r="R1002" t="inlineStr">
        <is>
          <t xml:space="preserve">GR </t>
        </is>
      </c>
      <c r="S1002" t="n">
        <v>1</v>
      </c>
      <c r="T1002" t="n">
        <v>1</v>
      </c>
      <c r="U1002" t="inlineStr">
        <is>
          <t>2009-02-12</t>
        </is>
      </c>
      <c r="V1002" t="inlineStr">
        <is>
          <t>2009-02-12</t>
        </is>
      </c>
      <c r="W1002" t="inlineStr">
        <is>
          <t>2005-01-25</t>
        </is>
      </c>
      <c r="X1002" t="inlineStr">
        <is>
          <t>2005-01-25</t>
        </is>
      </c>
      <c r="Y1002" t="n">
        <v>45</v>
      </c>
      <c r="Z1002" t="n">
        <v>40</v>
      </c>
      <c r="AA1002" t="n">
        <v>42</v>
      </c>
      <c r="AB1002" t="n">
        <v>1</v>
      </c>
      <c r="AC1002" t="n">
        <v>1</v>
      </c>
      <c r="AD1002" t="n">
        <v>0</v>
      </c>
      <c r="AE1002" t="n">
        <v>0</v>
      </c>
      <c r="AF1002" t="n">
        <v>0</v>
      </c>
      <c r="AG1002" t="n">
        <v>0</v>
      </c>
      <c r="AH1002" t="n">
        <v>0</v>
      </c>
      <c r="AI1002" t="n">
        <v>0</v>
      </c>
      <c r="AJ1002" t="n">
        <v>0</v>
      </c>
      <c r="AK1002" t="n">
        <v>0</v>
      </c>
      <c r="AL1002" t="n">
        <v>0</v>
      </c>
      <c r="AM1002" t="n">
        <v>0</v>
      </c>
      <c r="AN1002" t="n">
        <v>0</v>
      </c>
      <c r="AO1002" t="n">
        <v>0</v>
      </c>
      <c r="AP1002" t="inlineStr">
        <is>
          <t>No</t>
        </is>
      </c>
      <c r="AQ1002" t="inlineStr">
        <is>
          <t>Yes</t>
        </is>
      </c>
      <c r="AR1002">
        <f>HYPERLINK("http://catalog.hathitrust.org/Record/003881706","HathiTrust Record")</f>
        <v/>
      </c>
      <c r="AS1002">
        <f>HYPERLINK("https://creighton-primo.hosted.exlibrisgroup.com/primo-explore/search?tab=default_tab&amp;search_scope=EVERYTHING&amp;vid=01CRU&amp;lang=en_US&amp;offset=0&amp;query=any,contains,991004461569702656","Catalog Record")</f>
        <v/>
      </c>
      <c r="AT1002">
        <f>HYPERLINK("http://www.worldcat.org/oclc/52932245","WorldCat Record")</f>
        <v/>
      </c>
      <c r="AU1002" t="inlineStr">
        <is>
          <t>11220459:spa</t>
        </is>
      </c>
      <c r="AV1002" t="inlineStr">
        <is>
          <t>52932245</t>
        </is>
      </c>
      <c r="AW1002" t="inlineStr">
        <is>
          <t>991004461569702656</t>
        </is>
      </c>
      <c r="AX1002" t="inlineStr">
        <is>
          <t>991004461569702656</t>
        </is>
      </c>
      <c r="AY1002" t="inlineStr">
        <is>
          <t>2267911290002656</t>
        </is>
      </c>
      <c r="AZ1002" t="inlineStr">
        <is>
          <t>BOOK</t>
        </is>
      </c>
      <c r="BB1002" t="inlineStr">
        <is>
          <t>9789993420248</t>
        </is>
      </c>
      <c r="BC1002" t="inlineStr">
        <is>
          <t>32285005022818</t>
        </is>
      </c>
      <c r="BD1002" t="inlineStr">
        <is>
          <t>893353403</t>
        </is>
      </c>
    </row>
    <row r="1003">
      <c r="A1003" t="inlineStr">
        <is>
          <t>No</t>
        </is>
      </c>
      <c r="B1003" t="inlineStr">
        <is>
          <t>GR121.D6 V44 2000</t>
        </is>
      </c>
      <c r="C1003" t="inlineStr">
        <is>
          <t>0                      GR 0121000D  6                  V  44          2000</t>
        </is>
      </c>
      <c r="D1003" t="inlineStr">
        <is>
          <t>Así somos en el Cibao / Lorenzo Velázquez (Bulín).</t>
        </is>
      </c>
      <c r="F1003" t="inlineStr">
        <is>
          <t>No</t>
        </is>
      </c>
      <c r="G1003" t="inlineStr">
        <is>
          <t>1</t>
        </is>
      </c>
      <c r="H1003" t="inlineStr">
        <is>
          <t>No</t>
        </is>
      </c>
      <c r="I1003" t="inlineStr">
        <is>
          <t>No</t>
        </is>
      </c>
      <c r="J1003" t="inlineStr">
        <is>
          <t>0</t>
        </is>
      </c>
      <c r="K1003" t="inlineStr">
        <is>
          <t>Velázquez, Lorenzo.</t>
        </is>
      </c>
      <c r="L1003" t="inlineStr">
        <is>
          <t>República Dominicana : Ediciones Libreria la Trinitaria, 2000.</t>
        </is>
      </c>
      <c r="M1003" t="inlineStr">
        <is>
          <t>2000</t>
        </is>
      </c>
      <c r="N1003" t="inlineStr">
        <is>
          <t>1. ed.</t>
        </is>
      </c>
      <c r="O1003" t="inlineStr">
        <is>
          <t>spa</t>
        </is>
      </c>
      <c r="P1003" t="inlineStr">
        <is>
          <t xml:space="preserve">dr </t>
        </is>
      </c>
      <c r="R1003" t="inlineStr">
        <is>
          <t xml:space="preserve">GR </t>
        </is>
      </c>
      <c r="S1003" t="n">
        <v>2</v>
      </c>
      <c r="T1003" t="n">
        <v>2</v>
      </c>
      <c r="U1003" t="inlineStr">
        <is>
          <t>2002-02-21</t>
        </is>
      </c>
      <c r="V1003" t="inlineStr">
        <is>
          <t>2002-02-21</t>
        </is>
      </c>
      <c r="W1003" t="inlineStr">
        <is>
          <t>2002-02-21</t>
        </is>
      </c>
      <c r="X1003" t="inlineStr">
        <is>
          <t>2002-02-21</t>
        </is>
      </c>
      <c r="Y1003" t="n">
        <v>13</v>
      </c>
      <c r="Z1003" t="n">
        <v>11</v>
      </c>
      <c r="AA1003" t="n">
        <v>11</v>
      </c>
      <c r="AB1003" t="n">
        <v>1</v>
      </c>
      <c r="AC1003" t="n">
        <v>1</v>
      </c>
      <c r="AD1003" t="n">
        <v>0</v>
      </c>
      <c r="AE1003" t="n">
        <v>0</v>
      </c>
      <c r="AF1003" t="n">
        <v>0</v>
      </c>
      <c r="AG1003" t="n">
        <v>0</v>
      </c>
      <c r="AH1003" t="n">
        <v>0</v>
      </c>
      <c r="AI1003" t="n">
        <v>0</v>
      </c>
      <c r="AJ1003" t="n">
        <v>0</v>
      </c>
      <c r="AK1003" t="n">
        <v>0</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HYPERLINK("https://creighton-primo.hosted.exlibrisgroup.com/primo-explore/search?tab=default_tab&amp;search_scope=EVERYTHING&amp;vid=01CRU&amp;lang=en_US&amp;offset=0&amp;query=any,contains,991003744199702656","Catalog Record")</f>
        <v/>
      </c>
      <c r="AT1003">
        <f>HYPERLINK("http://www.worldcat.org/oclc/48892998","WorldCat Record")</f>
        <v/>
      </c>
      <c r="AU1003" t="inlineStr">
        <is>
          <t>38629508:spa</t>
        </is>
      </c>
      <c r="AV1003" t="inlineStr">
        <is>
          <t>48892998</t>
        </is>
      </c>
      <c r="AW1003" t="inlineStr">
        <is>
          <t>991003744199702656</t>
        </is>
      </c>
      <c r="AX1003" t="inlineStr">
        <is>
          <t>991003744199702656</t>
        </is>
      </c>
      <c r="AY1003" t="inlineStr">
        <is>
          <t>2269072320002656</t>
        </is>
      </c>
      <c r="AZ1003" t="inlineStr">
        <is>
          <t>BOOK</t>
        </is>
      </c>
      <c r="BB1003" t="inlineStr">
        <is>
          <t>9789993401568</t>
        </is>
      </c>
      <c r="BC1003" t="inlineStr">
        <is>
          <t>32285004456496</t>
        </is>
      </c>
      <c r="BD1003" t="inlineStr">
        <is>
          <t>893592846</t>
        </is>
      </c>
    </row>
    <row r="1004">
      <c r="A1004" t="inlineStr">
        <is>
          <t>No</t>
        </is>
      </c>
      <c r="B1004" t="inlineStr">
        <is>
          <t>GR121.H3 M3 1998</t>
        </is>
      </c>
      <c r="C1004" t="inlineStr">
        <is>
          <t>0                      GR 0121000H  3                  M  3           1998</t>
        </is>
      </c>
      <c r="D1004" t="inlineStr">
        <is>
          <t>Ainsi parla l'oncle : essais d'ethnographie / Jean Price-Mars ; [introduction, Roger Gaillard]</t>
        </is>
      </c>
      <c r="F1004" t="inlineStr">
        <is>
          <t>No</t>
        </is>
      </c>
      <c r="G1004" t="inlineStr">
        <is>
          <t>1</t>
        </is>
      </c>
      <c r="H1004" t="inlineStr">
        <is>
          <t>No</t>
        </is>
      </c>
      <c r="I1004" t="inlineStr">
        <is>
          <t>No</t>
        </is>
      </c>
      <c r="J1004" t="inlineStr">
        <is>
          <t>0</t>
        </is>
      </c>
      <c r="K1004" t="inlineStr">
        <is>
          <t>Price-Mars, Jean, 1876-1969.</t>
        </is>
      </c>
      <c r="L1004" t="inlineStr">
        <is>
          <t>Port-au-Prince : L'Imprimeur II, 1998.</t>
        </is>
      </c>
      <c r="M1004" t="inlineStr">
        <is>
          <t>1998</t>
        </is>
      </c>
      <c r="O1004" t="inlineStr">
        <is>
          <t>fre</t>
        </is>
      </c>
      <c r="P1004" t="inlineStr">
        <is>
          <t xml:space="preserve">ht </t>
        </is>
      </c>
      <c r="R1004" t="inlineStr">
        <is>
          <t xml:space="preserve">GR </t>
        </is>
      </c>
      <c r="S1004" t="n">
        <v>1</v>
      </c>
      <c r="T1004" t="n">
        <v>1</v>
      </c>
      <c r="U1004" t="inlineStr">
        <is>
          <t>2001-06-07</t>
        </is>
      </c>
      <c r="V1004" t="inlineStr">
        <is>
          <t>2001-06-07</t>
        </is>
      </c>
      <c r="W1004" t="inlineStr">
        <is>
          <t>2001-06-07</t>
        </is>
      </c>
      <c r="X1004" t="inlineStr">
        <is>
          <t>2001-06-07</t>
        </is>
      </c>
      <c r="Y1004" t="n">
        <v>18</v>
      </c>
      <c r="Z1004" t="n">
        <v>17</v>
      </c>
      <c r="AA1004" t="n">
        <v>71</v>
      </c>
      <c r="AB1004" t="n">
        <v>1</v>
      </c>
      <c r="AC1004" t="n">
        <v>1</v>
      </c>
      <c r="AD1004" t="n">
        <v>1</v>
      </c>
      <c r="AE1004" t="n">
        <v>3</v>
      </c>
      <c r="AF1004" t="n">
        <v>0</v>
      </c>
      <c r="AG1004" t="n">
        <v>0</v>
      </c>
      <c r="AH1004" t="n">
        <v>1</v>
      </c>
      <c r="AI1004" t="n">
        <v>2</v>
      </c>
      <c r="AJ1004" t="n">
        <v>0</v>
      </c>
      <c r="AK1004" t="n">
        <v>2</v>
      </c>
      <c r="AL1004" t="n">
        <v>0</v>
      </c>
      <c r="AM1004" t="n">
        <v>0</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HYPERLINK("https://creighton-primo.hosted.exlibrisgroup.com/primo-explore/search?tab=default_tab&amp;search_scope=EVERYTHING&amp;vid=01CRU&amp;lang=en_US&amp;offset=0&amp;query=any,contains,991003555439702656","Catalog Record")</f>
        <v/>
      </c>
      <c r="AT1004">
        <f>HYPERLINK("http://www.worldcat.org/oclc/40450666","WorldCat Record")</f>
        <v/>
      </c>
      <c r="AU1004" t="inlineStr">
        <is>
          <t>2945947933:fre</t>
        </is>
      </c>
      <c r="AV1004" t="inlineStr">
        <is>
          <t>40450666</t>
        </is>
      </c>
      <c r="AW1004" t="inlineStr">
        <is>
          <t>991003555439702656</t>
        </is>
      </c>
      <c r="AX1004" t="inlineStr">
        <is>
          <t>991003555439702656</t>
        </is>
      </c>
      <c r="AY1004" t="inlineStr">
        <is>
          <t>2267768690002656</t>
        </is>
      </c>
      <c r="AZ1004" t="inlineStr">
        <is>
          <t>BOOK</t>
        </is>
      </c>
      <c r="BC1004" t="inlineStr">
        <is>
          <t>32285004326194</t>
        </is>
      </c>
      <c r="BD1004" t="inlineStr">
        <is>
          <t>893692836</t>
        </is>
      </c>
    </row>
    <row r="1005">
      <c r="A1005" t="inlineStr">
        <is>
          <t>No</t>
        </is>
      </c>
      <c r="B1005" t="inlineStr">
        <is>
          <t>GR121.P8 R35 1998</t>
        </is>
      </c>
      <c r="C1005" t="inlineStr">
        <is>
          <t>0                      GR 0121000P  8                  R  35          1998</t>
        </is>
      </c>
      <c r="D1005" t="inlineStr">
        <is>
          <t>Los cuentos de Juan Bobo / colección de María Cadilla de Martínez ; adaptación por José Ramírez Rivera ; [dibujos, Freda Barbarika].</t>
        </is>
      </c>
      <c r="F1005" t="inlineStr">
        <is>
          <t>No</t>
        </is>
      </c>
      <c r="G1005" t="inlineStr">
        <is>
          <t>1</t>
        </is>
      </c>
      <c r="H1005" t="inlineStr">
        <is>
          <t>No</t>
        </is>
      </c>
      <c r="I1005" t="inlineStr">
        <is>
          <t>No</t>
        </is>
      </c>
      <c r="J1005" t="inlineStr">
        <is>
          <t>0</t>
        </is>
      </c>
      <c r="K1005" t="inlineStr">
        <is>
          <t>Ramírez-Rivera, José, 1929-</t>
        </is>
      </c>
      <c r="L1005" t="inlineStr">
        <is>
          <t>Mayagüez, P.R. : Ediciones Libero, 1998, c1979.</t>
        </is>
      </c>
      <c r="M1005" t="inlineStr">
        <is>
          <t>1998</t>
        </is>
      </c>
      <c r="N1005" t="inlineStr">
        <is>
          <t>4. ed.</t>
        </is>
      </c>
      <c r="O1005" t="inlineStr">
        <is>
          <t>spa</t>
        </is>
      </c>
      <c r="P1005" t="inlineStr">
        <is>
          <t xml:space="preserve">pr </t>
        </is>
      </c>
      <c r="R1005" t="inlineStr">
        <is>
          <t xml:space="preserve">GR </t>
        </is>
      </c>
      <c r="S1005" t="n">
        <v>1</v>
      </c>
      <c r="T1005" t="n">
        <v>1</v>
      </c>
      <c r="U1005" t="inlineStr">
        <is>
          <t>2005-11-30</t>
        </is>
      </c>
      <c r="V1005" t="inlineStr">
        <is>
          <t>2005-11-30</t>
        </is>
      </c>
      <c r="W1005" t="inlineStr">
        <is>
          <t>2005-11-30</t>
        </is>
      </c>
      <c r="X1005" t="inlineStr">
        <is>
          <t>2005-11-30</t>
        </is>
      </c>
      <c r="Y1005" t="n">
        <v>3</v>
      </c>
      <c r="Z1005" t="n">
        <v>3</v>
      </c>
      <c r="AA1005" t="n">
        <v>53</v>
      </c>
      <c r="AB1005" t="n">
        <v>1</v>
      </c>
      <c r="AC1005" t="n">
        <v>1</v>
      </c>
      <c r="AD1005" t="n">
        <v>0</v>
      </c>
      <c r="AE1005" t="n">
        <v>0</v>
      </c>
      <c r="AF1005" t="n">
        <v>0</v>
      </c>
      <c r="AG1005" t="n">
        <v>0</v>
      </c>
      <c r="AH1005" t="n">
        <v>0</v>
      </c>
      <c r="AI1005" t="n">
        <v>0</v>
      </c>
      <c r="AJ1005" t="n">
        <v>0</v>
      </c>
      <c r="AK1005" t="n">
        <v>0</v>
      </c>
      <c r="AL1005" t="n">
        <v>0</v>
      </c>
      <c r="AM1005" t="n">
        <v>0</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HYPERLINK("https://creighton-primo.hosted.exlibrisgroup.com/primo-explore/search?tab=default_tab&amp;search_scope=EVERYTHING&amp;vid=01CRU&amp;lang=en_US&amp;offset=0&amp;query=any,contains,991004699849702656","Catalog Record")</f>
        <v/>
      </c>
      <c r="AT1005">
        <f>HYPERLINK("http://www.worldcat.org/oclc/53923236","WorldCat Record")</f>
        <v/>
      </c>
      <c r="AU1005" t="inlineStr">
        <is>
          <t>426821999:spa</t>
        </is>
      </c>
      <c r="AV1005" t="inlineStr">
        <is>
          <t>53923236</t>
        </is>
      </c>
      <c r="AW1005" t="inlineStr">
        <is>
          <t>991004699849702656</t>
        </is>
      </c>
      <c r="AX1005" t="inlineStr">
        <is>
          <t>991004699849702656</t>
        </is>
      </c>
      <c r="AY1005" t="inlineStr">
        <is>
          <t>2266259100002656</t>
        </is>
      </c>
      <c r="AZ1005" t="inlineStr">
        <is>
          <t>BOOK</t>
        </is>
      </c>
      <c r="BB1005" t="inlineStr">
        <is>
          <t>9780960170067</t>
        </is>
      </c>
      <c r="BC1005" t="inlineStr">
        <is>
          <t>32285005149868</t>
        </is>
      </c>
      <c r="BD1005" t="inlineStr">
        <is>
          <t>893901650</t>
        </is>
      </c>
    </row>
    <row r="1006">
      <c r="A1006" t="inlineStr">
        <is>
          <t>No</t>
        </is>
      </c>
      <c r="B1006" t="inlineStr">
        <is>
          <t>GR133.V4 S25 1985</t>
        </is>
      </c>
      <c r="C1006" t="inlineStr">
        <is>
          <t>0                      GR 0133000V  4                  S  25          1985</t>
        </is>
      </c>
      <c r="D1006" t="inlineStr">
        <is>
          <t>El cuento folklórico en Venezuela : antología, clasificación y estudio / Yolanda Salas de Lecuna.</t>
        </is>
      </c>
      <c r="F1006" t="inlineStr">
        <is>
          <t>No</t>
        </is>
      </c>
      <c r="G1006" t="inlineStr">
        <is>
          <t>1</t>
        </is>
      </c>
      <c r="H1006" t="inlineStr">
        <is>
          <t>No</t>
        </is>
      </c>
      <c r="I1006" t="inlineStr">
        <is>
          <t>No</t>
        </is>
      </c>
      <c r="J1006" t="inlineStr">
        <is>
          <t>0</t>
        </is>
      </c>
      <c r="K1006" t="inlineStr">
        <is>
          <t>Salas de Lecuna, Yolanda.</t>
        </is>
      </c>
      <c r="L1006" t="inlineStr">
        <is>
          <t>Caracas : Academia Nacional de la Historia, 1985.</t>
        </is>
      </c>
      <c r="M1006" t="inlineStr">
        <is>
          <t>1985</t>
        </is>
      </c>
      <c r="O1006" t="inlineStr">
        <is>
          <t>spa</t>
        </is>
      </c>
      <c r="P1006" t="inlineStr">
        <is>
          <t xml:space="preserve">ve </t>
        </is>
      </c>
      <c r="Q1006" t="inlineStr">
        <is>
          <t>Biblioteca de la Academia Nacional de la Historia. Estudios, monografías y ensayos ; 68</t>
        </is>
      </c>
      <c r="R1006" t="inlineStr">
        <is>
          <t xml:space="preserve">GR </t>
        </is>
      </c>
      <c r="S1006" t="n">
        <v>1</v>
      </c>
      <c r="T1006" t="n">
        <v>1</v>
      </c>
      <c r="U1006" t="inlineStr">
        <is>
          <t>2002-07-29</t>
        </is>
      </c>
      <c r="V1006" t="inlineStr">
        <is>
          <t>2002-07-29</t>
        </is>
      </c>
      <c r="W1006" t="inlineStr">
        <is>
          <t>2002-07-29</t>
        </is>
      </c>
      <c r="X1006" t="inlineStr">
        <is>
          <t>2002-07-29</t>
        </is>
      </c>
      <c r="Y1006" t="n">
        <v>42</v>
      </c>
      <c r="Z1006" t="n">
        <v>36</v>
      </c>
      <c r="AA1006" t="n">
        <v>38</v>
      </c>
      <c r="AB1006" t="n">
        <v>1</v>
      </c>
      <c r="AC1006" t="n">
        <v>1</v>
      </c>
      <c r="AD1006" t="n">
        <v>1</v>
      </c>
      <c r="AE1006" t="n">
        <v>1</v>
      </c>
      <c r="AF1006" t="n">
        <v>0</v>
      </c>
      <c r="AG1006" t="n">
        <v>0</v>
      </c>
      <c r="AH1006" t="n">
        <v>1</v>
      </c>
      <c r="AI1006" t="n">
        <v>1</v>
      </c>
      <c r="AJ1006" t="n">
        <v>1</v>
      </c>
      <c r="AK1006" t="n">
        <v>1</v>
      </c>
      <c r="AL1006" t="n">
        <v>0</v>
      </c>
      <c r="AM1006" t="n">
        <v>0</v>
      </c>
      <c r="AN1006" t="n">
        <v>0</v>
      </c>
      <c r="AO1006" t="n">
        <v>0</v>
      </c>
      <c r="AP1006" t="inlineStr">
        <is>
          <t>No</t>
        </is>
      </c>
      <c r="AQ1006" t="inlineStr">
        <is>
          <t>Yes</t>
        </is>
      </c>
      <c r="AR1006">
        <f>HYPERLINK("http://catalog.hathitrust.org/Record/006934282","HathiTrust Record")</f>
        <v/>
      </c>
      <c r="AS1006">
        <f>HYPERLINK("https://creighton-primo.hosted.exlibrisgroup.com/primo-explore/search?tab=default_tab&amp;search_scope=EVERYTHING&amp;vid=01CRU&amp;lang=en_US&amp;offset=0&amp;query=any,contains,991003847299702656","Catalog Record")</f>
        <v/>
      </c>
      <c r="AT1006">
        <f>HYPERLINK("http://www.worldcat.org/oclc/16684998","WorldCat Record")</f>
        <v/>
      </c>
      <c r="AU1006" t="inlineStr">
        <is>
          <t>365814773:spa</t>
        </is>
      </c>
      <c r="AV1006" t="inlineStr">
        <is>
          <t>16684998</t>
        </is>
      </c>
      <c r="AW1006" t="inlineStr">
        <is>
          <t>991003847299702656</t>
        </is>
      </c>
      <c r="AX1006" t="inlineStr">
        <is>
          <t>991003847299702656</t>
        </is>
      </c>
      <c r="AY1006" t="inlineStr">
        <is>
          <t>2271434230002656</t>
        </is>
      </c>
      <c r="AZ1006" t="inlineStr">
        <is>
          <t>BOOK</t>
        </is>
      </c>
      <c r="BB1006" t="inlineStr">
        <is>
          <t>9789802220458</t>
        </is>
      </c>
      <c r="BC1006" t="inlineStr">
        <is>
          <t>32285004640404</t>
        </is>
      </c>
      <c r="BD1006" t="inlineStr">
        <is>
          <t>893506058</t>
        </is>
      </c>
    </row>
    <row r="1007">
      <c r="A1007" t="inlineStr">
        <is>
          <t>No</t>
        </is>
      </c>
      <c r="B1007" t="inlineStr">
        <is>
          <t>GR135 .L38 1984</t>
        </is>
      </c>
      <c r="C1007" t="inlineStr">
        <is>
          <t>0                      GR 0135000L  38          1984</t>
        </is>
      </c>
      <c r="D1007" t="inlineStr">
        <is>
          <t>Castles / by Alan Lee ; written by David Day ; edited and designed by David Larkin.</t>
        </is>
      </c>
      <c r="F1007" t="inlineStr">
        <is>
          <t>No</t>
        </is>
      </c>
      <c r="G1007" t="inlineStr">
        <is>
          <t>1</t>
        </is>
      </c>
      <c r="H1007" t="inlineStr">
        <is>
          <t>No</t>
        </is>
      </c>
      <c r="I1007" t="inlineStr">
        <is>
          <t>No</t>
        </is>
      </c>
      <c r="J1007" t="inlineStr">
        <is>
          <t>0</t>
        </is>
      </c>
      <c r="K1007" t="inlineStr">
        <is>
          <t>Lee, Alan.</t>
        </is>
      </c>
      <c r="L1007" t="inlineStr">
        <is>
          <t>Toronto ; New York : Bantam, 1984.</t>
        </is>
      </c>
      <c r="M1007" t="inlineStr">
        <is>
          <t>1984</t>
        </is>
      </c>
      <c r="O1007" t="inlineStr">
        <is>
          <t>eng</t>
        </is>
      </c>
      <c r="P1007" t="inlineStr">
        <is>
          <t>onc</t>
        </is>
      </c>
      <c r="Q1007" t="inlineStr">
        <is>
          <t>An Original Bantam gift book</t>
        </is>
      </c>
      <c r="R1007" t="inlineStr">
        <is>
          <t xml:space="preserve">GR </t>
        </is>
      </c>
      <c r="S1007" t="n">
        <v>6</v>
      </c>
      <c r="T1007" t="n">
        <v>6</v>
      </c>
      <c r="U1007" t="inlineStr">
        <is>
          <t>2001-10-31</t>
        </is>
      </c>
      <c r="V1007" t="inlineStr">
        <is>
          <t>2001-10-31</t>
        </is>
      </c>
      <c r="W1007" t="inlineStr">
        <is>
          <t>1990-10-01</t>
        </is>
      </c>
      <c r="X1007" t="inlineStr">
        <is>
          <t>1990-10-01</t>
        </is>
      </c>
      <c r="Y1007" t="n">
        <v>448</v>
      </c>
      <c r="Z1007" t="n">
        <v>411</v>
      </c>
      <c r="AA1007" t="n">
        <v>494</v>
      </c>
      <c r="AB1007" t="n">
        <v>4</v>
      </c>
      <c r="AC1007" t="n">
        <v>4</v>
      </c>
      <c r="AD1007" t="n">
        <v>2</v>
      </c>
      <c r="AE1007" t="n">
        <v>3</v>
      </c>
      <c r="AF1007" t="n">
        <v>1</v>
      </c>
      <c r="AG1007" t="n">
        <v>2</v>
      </c>
      <c r="AH1007" t="n">
        <v>0</v>
      </c>
      <c r="AI1007" t="n">
        <v>0</v>
      </c>
      <c r="AJ1007" t="n">
        <v>2</v>
      </c>
      <c r="AK1007" t="n">
        <v>2</v>
      </c>
      <c r="AL1007" t="n">
        <v>0</v>
      </c>
      <c r="AM1007" t="n">
        <v>0</v>
      </c>
      <c r="AN1007" t="n">
        <v>0</v>
      </c>
      <c r="AO1007" t="n">
        <v>0</v>
      </c>
      <c r="AP1007" t="inlineStr">
        <is>
          <t>No</t>
        </is>
      </c>
      <c r="AQ1007" t="inlineStr">
        <is>
          <t>Yes</t>
        </is>
      </c>
      <c r="AR1007">
        <f>HYPERLINK("http://catalog.hathitrust.org/Record/006934192","HathiTrust Record")</f>
        <v/>
      </c>
      <c r="AS1007">
        <f>HYPERLINK("https://creighton-primo.hosted.exlibrisgroup.com/primo-explore/search?tab=default_tab&amp;search_scope=EVERYTHING&amp;vid=01CRU&amp;lang=en_US&amp;offset=0&amp;query=any,contains,991000431749702656","Catalog Record")</f>
        <v/>
      </c>
      <c r="AT1007">
        <f>HYPERLINK("http://www.worldcat.org/oclc/10779212","WorldCat Record")</f>
        <v/>
      </c>
      <c r="AU1007" t="inlineStr">
        <is>
          <t>3484231:eng</t>
        </is>
      </c>
      <c r="AV1007" t="inlineStr">
        <is>
          <t>10779212</t>
        </is>
      </c>
      <c r="AW1007" t="inlineStr">
        <is>
          <t>991000431749702656</t>
        </is>
      </c>
      <c r="AX1007" t="inlineStr">
        <is>
          <t>991000431749702656</t>
        </is>
      </c>
      <c r="AY1007" t="inlineStr">
        <is>
          <t>2268425560002656</t>
        </is>
      </c>
      <c r="AZ1007" t="inlineStr">
        <is>
          <t>BOOK</t>
        </is>
      </c>
      <c r="BB1007" t="inlineStr">
        <is>
          <t>9780553050660</t>
        </is>
      </c>
      <c r="BC1007" t="inlineStr">
        <is>
          <t>32285000318070</t>
        </is>
      </c>
      <c r="BD1007" t="inlineStr">
        <is>
          <t>893790498</t>
        </is>
      </c>
    </row>
    <row r="1008">
      <c r="A1008" t="inlineStr">
        <is>
          <t>No</t>
        </is>
      </c>
      <c r="B1008" t="inlineStr">
        <is>
          <t>GR135 .L8313 1982</t>
        </is>
      </c>
      <c r="C1008" t="inlineStr">
        <is>
          <t>0                      GR 0135000L  8313        1982</t>
        </is>
      </c>
      <c r="D1008" t="inlineStr">
        <is>
          <t>The European folktale : form and nature / Max Lüthi ; John D. Niles, translator.</t>
        </is>
      </c>
      <c r="F1008" t="inlineStr">
        <is>
          <t>No</t>
        </is>
      </c>
      <c r="G1008" t="inlineStr">
        <is>
          <t>1</t>
        </is>
      </c>
      <c r="H1008" t="inlineStr">
        <is>
          <t>No</t>
        </is>
      </c>
      <c r="I1008" t="inlineStr">
        <is>
          <t>No</t>
        </is>
      </c>
      <c r="J1008" t="inlineStr">
        <is>
          <t>0</t>
        </is>
      </c>
      <c r="K1008" t="inlineStr">
        <is>
          <t>Lüthi, Max, 1909-1991.</t>
        </is>
      </c>
      <c r="L1008" t="inlineStr">
        <is>
          <t>Philadelphia : Institute for the Study of Human Issues, c1982.</t>
        </is>
      </c>
      <c r="M1008" t="inlineStr">
        <is>
          <t>1982</t>
        </is>
      </c>
      <c r="O1008" t="inlineStr">
        <is>
          <t>eng</t>
        </is>
      </c>
      <c r="P1008" t="inlineStr">
        <is>
          <t>pau</t>
        </is>
      </c>
      <c r="Q1008" t="inlineStr">
        <is>
          <t>Translations in folklore studies</t>
        </is>
      </c>
      <c r="R1008" t="inlineStr">
        <is>
          <t xml:space="preserve">GR </t>
        </is>
      </c>
      <c r="S1008" t="n">
        <v>3</v>
      </c>
      <c r="T1008" t="n">
        <v>3</v>
      </c>
      <c r="U1008" t="inlineStr">
        <is>
          <t>2006-12-01</t>
        </is>
      </c>
      <c r="V1008" t="inlineStr">
        <is>
          <t>2006-12-01</t>
        </is>
      </c>
      <c r="W1008" t="inlineStr">
        <is>
          <t>1990-10-01</t>
        </is>
      </c>
      <c r="X1008" t="inlineStr">
        <is>
          <t>1990-10-01</t>
        </is>
      </c>
      <c r="Y1008" t="n">
        <v>675</v>
      </c>
      <c r="Z1008" t="n">
        <v>583</v>
      </c>
      <c r="AA1008" t="n">
        <v>722</v>
      </c>
      <c r="AB1008" t="n">
        <v>4</v>
      </c>
      <c r="AC1008" t="n">
        <v>4</v>
      </c>
      <c r="AD1008" t="n">
        <v>20</v>
      </c>
      <c r="AE1008" t="n">
        <v>30</v>
      </c>
      <c r="AF1008" t="n">
        <v>8</v>
      </c>
      <c r="AG1008" t="n">
        <v>13</v>
      </c>
      <c r="AH1008" t="n">
        <v>4</v>
      </c>
      <c r="AI1008" t="n">
        <v>8</v>
      </c>
      <c r="AJ1008" t="n">
        <v>8</v>
      </c>
      <c r="AK1008" t="n">
        <v>13</v>
      </c>
      <c r="AL1008" t="n">
        <v>3</v>
      </c>
      <c r="AM1008" t="n">
        <v>3</v>
      </c>
      <c r="AN1008" t="n">
        <v>0</v>
      </c>
      <c r="AO1008" t="n">
        <v>0</v>
      </c>
      <c r="AP1008" t="inlineStr">
        <is>
          <t>No</t>
        </is>
      </c>
      <c r="AQ1008" t="inlineStr">
        <is>
          <t>Yes</t>
        </is>
      </c>
      <c r="AR1008">
        <f>HYPERLINK("http://catalog.hathitrust.org/Record/006185870","HathiTrust Record")</f>
        <v/>
      </c>
      <c r="AS1008">
        <f>HYPERLINK("https://creighton-primo.hosted.exlibrisgroup.com/primo-explore/search?tab=default_tab&amp;search_scope=EVERYTHING&amp;vid=01CRU&amp;lang=en_US&amp;offset=0&amp;query=any,contains,991005153409702656","Catalog Record")</f>
        <v/>
      </c>
      <c r="AT1008">
        <f>HYPERLINK("http://www.worldcat.org/oclc/7736573","WorldCat Record")</f>
        <v/>
      </c>
      <c r="AU1008" t="inlineStr">
        <is>
          <t>6419763:eng</t>
        </is>
      </c>
      <c r="AV1008" t="inlineStr">
        <is>
          <t>7736573</t>
        </is>
      </c>
      <c r="AW1008" t="inlineStr">
        <is>
          <t>991005153409702656</t>
        </is>
      </c>
      <c r="AX1008" t="inlineStr">
        <is>
          <t>991005153409702656</t>
        </is>
      </c>
      <c r="AY1008" t="inlineStr">
        <is>
          <t>2255187850002656</t>
        </is>
      </c>
      <c r="AZ1008" t="inlineStr">
        <is>
          <t>BOOK</t>
        </is>
      </c>
      <c r="BB1008" t="inlineStr">
        <is>
          <t>9780897270243</t>
        </is>
      </c>
      <c r="BC1008" t="inlineStr">
        <is>
          <t>32285000318088</t>
        </is>
      </c>
      <c r="BD1008" t="inlineStr">
        <is>
          <t>893807901</t>
        </is>
      </c>
    </row>
    <row r="1009">
      <c r="A1009" t="inlineStr">
        <is>
          <t>No</t>
        </is>
      </c>
      <c r="B1009" t="inlineStr">
        <is>
          <t>GR137 .R43 1961</t>
        </is>
      </c>
      <c r="C1009" t="inlineStr">
        <is>
          <t>0                      GR 0137000R  43          1961</t>
        </is>
      </c>
      <c r="D1009" t="inlineStr">
        <is>
          <t>Celtic heritage : ancient tradition in Ireland and Wales / Alwyn Rees and Brinley Rees.</t>
        </is>
      </c>
      <c r="F1009" t="inlineStr">
        <is>
          <t>No</t>
        </is>
      </c>
      <c r="G1009" t="inlineStr">
        <is>
          <t>1</t>
        </is>
      </c>
      <c r="H1009" t="inlineStr">
        <is>
          <t>No</t>
        </is>
      </c>
      <c r="I1009" t="inlineStr">
        <is>
          <t>No</t>
        </is>
      </c>
      <c r="J1009" t="inlineStr">
        <is>
          <t>0</t>
        </is>
      </c>
      <c r="K1009" t="inlineStr">
        <is>
          <t>Rees, Alwyn D.</t>
        </is>
      </c>
      <c r="L1009" t="inlineStr">
        <is>
          <t>London : Thames and Hudson, 1961.</t>
        </is>
      </c>
      <c r="M1009" t="inlineStr">
        <is>
          <t>1961</t>
        </is>
      </c>
      <c r="O1009" t="inlineStr">
        <is>
          <t>eng</t>
        </is>
      </c>
      <c r="P1009" t="inlineStr">
        <is>
          <t>enk</t>
        </is>
      </c>
      <c r="R1009" t="inlineStr">
        <is>
          <t xml:space="preserve">GR </t>
        </is>
      </c>
      <c r="S1009" t="n">
        <v>1</v>
      </c>
      <c r="T1009" t="n">
        <v>1</v>
      </c>
      <c r="U1009" t="inlineStr">
        <is>
          <t>2008-03-31</t>
        </is>
      </c>
      <c r="V1009" t="inlineStr">
        <is>
          <t>2008-03-31</t>
        </is>
      </c>
      <c r="W1009" t="inlineStr">
        <is>
          <t>2008-03-31</t>
        </is>
      </c>
      <c r="X1009" t="inlineStr">
        <is>
          <t>2008-03-31</t>
        </is>
      </c>
      <c r="Y1009" t="n">
        <v>370</v>
      </c>
      <c r="Z1009" t="n">
        <v>239</v>
      </c>
      <c r="AA1009" t="n">
        <v>381</v>
      </c>
      <c r="AB1009" t="n">
        <v>3</v>
      </c>
      <c r="AC1009" t="n">
        <v>3</v>
      </c>
      <c r="AD1009" t="n">
        <v>10</v>
      </c>
      <c r="AE1009" t="n">
        <v>21</v>
      </c>
      <c r="AF1009" t="n">
        <v>3</v>
      </c>
      <c r="AG1009" t="n">
        <v>7</v>
      </c>
      <c r="AH1009" t="n">
        <v>1</v>
      </c>
      <c r="AI1009" t="n">
        <v>3</v>
      </c>
      <c r="AJ1009" t="n">
        <v>6</v>
      </c>
      <c r="AK1009" t="n">
        <v>15</v>
      </c>
      <c r="AL1009" t="n">
        <v>2</v>
      </c>
      <c r="AM1009" t="n">
        <v>2</v>
      </c>
      <c r="AN1009" t="n">
        <v>0</v>
      </c>
      <c r="AO1009" t="n">
        <v>0</v>
      </c>
      <c r="AP1009" t="inlineStr">
        <is>
          <t>No</t>
        </is>
      </c>
      <c r="AQ1009" t="inlineStr">
        <is>
          <t>Yes</t>
        </is>
      </c>
      <c r="AR1009">
        <f>HYPERLINK("http://catalog.hathitrust.org/Record/001880544","HathiTrust Record")</f>
        <v/>
      </c>
      <c r="AS1009">
        <f>HYPERLINK("https://creighton-primo.hosted.exlibrisgroup.com/primo-explore/search?tab=default_tab&amp;search_scope=EVERYTHING&amp;vid=01CRU&amp;lang=en_US&amp;offset=0&amp;query=any,contains,991005201069702656","Catalog Record")</f>
        <v/>
      </c>
      <c r="AT1009">
        <f>HYPERLINK("http://www.worldcat.org/oclc/53330832","WorldCat Record")</f>
        <v/>
      </c>
      <c r="AU1009" t="inlineStr">
        <is>
          <t>3116085:eng</t>
        </is>
      </c>
      <c r="AV1009" t="inlineStr">
        <is>
          <t>53330832</t>
        </is>
      </c>
      <c r="AW1009" t="inlineStr">
        <is>
          <t>991005201069702656</t>
        </is>
      </c>
      <c r="AX1009" t="inlineStr">
        <is>
          <t>991005201069702656</t>
        </is>
      </c>
      <c r="AY1009" t="inlineStr">
        <is>
          <t>2255692990002656</t>
        </is>
      </c>
      <c r="AZ1009" t="inlineStr">
        <is>
          <t>BOOK</t>
        </is>
      </c>
      <c r="BC1009" t="inlineStr">
        <is>
          <t>32285005399513</t>
        </is>
      </c>
      <c r="BD1009" t="inlineStr">
        <is>
          <t>893789606</t>
        </is>
      </c>
    </row>
    <row r="1010">
      <c r="A1010" t="inlineStr">
        <is>
          <t>No</t>
        </is>
      </c>
      <c r="B1010" t="inlineStr">
        <is>
          <t>GR141 .B7</t>
        </is>
      </c>
      <c r="C1010" t="inlineStr">
        <is>
          <t>0                      GR 0141000B  7</t>
        </is>
      </c>
      <c r="D1010" t="inlineStr">
        <is>
          <t>Folktales of England, edited by Katharine M. Briggs and Ruth L. Tongue.</t>
        </is>
      </c>
      <c r="F1010" t="inlineStr">
        <is>
          <t>No</t>
        </is>
      </c>
      <c r="G1010" t="inlineStr">
        <is>
          <t>1</t>
        </is>
      </c>
      <c r="H1010" t="inlineStr">
        <is>
          <t>No</t>
        </is>
      </c>
      <c r="I1010" t="inlineStr">
        <is>
          <t>No</t>
        </is>
      </c>
      <c r="J1010" t="inlineStr">
        <is>
          <t>0</t>
        </is>
      </c>
      <c r="K1010" t="inlineStr">
        <is>
          <t>Briggs, Katharine Mary editor.</t>
        </is>
      </c>
      <c r="L1010" t="inlineStr">
        <is>
          <t>[Chicago] University of Chicago Press [1965]</t>
        </is>
      </c>
      <c r="M1010" t="inlineStr">
        <is>
          <t>1965</t>
        </is>
      </c>
      <c r="O1010" t="inlineStr">
        <is>
          <t>eng</t>
        </is>
      </c>
      <c r="P1010" t="inlineStr">
        <is>
          <t>ilu</t>
        </is>
      </c>
      <c r="Q1010" t="inlineStr">
        <is>
          <t>Folktales of the world</t>
        </is>
      </c>
      <c r="R1010" t="inlineStr">
        <is>
          <t xml:space="preserve">GR </t>
        </is>
      </c>
      <c r="S1010" t="n">
        <v>2</v>
      </c>
      <c r="T1010" t="n">
        <v>2</v>
      </c>
      <c r="U1010" t="inlineStr">
        <is>
          <t>2000-03-04</t>
        </is>
      </c>
      <c r="V1010" t="inlineStr">
        <is>
          <t>2000-03-04</t>
        </is>
      </c>
      <c r="W1010" t="inlineStr">
        <is>
          <t>1997-05-29</t>
        </is>
      </c>
      <c r="X1010" t="inlineStr">
        <is>
          <t>1997-05-29</t>
        </is>
      </c>
      <c r="Y1010" t="n">
        <v>1052</v>
      </c>
      <c r="Z1010" t="n">
        <v>965</v>
      </c>
      <c r="AA1010" t="n">
        <v>1067</v>
      </c>
      <c r="AB1010" t="n">
        <v>10</v>
      </c>
      <c r="AC1010" t="n">
        <v>11</v>
      </c>
      <c r="AD1010" t="n">
        <v>31</v>
      </c>
      <c r="AE1010" t="n">
        <v>35</v>
      </c>
      <c r="AF1010" t="n">
        <v>10</v>
      </c>
      <c r="AG1010" t="n">
        <v>12</v>
      </c>
      <c r="AH1010" t="n">
        <v>8</v>
      </c>
      <c r="AI1010" t="n">
        <v>9</v>
      </c>
      <c r="AJ1010" t="n">
        <v>14</v>
      </c>
      <c r="AK1010" t="n">
        <v>15</v>
      </c>
      <c r="AL1010" t="n">
        <v>7</v>
      </c>
      <c r="AM1010" t="n">
        <v>8</v>
      </c>
      <c r="AN1010" t="n">
        <v>0</v>
      </c>
      <c r="AO1010" t="n">
        <v>0</v>
      </c>
      <c r="AP1010" t="inlineStr">
        <is>
          <t>No</t>
        </is>
      </c>
      <c r="AQ1010" t="inlineStr">
        <is>
          <t>Yes</t>
        </is>
      </c>
      <c r="AR1010">
        <f>HYPERLINK("http://catalog.hathitrust.org/Record/001276482","HathiTrust Record")</f>
        <v/>
      </c>
      <c r="AS1010">
        <f>HYPERLINK("https://creighton-primo.hosted.exlibrisgroup.com/primo-explore/search?tab=default_tab&amp;search_scope=EVERYTHING&amp;vid=01CRU&amp;lang=en_US&amp;offset=0&amp;query=any,contains,991002165719702656","Catalog Record")</f>
        <v/>
      </c>
      <c r="AT1010">
        <f>HYPERLINK("http://www.worldcat.org/oclc/275210","WorldCat Record")</f>
        <v/>
      </c>
      <c r="AU1010" t="inlineStr">
        <is>
          <t>509833917:eng</t>
        </is>
      </c>
      <c r="AV1010" t="inlineStr">
        <is>
          <t>275210</t>
        </is>
      </c>
      <c r="AW1010" t="inlineStr">
        <is>
          <t>991002165719702656</t>
        </is>
      </c>
      <c r="AX1010" t="inlineStr">
        <is>
          <t>991002165719702656</t>
        </is>
      </c>
      <c r="AY1010" t="inlineStr">
        <is>
          <t>2263570480002656</t>
        </is>
      </c>
      <c r="AZ1010" t="inlineStr">
        <is>
          <t>BOOK</t>
        </is>
      </c>
      <c r="BC1010" t="inlineStr">
        <is>
          <t>32285002698784</t>
        </is>
      </c>
      <c r="BD1010" t="inlineStr">
        <is>
          <t>893504084</t>
        </is>
      </c>
    </row>
    <row r="1011">
      <c r="A1011" t="inlineStr">
        <is>
          <t>No</t>
        </is>
      </c>
      <c r="B1011" t="inlineStr">
        <is>
          <t>GR145.I66 S52 1982</t>
        </is>
      </c>
      <c r="C1011" t="inlineStr">
        <is>
          <t>0                      GR 0145000I  66                 S  52          1982</t>
        </is>
      </c>
      <c r="D1011" t="inlineStr">
        <is>
          <t>Iona / Fiona Macleod.</t>
        </is>
      </c>
      <c r="F1011" t="inlineStr">
        <is>
          <t>No</t>
        </is>
      </c>
      <c r="G1011" t="inlineStr">
        <is>
          <t>1</t>
        </is>
      </c>
      <c r="H1011" t="inlineStr">
        <is>
          <t>No</t>
        </is>
      </c>
      <c r="I1011" t="inlineStr">
        <is>
          <t>No</t>
        </is>
      </c>
      <c r="J1011" t="inlineStr">
        <is>
          <t>0</t>
        </is>
      </c>
      <c r="K1011" t="inlineStr">
        <is>
          <t>Sharp, William, 1855-1905.</t>
        </is>
      </c>
      <c r="L1011" t="inlineStr">
        <is>
          <t>Edinburgh : Floris Books, 1982.</t>
        </is>
      </c>
      <c r="M1011" t="inlineStr">
        <is>
          <t>1982</t>
        </is>
      </c>
      <c r="O1011" t="inlineStr">
        <is>
          <t>eng</t>
        </is>
      </c>
      <c r="P1011" t="inlineStr">
        <is>
          <t>stk</t>
        </is>
      </c>
      <c r="Q1011" t="inlineStr">
        <is>
          <t>Floris classics</t>
        </is>
      </c>
      <c r="R1011" t="inlineStr">
        <is>
          <t xml:space="preserve">GR </t>
        </is>
      </c>
      <c r="S1011" t="n">
        <v>1</v>
      </c>
      <c r="T1011" t="n">
        <v>1</v>
      </c>
      <c r="U1011" t="inlineStr">
        <is>
          <t>2009-03-09</t>
        </is>
      </c>
      <c r="V1011" t="inlineStr">
        <is>
          <t>2009-03-09</t>
        </is>
      </c>
      <c r="W1011" t="inlineStr">
        <is>
          <t>1997-03-10</t>
        </is>
      </c>
      <c r="X1011" t="inlineStr">
        <is>
          <t>1997-03-10</t>
        </is>
      </c>
      <c r="Y1011" t="n">
        <v>36</v>
      </c>
      <c r="Z1011" t="n">
        <v>22</v>
      </c>
      <c r="AA1011" t="n">
        <v>24</v>
      </c>
      <c r="AB1011" t="n">
        <v>1</v>
      </c>
      <c r="AC1011" t="n">
        <v>1</v>
      </c>
      <c r="AD1011" t="n">
        <v>1</v>
      </c>
      <c r="AE1011" t="n">
        <v>1</v>
      </c>
      <c r="AF1011" t="n">
        <v>1</v>
      </c>
      <c r="AG1011" t="n">
        <v>1</v>
      </c>
      <c r="AH1011" t="n">
        <v>0</v>
      </c>
      <c r="AI1011" t="n">
        <v>0</v>
      </c>
      <c r="AJ1011" t="n">
        <v>1</v>
      </c>
      <c r="AK1011" t="n">
        <v>1</v>
      </c>
      <c r="AL1011" t="n">
        <v>0</v>
      </c>
      <c r="AM1011" t="n">
        <v>0</v>
      </c>
      <c r="AN1011" t="n">
        <v>0</v>
      </c>
      <c r="AO1011" t="n">
        <v>0</v>
      </c>
      <c r="AP1011" t="inlineStr">
        <is>
          <t>No</t>
        </is>
      </c>
      <c r="AQ1011" t="inlineStr">
        <is>
          <t>Yes</t>
        </is>
      </c>
      <c r="AR1011">
        <f>HYPERLINK("http://catalog.hathitrust.org/Record/102076692","HathiTrust Record")</f>
        <v/>
      </c>
      <c r="AS1011">
        <f>HYPERLINK("https://creighton-primo.hosted.exlibrisgroup.com/primo-explore/search?tab=default_tab&amp;search_scope=EVERYTHING&amp;vid=01CRU&amp;lang=en_US&amp;offset=0&amp;query=any,contains,991000557349702656","Catalog Record")</f>
        <v/>
      </c>
      <c r="AT1011">
        <f>HYPERLINK("http://www.worldcat.org/oclc/11571466","WorldCat Record")</f>
        <v/>
      </c>
      <c r="AU1011" t="inlineStr">
        <is>
          <t>2908494703:eng</t>
        </is>
      </c>
      <c r="AV1011" t="inlineStr">
        <is>
          <t>11571466</t>
        </is>
      </c>
      <c r="AW1011" t="inlineStr">
        <is>
          <t>991000557349702656</t>
        </is>
      </c>
      <c r="AX1011" t="inlineStr">
        <is>
          <t>991000557349702656</t>
        </is>
      </c>
      <c r="AY1011" t="inlineStr">
        <is>
          <t>2265624740002656</t>
        </is>
      </c>
      <c r="AZ1011" t="inlineStr">
        <is>
          <t>BOOK</t>
        </is>
      </c>
      <c r="BB1011" t="inlineStr">
        <is>
          <t>9780863155000</t>
        </is>
      </c>
      <c r="BC1011" t="inlineStr">
        <is>
          <t>32285002441045</t>
        </is>
      </c>
      <c r="BD1011" t="inlineStr">
        <is>
          <t>893327396</t>
        </is>
      </c>
    </row>
    <row r="1012">
      <c r="A1012" t="inlineStr">
        <is>
          <t>No</t>
        </is>
      </c>
      <c r="B1012" t="inlineStr">
        <is>
          <t>GR147 .C5</t>
        </is>
      </c>
      <c r="C1012" t="inlineStr">
        <is>
          <t>0                      GR 0147000C  5</t>
        </is>
      </c>
      <c r="D1012" t="inlineStr">
        <is>
          <t>A treasury of Irish folklore; the stories, traditions, legends, humor, wisdom, ballads, and songs of the Irish people.</t>
        </is>
      </c>
      <c r="F1012" t="inlineStr">
        <is>
          <t>No</t>
        </is>
      </c>
      <c r="G1012" t="inlineStr">
        <is>
          <t>1</t>
        </is>
      </c>
      <c r="H1012" t="inlineStr">
        <is>
          <t>No</t>
        </is>
      </c>
      <c r="I1012" t="inlineStr">
        <is>
          <t>No</t>
        </is>
      </c>
      <c r="J1012" t="inlineStr">
        <is>
          <t>0</t>
        </is>
      </c>
      <c r="K1012" t="inlineStr">
        <is>
          <t>Colum, Padraic, 1881-1972 editor.</t>
        </is>
      </c>
      <c r="L1012" t="inlineStr">
        <is>
          <t>New York, Crown Publishers [1954]</t>
        </is>
      </c>
      <c r="M1012" t="inlineStr">
        <is>
          <t>1954</t>
        </is>
      </c>
      <c r="O1012" t="inlineStr">
        <is>
          <t>eng</t>
        </is>
      </c>
      <c r="P1012" t="inlineStr">
        <is>
          <t>nyu</t>
        </is>
      </c>
      <c r="R1012" t="inlineStr">
        <is>
          <t xml:space="preserve">GR </t>
        </is>
      </c>
      <c r="S1012" t="n">
        <v>13</v>
      </c>
      <c r="T1012" t="n">
        <v>13</v>
      </c>
      <c r="U1012" t="inlineStr">
        <is>
          <t>1998-04-08</t>
        </is>
      </c>
      <c r="V1012" t="inlineStr">
        <is>
          <t>1998-04-08</t>
        </is>
      </c>
      <c r="W1012" t="inlineStr">
        <is>
          <t>1997-05-29</t>
        </is>
      </c>
      <c r="X1012" t="inlineStr">
        <is>
          <t>1997-05-29</t>
        </is>
      </c>
      <c r="Y1012" t="n">
        <v>687</v>
      </c>
      <c r="Z1012" t="n">
        <v>644</v>
      </c>
      <c r="AA1012" t="n">
        <v>1609</v>
      </c>
      <c r="AB1012" t="n">
        <v>6</v>
      </c>
      <c r="AC1012" t="n">
        <v>17</v>
      </c>
      <c r="AD1012" t="n">
        <v>34</v>
      </c>
      <c r="AE1012" t="n">
        <v>49</v>
      </c>
      <c r="AF1012" t="n">
        <v>12</v>
      </c>
      <c r="AG1012" t="n">
        <v>21</v>
      </c>
      <c r="AH1012" t="n">
        <v>8</v>
      </c>
      <c r="AI1012" t="n">
        <v>11</v>
      </c>
      <c r="AJ1012" t="n">
        <v>19</v>
      </c>
      <c r="AK1012" t="n">
        <v>24</v>
      </c>
      <c r="AL1012" t="n">
        <v>4</v>
      </c>
      <c r="AM1012" t="n">
        <v>6</v>
      </c>
      <c r="AN1012" t="n">
        <v>0</v>
      </c>
      <c r="AO1012" t="n">
        <v>0</v>
      </c>
      <c r="AP1012" t="inlineStr">
        <is>
          <t>No</t>
        </is>
      </c>
      <c r="AQ1012" t="inlineStr">
        <is>
          <t>Yes</t>
        </is>
      </c>
      <c r="AR1012">
        <f>HYPERLINK("http://catalog.hathitrust.org/Record/006935413","HathiTrust Record")</f>
        <v/>
      </c>
      <c r="AS1012">
        <f>HYPERLINK("https://creighton-primo.hosted.exlibrisgroup.com/primo-explore/search?tab=default_tab&amp;search_scope=EVERYTHING&amp;vid=01CRU&amp;lang=en_US&amp;offset=0&amp;query=any,contains,991003771059702656","Catalog Record")</f>
        <v/>
      </c>
      <c r="AT1012">
        <f>HYPERLINK("http://www.worldcat.org/oclc/1471452","WorldCat Record")</f>
        <v/>
      </c>
      <c r="AU1012" t="inlineStr">
        <is>
          <t>54587427:eng</t>
        </is>
      </c>
      <c r="AV1012" t="inlineStr">
        <is>
          <t>1471452</t>
        </is>
      </c>
      <c r="AW1012" t="inlineStr">
        <is>
          <t>991003771059702656</t>
        </is>
      </c>
      <c r="AX1012" t="inlineStr">
        <is>
          <t>991003771059702656</t>
        </is>
      </c>
      <c r="AY1012" t="inlineStr">
        <is>
          <t>2272743260002656</t>
        </is>
      </c>
      <c r="AZ1012" t="inlineStr">
        <is>
          <t>BOOK</t>
        </is>
      </c>
      <c r="BC1012" t="inlineStr">
        <is>
          <t>32285002698834</t>
        </is>
      </c>
      <c r="BD1012" t="inlineStr">
        <is>
          <t>893806193</t>
        </is>
      </c>
    </row>
    <row r="1013">
      <c r="A1013" t="inlineStr">
        <is>
          <t>No</t>
        </is>
      </c>
      <c r="B1013" t="inlineStr">
        <is>
          <t>GR147 .E9</t>
        </is>
      </c>
      <c r="C1013" t="inlineStr">
        <is>
          <t>0                      GR 0147000E  9</t>
        </is>
      </c>
      <c r="D1013" t="inlineStr">
        <is>
          <t>Irish folk ways.</t>
        </is>
      </c>
      <c r="F1013" t="inlineStr">
        <is>
          <t>No</t>
        </is>
      </c>
      <c r="G1013" t="inlineStr">
        <is>
          <t>1</t>
        </is>
      </c>
      <c r="H1013" t="inlineStr">
        <is>
          <t>No</t>
        </is>
      </c>
      <c r="I1013" t="inlineStr">
        <is>
          <t>No</t>
        </is>
      </c>
      <c r="J1013" t="inlineStr">
        <is>
          <t>0</t>
        </is>
      </c>
      <c r="K1013" t="inlineStr">
        <is>
          <t>Evans, E. Estyn (Emyr Estyn), 1905-1989.</t>
        </is>
      </c>
      <c r="L1013" t="inlineStr">
        <is>
          <t>London, Routledge &amp; Paul [1957]</t>
        </is>
      </c>
      <c r="M1013" t="inlineStr">
        <is>
          <t>1957</t>
        </is>
      </c>
      <c r="O1013" t="inlineStr">
        <is>
          <t>eng</t>
        </is>
      </c>
      <c r="P1013" t="inlineStr">
        <is>
          <t xml:space="preserve">xx </t>
        </is>
      </c>
      <c r="R1013" t="inlineStr">
        <is>
          <t xml:space="preserve">GR </t>
        </is>
      </c>
      <c r="S1013" t="n">
        <v>6</v>
      </c>
      <c r="T1013" t="n">
        <v>6</v>
      </c>
      <c r="U1013" t="inlineStr">
        <is>
          <t>2002-08-25</t>
        </is>
      </c>
      <c r="V1013" t="inlineStr">
        <is>
          <t>2002-08-25</t>
        </is>
      </c>
      <c r="W1013" t="inlineStr">
        <is>
          <t>1997-05-29</t>
        </is>
      </c>
      <c r="X1013" t="inlineStr">
        <is>
          <t>1997-05-29</t>
        </is>
      </c>
      <c r="Y1013" t="n">
        <v>292</v>
      </c>
      <c r="Z1013" t="n">
        <v>192</v>
      </c>
      <c r="AA1013" t="n">
        <v>519</v>
      </c>
      <c r="AB1013" t="n">
        <v>2</v>
      </c>
      <c r="AC1013" t="n">
        <v>4</v>
      </c>
      <c r="AD1013" t="n">
        <v>10</v>
      </c>
      <c r="AE1013" t="n">
        <v>21</v>
      </c>
      <c r="AF1013" t="n">
        <v>3</v>
      </c>
      <c r="AG1013" t="n">
        <v>7</v>
      </c>
      <c r="AH1013" t="n">
        <v>3</v>
      </c>
      <c r="AI1013" t="n">
        <v>6</v>
      </c>
      <c r="AJ1013" t="n">
        <v>6</v>
      </c>
      <c r="AK1013" t="n">
        <v>11</v>
      </c>
      <c r="AL1013" t="n">
        <v>1</v>
      </c>
      <c r="AM1013" t="n">
        <v>2</v>
      </c>
      <c r="AN1013" t="n">
        <v>0</v>
      </c>
      <c r="AO1013" t="n">
        <v>0</v>
      </c>
      <c r="AP1013" t="inlineStr">
        <is>
          <t>No</t>
        </is>
      </c>
      <c r="AQ1013" t="inlineStr">
        <is>
          <t>Yes</t>
        </is>
      </c>
      <c r="AR1013">
        <f>HYPERLINK("http://catalog.hathitrust.org/Record/001276521","HathiTrust Record")</f>
        <v/>
      </c>
      <c r="AS1013">
        <f>HYPERLINK("https://creighton-primo.hosted.exlibrisgroup.com/primo-explore/search?tab=default_tab&amp;search_scope=EVERYTHING&amp;vid=01CRU&amp;lang=en_US&amp;offset=0&amp;query=any,contains,991002904629702656","Catalog Record")</f>
        <v/>
      </c>
      <c r="AT1013">
        <f>HYPERLINK("http://www.worldcat.org/oclc/518884","WorldCat Record")</f>
        <v/>
      </c>
      <c r="AU1013" t="inlineStr">
        <is>
          <t>195165692:eng</t>
        </is>
      </c>
      <c r="AV1013" t="inlineStr">
        <is>
          <t>518884</t>
        </is>
      </c>
      <c r="AW1013" t="inlineStr">
        <is>
          <t>991002904629702656</t>
        </is>
      </c>
      <c r="AX1013" t="inlineStr">
        <is>
          <t>991002904629702656</t>
        </is>
      </c>
      <c r="AY1013" t="inlineStr">
        <is>
          <t>2255920470002656</t>
        </is>
      </c>
      <c r="AZ1013" t="inlineStr">
        <is>
          <t>BOOK</t>
        </is>
      </c>
      <c r="BC1013" t="inlineStr">
        <is>
          <t>32285002698859</t>
        </is>
      </c>
      <c r="BD1013" t="inlineStr">
        <is>
          <t>893434431</t>
        </is>
      </c>
    </row>
    <row r="1014">
      <c r="A1014" t="inlineStr">
        <is>
          <t>No</t>
        </is>
      </c>
      <c r="B1014" t="inlineStr">
        <is>
          <t>GR147 .L3 1972c</t>
        </is>
      </c>
      <c r="C1014" t="inlineStr">
        <is>
          <t>0                      GR 0147000L  3           1972c</t>
        </is>
      </c>
      <c r="D1014" t="inlineStr">
        <is>
          <t>West Irish folk-tales and romances / collected and translated [from the Irish] by William Larminie.</t>
        </is>
      </c>
      <c r="F1014" t="inlineStr">
        <is>
          <t>No</t>
        </is>
      </c>
      <c r="G1014" t="inlineStr">
        <is>
          <t>1</t>
        </is>
      </c>
      <c r="H1014" t="inlineStr">
        <is>
          <t>No</t>
        </is>
      </c>
      <c r="I1014" t="inlineStr">
        <is>
          <t>No</t>
        </is>
      </c>
      <c r="J1014" t="inlineStr">
        <is>
          <t>0</t>
        </is>
      </c>
      <c r="K1014" t="inlineStr">
        <is>
          <t>Larminie, William.</t>
        </is>
      </c>
      <c r="L1014" t="inlineStr">
        <is>
          <t>Dublin (81 Merrion Sq., Dublin 2) : Irish University Press, 1972.</t>
        </is>
      </c>
      <c r="M1014" t="inlineStr">
        <is>
          <t>1972</t>
        </is>
      </c>
      <c r="O1014" t="inlineStr">
        <is>
          <t>eng</t>
        </is>
      </c>
      <c r="P1014" t="inlineStr">
        <is>
          <t xml:space="preserve">ie </t>
        </is>
      </c>
      <c r="Q1014" t="inlineStr">
        <is>
          <t>Irish folklore series</t>
        </is>
      </c>
      <c r="R1014" t="inlineStr">
        <is>
          <t xml:space="preserve">GR </t>
        </is>
      </c>
      <c r="S1014" t="n">
        <v>4</v>
      </c>
      <c r="T1014" t="n">
        <v>4</v>
      </c>
      <c r="U1014" t="inlineStr">
        <is>
          <t>2002-09-30</t>
        </is>
      </c>
      <c r="V1014" t="inlineStr">
        <is>
          <t>2002-09-30</t>
        </is>
      </c>
      <c r="W1014" t="inlineStr">
        <is>
          <t>1991-12-23</t>
        </is>
      </c>
      <c r="X1014" t="inlineStr">
        <is>
          <t>1991-12-23</t>
        </is>
      </c>
      <c r="Y1014" t="n">
        <v>35</v>
      </c>
      <c r="Z1014" t="n">
        <v>13</v>
      </c>
      <c r="AA1014" t="n">
        <v>341</v>
      </c>
      <c r="AB1014" t="n">
        <v>1</v>
      </c>
      <c r="AC1014" t="n">
        <v>3</v>
      </c>
      <c r="AD1014" t="n">
        <v>0</v>
      </c>
      <c r="AE1014" t="n">
        <v>15</v>
      </c>
      <c r="AF1014" t="n">
        <v>0</v>
      </c>
      <c r="AG1014" t="n">
        <v>7</v>
      </c>
      <c r="AH1014" t="n">
        <v>0</v>
      </c>
      <c r="AI1014" t="n">
        <v>2</v>
      </c>
      <c r="AJ1014" t="n">
        <v>0</v>
      </c>
      <c r="AK1014" t="n">
        <v>8</v>
      </c>
      <c r="AL1014" t="n">
        <v>0</v>
      </c>
      <c r="AM1014" t="n">
        <v>2</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HYPERLINK("https://creighton-primo.hosted.exlibrisgroup.com/primo-explore/search?tab=default_tab&amp;search_scope=EVERYTHING&amp;vid=01CRU&amp;lang=en_US&amp;offset=0&amp;query=any,contains,991001096059702656","Catalog Record")</f>
        <v/>
      </c>
      <c r="AT1014">
        <f>HYPERLINK("http://www.worldcat.org/oclc/16257615","WorldCat Record")</f>
        <v/>
      </c>
      <c r="AU1014" t="inlineStr">
        <is>
          <t>1408457:eng</t>
        </is>
      </c>
      <c r="AV1014" t="inlineStr">
        <is>
          <t>16257615</t>
        </is>
      </c>
      <c r="AW1014" t="inlineStr">
        <is>
          <t>991001096059702656</t>
        </is>
      </c>
      <c r="AX1014" t="inlineStr">
        <is>
          <t>991001096059702656</t>
        </is>
      </c>
      <c r="AY1014" t="inlineStr">
        <is>
          <t>2261588790002656</t>
        </is>
      </c>
      <c r="AZ1014" t="inlineStr">
        <is>
          <t>BOOK</t>
        </is>
      </c>
      <c r="BB1014" t="inlineStr">
        <is>
          <t>9780716520757</t>
        </is>
      </c>
      <c r="BC1014" t="inlineStr">
        <is>
          <t>32285000879170</t>
        </is>
      </c>
      <c r="BD1014" t="inlineStr">
        <is>
          <t>893438874</t>
        </is>
      </c>
    </row>
    <row r="1015">
      <c r="A1015" t="inlineStr">
        <is>
          <t>No</t>
        </is>
      </c>
      <c r="B1015" t="inlineStr">
        <is>
          <t>GR147 .W6 1970</t>
        </is>
      </c>
      <c r="C1015" t="inlineStr">
        <is>
          <t>0                      GR 0147000W  6           1970</t>
        </is>
      </c>
      <c r="D1015" t="inlineStr">
        <is>
          <t>Traces of the elder faiths of Ireland: a folklore sketch; a handbook of Irish pre-Christian traditions.</t>
        </is>
      </c>
      <c r="F1015" t="inlineStr">
        <is>
          <t>Yes</t>
        </is>
      </c>
      <c r="G1015" t="inlineStr">
        <is>
          <t>1</t>
        </is>
      </c>
      <c r="H1015" t="inlineStr">
        <is>
          <t>Yes</t>
        </is>
      </c>
      <c r="I1015" t="inlineStr">
        <is>
          <t>No</t>
        </is>
      </c>
      <c r="J1015" t="inlineStr">
        <is>
          <t>0</t>
        </is>
      </c>
      <c r="K1015" t="inlineStr">
        <is>
          <t>Wood-Martin, W. G. (William Gregory), 1847-1917.</t>
        </is>
      </c>
      <c r="L1015" t="inlineStr">
        <is>
          <t>Port Washington, N.Y., Kennikat Press [1970]</t>
        </is>
      </c>
      <c r="M1015" t="inlineStr">
        <is>
          <t>1970</t>
        </is>
      </c>
      <c r="O1015" t="inlineStr">
        <is>
          <t>eng</t>
        </is>
      </c>
      <c r="P1015" t="inlineStr">
        <is>
          <t>nyu</t>
        </is>
      </c>
      <c r="Q1015" t="inlineStr">
        <is>
          <t>Kennikat Press scholarly reprints</t>
        </is>
      </c>
      <c r="R1015" t="inlineStr">
        <is>
          <t xml:space="preserve">GR </t>
        </is>
      </c>
      <c r="S1015" t="n">
        <v>1</v>
      </c>
      <c r="T1015" t="n">
        <v>6</v>
      </c>
      <c r="V1015" t="inlineStr">
        <is>
          <t>2000-10-17</t>
        </is>
      </c>
      <c r="W1015" t="inlineStr">
        <is>
          <t>1997-05-29</t>
        </is>
      </c>
      <c r="X1015" t="inlineStr">
        <is>
          <t>1997-05-29</t>
        </is>
      </c>
      <c r="Y1015" t="n">
        <v>98</v>
      </c>
      <c r="Z1015" t="n">
        <v>80</v>
      </c>
      <c r="AA1015" t="n">
        <v>207</v>
      </c>
      <c r="AB1015" t="n">
        <v>2</v>
      </c>
      <c r="AC1015" t="n">
        <v>2</v>
      </c>
      <c r="AD1015" t="n">
        <v>6</v>
      </c>
      <c r="AE1015" t="n">
        <v>18</v>
      </c>
      <c r="AF1015" t="n">
        <v>3</v>
      </c>
      <c r="AG1015" t="n">
        <v>5</v>
      </c>
      <c r="AH1015" t="n">
        <v>2</v>
      </c>
      <c r="AI1015" t="n">
        <v>4</v>
      </c>
      <c r="AJ1015" t="n">
        <v>0</v>
      </c>
      <c r="AK1015" t="n">
        <v>10</v>
      </c>
      <c r="AL1015" t="n">
        <v>1</v>
      </c>
      <c r="AM1015" t="n">
        <v>1</v>
      </c>
      <c r="AN1015" t="n">
        <v>0</v>
      </c>
      <c r="AO1015" t="n">
        <v>0</v>
      </c>
      <c r="AP1015" t="inlineStr">
        <is>
          <t>No</t>
        </is>
      </c>
      <c r="AQ1015" t="inlineStr">
        <is>
          <t>Yes</t>
        </is>
      </c>
      <c r="AR1015">
        <f>HYPERLINK("http://catalog.hathitrust.org/Record/011597263","HathiTrust Record")</f>
        <v/>
      </c>
      <c r="AS1015">
        <f>HYPERLINK("https://creighton-primo.hosted.exlibrisgroup.com/primo-explore/search?tab=default_tab&amp;search_scope=EVERYTHING&amp;vid=01CRU&amp;lang=en_US&amp;offset=0&amp;query=any,contains,991000136019702656","Catalog Record")</f>
        <v/>
      </c>
      <c r="AT1015">
        <f>HYPERLINK("http://www.worldcat.org/oclc/56268","WorldCat Record")</f>
        <v/>
      </c>
      <c r="AU1015" t="inlineStr">
        <is>
          <t>132915717:eng</t>
        </is>
      </c>
      <c r="AV1015" t="inlineStr">
        <is>
          <t>56268</t>
        </is>
      </c>
      <c r="AW1015" t="inlineStr">
        <is>
          <t>991000136019702656</t>
        </is>
      </c>
      <c r="AX1015" t="inlineStr">
        <is>
          <t>991000136019702656</t>
        </is>
      </c>
      <c r="AY1015" t="inlineStr">
        <is>
          <t>2261226790002656</t>
        </is>
      </c>
      <c r="AZ1015" t="inlineStr">
        <is>
          <t>BOOK</t>
        </is>
      </c>
      <c r="BB1015" t="inlineStr">
        <is>
          <t>9780304608072</t>
        </is>
      </c>
      <c r="BC1015" t="inlineStr">
        <is>
          <t>32285002698867</t>
        </is>
      </c>
      <c r="BD1015" t="inlineStr">
        <is>
          <t>893796454</t>
        </is>
      </c>
    </row>
    <row r="1016">
      <c r="A1016" t="inlineStr">
        <is>
          <t>No</t>
        </is>
      </c>
      <c r="B1016" t="inlineStr">
        <is>
          <t>GR147 .W6 1970 V.2</t>
        </is>
      </c>
      <c r="C1016" t="inlineStr">
        <is>
          <t>0                      GR 0147000W  6           1970                                        V.2</t>
        </is>
      </c>
      <c r="D1016" t="inlineStr">
        <is>
          <t>Traces of the elder faiths of Ireland: a folklore sketch; a handbook of Irish pre-Christian traditions.</t>
        </is>
      </c>
      <c r="E1016" t="inlineStr">
        <is>
          <t>V.2*</t>
        </is>
      </c>
      <c r="F1016" t="inlineStr">
        <is>
          <t>Yes</t>
        </is>
      </c>
      <c r="G1016" t="inlineStr">
        <is>
          <t>1</t>
        </is>
      </c>
      <c r="H1016" t="inlineStr">
        <is>
          <t>No</t>
        </is>
      </c>
      <c r="I1016" t="inlineStr">
        <is>
          <t>No</t>
        </is>
      </c>
      <c r="J1016" t="inlineStr">
        <is>
          <t>0</t>
        </is>
      </c>
      <c r="K1016" t="inlineStr">
        <is>
          <t>Wood-Martin, W. G. (William Gregory), 1847-1917.</t>
        </is>
      </c>
      <c r="L1016" t="inlineStr">
        <is>
          <t>Port Washington, N.Y., Kennikat Press [1970]</t>
        </is>
      </c>
      <c r="M1016" t="inlineStr">
        <is>
          <t>1970</t>
        </is>
      </c>
      <c r="O1016" t="inlineStr">
        <is>
          <t>eng</t>
        </is>
      </c>
      <c r="P1016" t="inlineStr">
        <is>
          <t>nyu</t>
        </is>
      </c>
      <c r="Q1016" t="inlineStr">
        <is>
          <t>Kennikat Press scholarly reprints</t>
        </is>
      </c>
      <c r="R1016" t="inlineStr">
        <is>
          <t xml:space="preserve">GR </t>
        </is>
      </c>
      <c r="S1016" t="n">
        <v>5</v>
      </c>
      <c r="T1016" t="n">
        <v>6</v>
      </c>
      <c r="U1016" t="inlineStr">
        <is>
          <t>2000-10-17</t>
        </is>
      </c>
      <c r="V1016" t="inlineStr">
        <is>
          <t>2000-10-17</t>
        </is>
      </c>
      <c r="W1016" t="inlineStr">
        <is>
          <t>1997-05-29</t>
        </is>
      </c>
      <c r="X1016" t="inlineStr">
        <is>
          <t>1997-05-29</t>
        </is>
      </c>
      <c r="Y1016" t="n">
        <v>98</v>
      </c>
      <c r="Z1016" t="n">
        <v>80</v>
      </c>
      <c r="AA1016" t="n">
        <v>207</v>
      </c>
      <c r="AB1016" t="n">
        <v>2</v>
      </c>
      <c r="AC1016" t="n">
        <v>2</v>
      </c>
      <c r="AD1016" t="n">
        <v>6</v>
      </c>
      <c r="AE1016" t="n">
        <v>18</v>
      </c>
      <c r="AF1016" t="n">
        <v>3</v>
      </c>
      <c r="AG1016" t="n">
        <v>5</v>
      </c>
      <c r="AH1016" t="n">
        <v>2</v>
      </c>
      <c r="AI1016" t="n">
        <v>4</v>
      </c>
      <c r="AJ1016" t="n">
        <v>0</v>
      </c>
      <c r="AK1016" t="n">
        <v>10</v>
      </c>
      <c r="AL1016" t="n">
        <v>1</v>
      </c>
      <c r="AM1016" t="n">
        <v>1</v>
      </c>
      <c r="AN1016" t="n">
        <v>0</v>
      </c>
      <c r="AO1016" t="n">
        <v>0</v>
      </c>
      <c r="AP1016" t="inlineStr">
        <is>
          <t>No</t>
        </is>
      </c>
      <c r="AQ1016" t="inlineStr">
        <is>
          <t>Yes</t>
        </is>
      </c>
      <c r="AR1016">
        <f>HYPERLINK("http://catalog.hathitrust.org/Record/011597263","HathiTrust Record")</f>
        <v/>
      </c>
      <c r="AS1016">
        <f>HYPERLINK("https://creighton-primo.hosted.exlibrisgroup.com/primo-explore/search?tab=default_tab&amp;search_scope=EVERYTHING&amp;vid=01CRU&amp;lang=en_US&amp;offset=0&amp;query=any,contains,991000136019702656","Catalog Record")</f>
        <v/>
      </c>
      <c r="AT1016">
        <f>HYPERLINK("http://www.worldcat.org/oclc/56268","WorldCat Record")</f>
        <v/>
      </c>
      <c r="AU1016" t="inlineStr">
        <is>
          <t>132915717:eng</t>
        </is>
      </c>
      <c r="AV1016" t="inlineStr">
        <is>
          <t>56268</t>
        </is>
      </c>
      <c r="AW1016" t="inlineStr">
        <is>
          <t>991000136019702656</t>
        </is>
      </c>
      <c r="AX1016" t="inlineStr">
        <is>
          <t>991000136019702656</t>
        </is>
      </c>
      <c r="AY1016" t="inlineStr">
        <is>
          <t>2261226790002656</t>
        </is>
      </c>
      <c r="AZ1016" t="inlineStr">
        <is>
          <t>BOOK</t>
        </is>
      </c>
      <c r="BB1016" t="inlineStr">
        <is>
          <t>9780304608072</t>
        </is>
      </c>
      <c r="BC1016" t="inlineStr">
        <is>
          <t>32285002698875</t>
        </is>
      </c>
      <c r="BD1016" t="inlineStr">
        <is>
          <t>893790270</t>
        </is>
      </c>
    </row>
    <row r="1017">
      <c r="A1017" t="inlineStr">
        <is>
          <t>No</t>
        </is>
      </c>
      <c r="B1017" t="inlineStr">
        <is>
          <t>GR153.5 .M54 1977</t>
        </is>
      </c>
      <c r="C1017" t="inlineStr">
        <is>
          <t>0                      GR 0153500M  54          1977</t>
        </is>
      </c>
      <c r="D1017" t="inlineStr">
        <is>
          <t>Our like will not be there again : notes from the west of Ireland / Lawrence Millman.</t>
        </is>
      </c>
      <c r="F1017" t="inlineStr">
        <is>
          <t>No</t>
        </is>
      </c>
      <c r="G1017" t="inlineStr">
        <is>
          <t>1</t>
        </is>
      </c>
      <c r="H1017" t="inlineStr">
        <is>
          <t>No</t>
        </is>
      </c>
      <c r="I1017" t="inlineStr">
        <is>
          <t>No</t>
        </is>
      </c>
      <c r="J1017" t="inlineStr">
        <is>
          <t>0</t>
        </is>
      </c>
      <c r="K1017" t="inlineStr">
        <is>
          <t>Millman, Lawrence.</t>
        </is>
      </c>
      <c r="L1017" t="inlineStr">
        <is>
          <t>Boston : Little, Brown, c1977.</t>
        </is>
      </c>
      <c r="M1017" t="inlineStr">
        <is>
          <t>1977</t>
        </is>
      </c>
      <c r="N1017" t="inlineStr">
        <is>
          <t>1st ed.</t>
        </is>
      </c>
      <c r="O1017" t="inlineStr">
        <is>
          <t>eng</t>
        </is>
      </c>
      <c r="P1017" t="inlineStr">
        <is>
          <t>mau</t>
        </is>
      </c>
      <c r="R1017" t="inlineStr">
        <is>
          <t xml:space="preserve">GR </t>
        </is>
      </c>
      <c r="S1017" t="n">
        <v>4</v>
      </c>
      <c r="T1017" t="n">
        <v>4</v>
      </c>
      <c r="U1017" t="inlineStr">
        <is>
          <t>2007-03-21</t>
        </is>
      </c>
      <c r="V1017" t="inlineStr">
        <is>
          <t>2007-03-21</t>
        </is>
      </c>
      <c r="W1017" t="inlineStr">
        <is>
          <t>1990-10-01</t>
        </is>
      </c>
      <c r="X1017" t="inlineStr">
        <is>
          <t>1990-10-01</t>
        </is>
      </c>
      <c r="Y1017" t="n">
        <v>394</v>
      </c>
      <c r="Z1017" t="n">
        <v>362</v>
      </c>
      <c r="AA1017" t="n">
        <v>389</v>
      </c>
      <c r="AB1017" t="n">
        <v>5</v>
      </c>
      <c r="AC1017" t="n">
        <v>5</v>
      </c>
      <c r="AD1017" t="n">
        <v>18</v>
      </c>
      <c r="AE1017" t="n">
        <v>18</v>
      </c>
      <c r="AF1017" t="n">
        <v>4</v>
      </c>
      <c r="AG1017" t="n">
        <v>4</v>
      </c>
      <c r="AH1017" t="n">
        <v>6</v>
      </c>
      <c r="AI1017" t="n">
        <v>6</v>
      </c>
      <c r="AJ1017" t="n">
        <v>9</v>
      </c>
      <c r="AK1017" t="n">
        <v>9</v>
      </c>
      <c r="AL1017" t="n">
        <v>3</v>
      </c>
      <c r="AM1017" t="n">
        <v>3</v>
      </c>
      <c r="AN1017" t="n">
        <v>0</v>
      </c>
      <c r="AO1017" t="n">
        <v>0</v>
      </c>
      <c r="AP1017" t="inlineStr">
        <is>
          <t>No</t>
        </is>
      </c>
      <c r="AQ1017" t="inlineStr">
        <is>
          <t>No</t>
        </is>
      </c>
      <c r="AS1017">
        <f>HYPERLINK("https://creighton-primo.hosted.exlibrisgroup.com/primo-explore/search?tab=default_tab&amp;search_scope=EVERYTHING&amp;vid=01CRU&amp;lang=en_US&amp;offset=0&amp;query=any,contains,991004259899702656","Catalog Record")</f>
        <v/>
      </c>
      <c r="AT1017">
        <f>HYPERLINK("http://www.worldcat.org/oclc/2837533","WorldCat Record")</f>
        <v/>
      </c>
      <c r="AU1017" t="inlineStr">
        <is>
          <t>6496925:eng</t>
        </is>
      </c>
      <c r="AV1017" t="inlineStr">
        <is>
          <t>2837533</t>
        </is>
      </c>
      <c r="AW1017" t="inlineStr">
        <is>
          <t>991004259899702656</t>
        </is>
      </c>
      <c r="AX1017" t="inlineStr">
        <is>
          <t>991004259899702656</t>
        </is>
      </c>
      <c r="AY1017" t="inlineStr">
        <is>
          <t>2262148860002656</t>
        </is>
      </c>
      <c r="AZ1017" t="inlineStr">
        <is>
          <t>BOOK</t>
        </is>
      </c>
      <c r="BB1017" t="inlineStr">
        <is>
          <t>9780316542357</t>
        </is>
      </c>
      <c r="BC1017" t="inlineStr">
        <is>
          <t>32285000318146</t>
        </is>
      </c>
      <c r="BD1017" t="inlineStr">
        <is>
          <t>893417403</t>
        </is>
      </c>
    </row>
    <row r="1018">
      <c r="A1018" t="inlineStr">
        <is>
          <t>No</t>
        </is>
      </c>
      <c r="B1018" t="inlineStr">
        <is>
          <t>GR167.H3 S2 2002</t>
        </is>
      </c>
      <c r="C1018" t="inlineStr">
        <is>
          <t>0                      GR 0167000H  3                  S  2           2002</t>
        </is>
      </c>
      <c r="D1018" t="inlineStr">
        <is>
          <t>Sagen und Legenden vom Harz und vom Kyffhäuser / neu erzählt und herausgegeben von Dietrich Kühn.</t>
        </is>
      </c>
      <c r="F1018" t="inlineStr">
        <is>
          <t>No</t>
        </is>
      </c>
      <c r="G1018" t="inlineStr">
        <is>
          <t>1</t>
        </is>
      </c>
      <c r="H1018" t="inlineStr">
        <is>
          <t>No</t>
        </is>
      </c>
      <c r="I1018" t="inlineStr">
        <is>
          <t>No</t>
        </is>
      </c>
      <c r="J1018" t="inlineStr">
        <is>
          <t>0</t>
        </is>
      </c>
      <c r="L1018" t="inlineStr">
        <is>
          <t>Weimar, [Germany] : Wartburg Verlag, 2002.</t>
        </is>
      </c>
      <c r="M1018" t="inlineStr">
        <is>
          <t>2002</t>
        </is>
      </c>
      <c r="N1018" t="inlineStr">
        <is>
          <t>2. Aufl.</t>
        </is>
      </c>
      <c r="O1018" t="inlineStr">
        <is>
          <t>ger</t>
        </is>
      </c>
      <c r="P1018" t="inlineStr">
        <is>
          <t xml:space="preserve">gw </t>
        </is>
      </c>
      <c r="R1018" t="inlineStr">
        <is>
          <t xml:space="preserve">GR </t>
        </is>
      </c>
      <c r="S1018" t="n">
        <v>1</v>
      </c>
      <c r="T1018" t="n">
        <v>1</v>
      </c>
      <c r="U1018" t="inlineStr">
        <is>
          <t>2003-04-28</t>
        </is>
      </c>
      <c r="V1018" t="inlineStr">
        <is>
          <t>2003-04-28</t>
        </is>
      </c>
      <c r="W1018" t="inlineStr">
        <is>
          <t>2003-04-28</t>
        </is>
      </c>
      <c r="X1018" t="inlineStr">
        <is>
          <t>2003-04-28</t>
        </is>
      </c>
      <c r="Y1018" t="n">
        <v>2</v>
      </c>
      <c r="Z1018" t="n">
        <v>1</v>
      </c>
      <c r="AA1018" t="n">
        <v>1</v>
      </c>
      <c r="AB1018" t="n">
        <v>0</v>
      </c>
      <c r="AC1018" t="n">
        <v>0</v>
      </c>
      <c r="AD1018" t="n">
        <v>0</v>
      </c>
      <c r="AE1018" t="n">
        <v>0</v>
      </c>
      <c r="AF1018" t="n">
        <v>0</v>
      </c>
      <c r="AG1018" t="n">
        <v>0</v>
      </c>
      <c r="AH1018" t="n">
        <v>0</v>
      </c>
      <c r="AI1018" t="n">
        <v>0</v>
      </c>
      <c r="AJ1018" t="n">
        <v>0</v>
      </c>
      <c r="AK1018" t="n">
        <v>0</v>
      </c>
      <c r="AL1018" t="n">
        <v>0</v>
      </c>
      <c r="AM1018" t="n">
        <v>0</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HYPERLINK("https://creighton-primo.hosted.exlibrisgroup.com/primo-explore/search?tab=default_tab&amp;search_scope=EVERYTHING&amp;vid=01CRU&amp;lang=en_US&amp;offset=0&amp;query=any,contains,991004032909702656","Catalog Record")</f>
        <v/>
      </c>
      <c r="AT1018">
        <f>HYPERLINK("http://www.worldcat.org/oclc/50849124","WorldCat Record")</f>
        <v/>
      </c>
      <c r="AU1018" t="inlineStr">
        <is>
          <t>8359117:ger</t>
        </is>
      </c>
      <c r="AV1018" t="inlineStr">
        <is>
          <t>50849124</t>
        </is>
      </c>
      <c r="AW1018" t="inlineStr">
        <is>
          <t>991004032909702656</t>
        </is>
      </c>
      <c r="AX1018" t="inlineStr">
        <is>
          <t>991004032909702656</t>
        </is>
      </c>
      <c r="AY1018" t="inlineStr">
        <is>
          <t>2258145060002656</t>
        </is>
      </c>
      <c r="AZ1018" t="inlineStr">
        <is>
          <t>BOOK</t>
        </is>
      </c>
      <c r="BB1018" t="inlineStr">
        <is>
          <t>9783861600909</t>
        </is>
      </c>
      <c r="BC1018" t="inlineStr">
        <is>
          <t>32285004743984</t>
        </is>
      </c>
      <c r="BD1018" t="inlineStr">
        <is>
          <t>893800512</t>
        </is>
      </c>
    </row>
    <row r="1019">
      <c r="A1019" t="inlineStr">
        <is>
          <t>No</t>
        </is>
      </c>
      <c r="B1019" t="inlineStr">
        <is>
          <t>GR167.H4 W6 1982</t>
        </is>
      </c>
      <c r="C1019" t="inlineStr">
        <is>
          <t>0                      GR 0167000H  4                  W  6           1982</t>
        </is>
      </c>
      <c r="D1019" t="inlineStr">
        <is>
          <t>Hessische Sagen / Johann Wilhelm Wolf.</t>
        </is>
      </c>
      <c r="F1019" t="inlineStr">
        <is>
          <t>No</t>
        </is>
      </c>
      <c r="G1019" t="inlineStr">
        <is>
          <t>1</t>
        </is>
      </c>
      <c r="H1019" t="inlineStr">
        <is>
          <t>No</t>
        </is>
      </c>
      <c r="I1019" t="inlineStr">
        <is>
          <t>No</t>
        </is>
      </c>
      <c r="J1019" t="inlineStr">
        <is>
          <t>0</t>
        </is>
      </c>
      <c r="K1019" t="inlineStr">
        <is>
          <t>Wolf, Johann Wilhelm, 1817-1855.</t>
        </is>
      </c>
      <c r="L1019" t="inlineStr">
        <is>
          <t>Hildesheim ; New York : Georg Olms, 1982.</t>
        </is>
      </c>
      <c r="M1019" t="inlineStr">
        <is>
          <t>1982</t>
        </is>
      </c>
      <c r="O1019" t="inlineStr">
        <is>
          <t>ger</t>
        </is>
      </c>
      <c r="P1019" t="inlineStr">
        <is>
          <t xml:space="preserve">gw </t>
        </is>
      </c>
      <c r="R1019" t="inlineStr">
        <is>
          <t xml:space="preserve">GR </t>
        </is>
      </c>
      <c r="S1019" t="n">
        <v>2</v>
      </c>
      <c r="T1019" t="n">
        <v>2</v>
      </c>
      <c r="U1019" t="inlineStr">
        <is>
          <t>1996-05-28</t>
        </is>
      </c>
      <c r="V1019" t="inlineStr">
        <is>
          <t>1996-05-28</t>
        </is>
      </c>
      <c r="W1019" t="inlineStr">
        <is>
          <t>1990-10-01</t>
        </is>
      </c>
      <c r="X1019" t="inlineStr">
        <is>
          <t>1990-10-01</t>
        </is>
      </c>
      <c r="Y1019" t="n">
        <v>9</v>
      </c>
      <c r="Z1019" t="n">
        <v>5</v>
      </c>
      <c r="AA1019" t="n">
        <v>46</v>
      </c>
      <c r="AB1019" t="n">
        <v>1</v>
      </c>
      <c r="AC1019" t="n">
        <v>1</v>
      </c>
      <c r="AD1019" t="n">
        <v>0</v>
      </c>
      <c r="AE1019" t="n">
        <v>0</v>
      </c>
      <c r="AF1019" t="n">
        <v>0</v>
      </c>
      <c r="AG1019" t="n">
        <v>0</v>
      </c>
      <c r="AH1019" t="n">
        <v>0</v>
      </c>
      <c r="AI1019" t="n">
        <v>0</v>
      </c>
      <c r="AJ1019" t="n">
        <v>0</v>
      </c>
      <c r="AK1019" t="n">
        <v>0</v>
      </c>
      <c r="AL1019" t="n">
        <v>0</v>
      </c>
      <c r="AM1019" t="n">
        <v>0</v>
      </c>
      <c r="AN1019" t="n">
        <v>0</v>
      </c>
      <c r="AO1019" t="n">
        <v>0</v>
      </c>
      <c r="AP1019" t="inlineStr">
        <is>
          <t>No</t>
        </is>
      </c>
      <c r="AQ1019" t="inlineStr">
        <is>
          <t>No</t>
        </is>
      </c>
      <c r="AS1019">
        <f>HYPERLINK("https://creighton-primo.hosted.exlibrisgroup.com/primo-explore/search?tab=default_tab&amp;search_scope=EVERYTHING&amp;vid=01CRU&amp;lang=en_US&amp;offset=0&amp;query=any,contains,991000888009702656","Catalog Record")</f>
        <v/>
      </c>
      <c r="AT1019">
        <f>HYPERLINK("http://www.worldcat.org/oclc/13899540","WorldCat Record")</f>
        <v/>
      </c>
      <c r="AU1019" t="inlineStr">
        <is>
          <t>4432024:ger</t>
        </is>
      </c>
      <c r="AV1019" t="inlineStr">
        <is>
          <t>13899540</t>
        </is>
      </c>
      <c r="AW1019" t="inlineStr">
        <is>
          <t>991000888009702656</t>
        </is>
      </c>
      <c r="AX1019" t="inlineStr">
        <is>
          <t>991000888009702656</t>
        </is>
      </c>
      <c r="AY1019" t="inlineStr">
        <is>
          <t>2263615490002656</t>
        </is>
      </c>
      <c r="AZ1019" t="inlineStr">
        <is>
          <t>BOOK</t>
        </is>
      </c>
      <c r="BB1019" t="inlineStr">
        <is>
          <t>9783487071862</t>
        </is>
      </c>
      <c r="BC1019" t="inlineStr">
        <is>
          <t>32285000318237</t>
        </is>
      </c>
      <c r="BD1019" t="inlineStr">
        <is>
          <t>893351696</t>
        </is>
      </c>
    </row>
    <row r="1020">
      <c r="A1020" t="inlineStr">
        <is>
          <t>No</t>
        </is>
      </c>
      <c r="B1020" t="inlineStr">
        <is>
          <t>GR170 .B58 1970b</t>
        </is>
      </c>
      <c r="C1020" t="inlineStr">
        <is>
          <t>0                      GR 0170000B  58          1970b</t>
        </is>
      </c>
      <c r="D1020" t="inlineStr">
        <is>
          <t>The dangerous hour : the lore of crisis and mystery in rural Greece / by Richard and Eva Blum. With fieldwork assistance by Anna Amera and Sophie Kallifatidou. With a foreword by H. R. H. Prince Peter of Greece.</t>
        </is>
      </c>
      <c r="F1020" t="inlineStr">
        <is>
          <t>No</t>
        </is>
      </c>
      <c r="G1020" t="inlineStr">
        <is>
          <t>1</t>
        </is>
      </c>
      <c r="H1020" t="inlineStr">
        <is>
          <t>No</t>
        </is>
      </c>
      <c r="I1020" t="inlineStr">
        <is>
          <t>No</t>
        </is>
      </c>
      <c r="J1020" t="inlineStr">
        <is>
          <t>0</t>
        </is>
      </c>
      <c r="K1020" t="inlineStr">
        <is>
          <t>Blum, Richard H.</t>
        </is>
      </c>
      <c r="L1020" t="inlineStr">
        <is>
          <t>New York : Scribner, [1970]</t>
        </is>
      </c>
      <c r="M1020" t="inlineStr">
        <is>
          <t>1970</t>
        </is>
      </c>
      <c r="O1020" t="inlineStr">
        <is>
          <t>eng</t>
        </is>
      </c>
      <c r="P1020" t="inlineStr">
        <is>
          <t>nyu</t>
        </is>
      </c>
      <c r="R1020" t="inlineStr">
        <is>
          <t xml:space="preserve">GR </t>
        </is>
      </c>
      <c r="S1020" t="n">
        <v>1</v>
      </c>
      <c r="T1020" t="n">
        <v>1</v>
      </c>
      <c r="U1020" t="inlineStr">
        <is>
          <t>1993-12-04</t>
        </is>
      </c>
      <c r="V1020" t="inlineStr">
        <is>
          <t>1993-12-04</t>
        </is>
      </c>
      <c r="W1020" t="inlineStr">
        <is>
          <t>1993-11-02</t>
        </is>
      </c>
      <c r="X1020" t="inlineStr">
        <is>
          <t>1993-11-02</t>
        </is>
      </c>
      <c r="Y1020" t="n">
        <v>216</v>
      </c>
      <c r="Z1020" t="n">
        <v>197</v>
      </c>
      <c r="AA1020" t="n">
        <v>276</v>
      </c>
      <c r="AB1020" t="n">
        <v>3</v>
      </c>
      <c r="AC1020" t="n">
        <v>4</v>
      </c>
      <c r="AD1020" t="n">
        <v>11</v>
      </c>
      <c r="AE1020" t="n">
        <v>14</v>
      </c>
      <c r="AF1020" t="n">
        <v>3</v>
      </c>
      <c r="AG1020" t="n">
        <v>3</v>
      </c>
      <c r="AH1020" t="n">
        <v>2</v>
      </c>
      <c r="AI1020" t="n">
        <v>2</v>
      </c>
      <c r="AJ1020" t="n">
        <v>6</v>
      </c>
      <c r="AK1020" t="n">
        <v>8</v>
      </c>
      <c r="AL1020" t="n">
        <v>2</v>
      </c>
      <c r="AM1020" t="n">
        <v>3</v>
      </c>
      <c r="AN1020" t="n">
        <v>0</v>
      </c>
      <c r="AO1020" t="n">
        <v>0</v>
      </c>
      <c r="AP1020" t="inlineStr">
        <is>
          <t>No</t>
        </is>
      </c>
      <c r="AQ1020" t="inlineStr">
        <is>
          <t>Yes</t>
        </is>
      </c>
      <c r="AR1020">
        <f>HYPERLINK("http://catalog.hathitrust.org/Record/001276618","HathiTrust Record")</f>
        <v/>
      </c>
      <c r="AS1020">
        <f>HYPERLINK("https://creighton-primo.hosted.exlibrisgroup.com/primo-explore/search?tab=default_tab&amp;search_scope=EVERYTHING&amp;vid=01CRU&amp;lang=en_US&amp;offset=0&amp;query=any,contains,991000605659702656","Catalog Record")</f>
        <v/>
      </c>
      <c r="AT1020">
        <f>HYPERLINK("http://www.worldcat.org/oclc/98967","WorldCat Record")</f>
        <v/>
      </c>
      <c r="AU1020" t="inlineStr">
        <is>
          <t>1172367:eng</t>
        </is>
      </c>
      <c r="AV1020" t="inlineStr">
        <is>
          <t>98967</t>
        </is>
      </c>
      <c r="AW1020" t="inlineStr">
        <is>
          <t>991000605659702656</t>
        </is>
      </c>
      <c r="AX1020" t="inlineStr">
        <is>
          <t>991000605659702656</t>
        </is>
      </c>
      <c r="AY1020" t="inlineStr">
        <is>
          <t>2271985470002656</t>
        </is>
      </c>
      <c r="AZ1020" t="inlineStr">
        <is>
          <t>BOOK</t>
        </is>
      </c>
      <c r="BC1020" t="inlineStr">
        <is>
          <t>32285001795979</t>
        </is>
      </c>
      <c r="BD1020" t="inlineStr">
        <is>
          <t>893884568</t>
        </is>
      </c>
    </row>
    <row r="1021">
      <c r="A1021" t="inlineStr">
        <is>
          <t>No</t>
        </is>
      </c>
      <c r="B1021" t="inlineStr">
        <is>
          <t>GR170 .M39</t>
        </is>
      </c>
      <c r="C1021" t="inlineStr">
        <is>
          <t>0                      GR 0170000M  39</t>
        </is>
      </c>
      <c r="D1021" t="inlineStr">
        <is>
          <t>Folktales of Greece / edited by Georgios A. Megas. Translated by Helen Colaclides. Foreword by Richard M. Dorson.</t>
        </is>
      </c>
      <c r="F1021" t="inlineStr">
        <is>
          <t>No</t>
        </is>
      </c>
      <c r="G1021" t="inlineStr">
        <is>
          <t>1</t>
        </is>
      </c>
      <c r="H1021" t="inlineStr">
        <is>
          <t>No</t>
        </is>
      </c>
      <c r="I1021" t="inlineStr">
        <is>
          <t>Yes</t>
        </is>
      </c>
      <c r="J1021" t="inlineStr">
        <is>
          <t>0</t>
        </is>
      </c>
      <c r="K1021" t="inlineStr">
        <is>
          <t>Megas, Geōrgios A.</t>
        </is>
      </c>
      <c r="L1021" t="inlineStr">
        <is>
          <t>Chicago : University of Chicago Press, [1970]</t>
        </is>
      </c>
      <c r="M1021" t="inlineStr">
        <is>
          <t>1970</t>
        </is>
      </c>
      <c r="O1021" t="inlineStr">
        <is>
          <t>eng</t>
        </is>
      </c>
      <c r="P1021" t="inlineStr">
        <is>
          <t>ilu</t>
        </is>
      </c>
      <c r="Q1021" t="inlineStr">
        <is>
          <t>Folktales of the world</t>
        </is>
      </c>
      <c r="R1021" t="inlineStr">
        <is>
          <t xml:space="preserve">GR </t>
        </is>
      </c>
      <c r="S1021" t="n">
        <v>7</v>
      </c>
      <c r="T1021" t="n">
        <v>7</v>
      </c>
      <c r="U1021" t="inlineStr">
        <is>
          <t>2001-04-19</t>
        </is>
      </c>
      <c r="V1021" t="inlineStr">
        <is>
          <t>2001-04-19</t>
        </is>
      </c>
      <c r="W1021" t="inlineStr">
        <is>
          <t>1993-09-14</t>
        </is>
      </c>
      <c r="X1021" t="inlineStr">
        <is>
          <t>1993-09-14</t>
        </is>
      </c>
      <c r="Y1021" t="n">
        <v>788</v>
      </c>
      <c r="Z1021" t="n">
        <v>692</v>
      </c>
      <c r="AA1021" t="n">
        <v>710</v>
      </c>
      <c r="AB1021" t="n">
        <v>4</v>
      </c>
      <c r="AC1021" t="n">
        <v>4</v>
      </c>
      <c r="AD1021" t="n">
        <v>23</v>
      </c>
      <c r="AE1021" t="n">
        <v>23</v>
      </c>
      <c r="AF1021" t="n">
        <v>7</v>
      </c>
      <c r="AG1021" t="n">
        <v>7</v>
      </c>
      <c r="AH1021" t="n">
        <v>7</v>
      </c>
      <c r="AI1021" t="n">
        <v>7</v>
      </c>
      <c r="AJ1021" t="n">
        <v>15</v>
      </c>
      <c r="AK1021" t="n">
        <v>15</v>
      </c>
      <c r="AL1021" t="n">
        <v>2</v>
      </c>
      <c r="AM1021" t="n">
        <v>2</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HYPERLINK("https://creighton-primo.hosted.exlibrisgroup.com/primo-explore/search?tab=default_tab&amp;search_scope=EVERYTHING&amp;vid=01CRU&amp;lang=en_US&amp;offset=0&amp;query=any,contains,991000719719702656","Catalog Record")</f>
        <v/>
      </c>
      <c r="AT1021">
        <f>HYPERLINK("http://www.worldcat.org/oclc/126416","WorldCat Record")</f>
        <v/>
      </c>
      <c r="AU1021" t="inlineStr">
        <is>
          <t>3901084082:eng</t>
        </is>
      </c>
      <c r="AV1021" t="inlineStr">
        <is>
          <t>126416</t>
        </is>
      </c>
      <c r="AW1021" t="inlineStr">
        <is>
          <t>991000719719702656</t>
        </is>
      </c>
      <c r="AX1021" t="inlineStr">
        <is>
          <t>991000719719702656</t>
        </is>
      </c>
      <c r="AY1021" t="inlineStr">
        <is>
          <t>2258404520002656</t>
        </is>
      </c>
      <c r="AZ1021" t="inlineStr">
        <is>
          <t>BOOK</t>
        </is>
      </c>
      <c r="BB1021" t="inlineStr">
        <is>
          <t>9780226517858</t>
        </is>
      </c>
      <c r="BC1021" t="inlineStr">
        <is>
          <t>32285001770337</t>
        </is>
      </c>
      <c r="BD1021" t="inlineStr">
        <is>
          <t>893432234</t>
        </is>
      </c>
    </row>
    <row r="1022">
      <c r="A1022" t="inlineStr">
        <is>
          <t>No</t>
        </is>
      </c>
      <c r="B1022" t="inlineStr">
        <is>
          <t>GR215 .S46 1972b</t>
        </is>
      </c>
      <c r="C1022" t="inlineStr">
        <is>
          <t>0                      GR 0215000S  46          1972b</t>
        </is>
      </c>
      <c r="D1022" t="inlineStr">
        <is>
          <t>Icelandic folktales and legends / Jacqueline Simpson.</t>
        </is>
      </c>
      <c r="F1022" t="inlineStr">
        <is>
          <t>No</t>
        </is>
      </c>
      <c r="G1022" t="inlineStr">
        <is>
          <t>1</t>
        </is>
      </c>
      <c r="H1022" t="inlineStr">
        <is>
          <t>No</t>
        </is>
      </c>
      <c r="I1022" t="inlineStr">
        <is>
          <t>No</t>
        </is>
      </c>
      <c r="J1022" t="inlineStr">
        <is>
          <t>0</t>
        </is>
      </c>
      <c r="K1022" t="inlineStr">
        <is>
          <t>Simpson, Jacqueline, compiler.</t>
        </is>
      </c>
      <c r="L1022" t="inlineStr">
        <is>
          <t>Berkeley : University of California Press, 1972, 1979 printing.</t>
        </is>
      </c>
      <c r="M1022" t="inlineStr">
        <is>
          <t>1972</t>
        </is>
      </c>
      <c r="O1022" t="inlineStr">
        <is>
          <t>eng</t>
        </is>
      </c>
      <c r="P1022" t="inlineStr">
        <is>
          <t>cau</t>
        </is>
      </c>
      <c r="R1022" t="inlineStr">
        <is>
          <t xml:space="preserve">GR </t>
        </is>
      </c>
      <c r="S1022" t="n">
        <v>1</v>
      </c>
      <c r="T1022" t="n">
        <v>1</v>
      </c>
      <c r="U1022" t="inlineStr">
        <is>
          <t>1993-02-01</t>
        </is>
      </c>
      <c r="V1022" t="inlineStr">
        <is>
          <t>1993-02-01</t>
        </is>
      </c>
      <c r="W1022" t="inlineStr">
        <is>
          <t>1990-10-01</t>
        </is>
      </c>
      <c r="X1022" t="inlineStr">
        <is>
          <t>1990-10-01</t>
        </is>
      </c>
      <c r="Y1022" t="n">
        <v>611</v>
      </c>
      <c r="Z1022" t="n">
        <v>561</v>
      </c>
      <c r="AA1022" t="n">
        <v>696</v>
      </c>
      <c r="AB1022" t="n">
        <v>3</v>
      </c>
      <c r="AC1022" t="n">
        <v>3</v>
      </c>
      <c r="AD1022" t="n">
        <v>18</v>
      </c>
      <c r="AE1022" t="n">
        <v>24</v>
      </c>
      <c r="AF1022" t="n">
        <v>9</v>
      </c>
      <c r="AG1022" t="n">
        <v>11</v>
      </c>
      <c r="AH1022" t="n">
        <v>1</v>
      </c>
      <c r="AI1022" t="n">
        <v>2</v>
      </c>
      <c r="AJ1022" t="n">
        <v>10</v>
      </c>
      <c r="AK1022" t="n">
        <v>14</v>
      </c>
      <c r="AL1022" t="n">
        <v>2</v>
      </c>
      <c r="AM1022" t="n">
        <v>2</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HYPERLINK("https://creighton-primo.hosted.exlibrisgroup.com/primo-explore/search?tab=default_tab&amp;search_scope=EVERYTHING&amp;vid=01CRU&amp;lang=en_US&amp;offset=0&amp;query=any,contains,991002812959702656","Catalog Record")</f>
        <v/>
      </c>
      <c r="AT1022">
        <f>HYPERLINK("http://www.worldcat.org/oclc/456749","WorldCat Record")</f>
        <v/>
      </c>
      <c r="AU1022" t="inlineStr">
        <is>
          <t>500621:eng</t>
        </is>
      </c>
      <c r="AV1022" t="inlineStr">
        <is>
          <t>456749</t>
        </is>
      </c>
      <c r="AW1022" t="inlineStr">
        <is>
          <t>991002812959702656</t>
        </is>
      </c>
      <c r="AX1022" t="inlineStr">
        <is>
          <t>991002812959702656</t>
        </is>
      </c>
      <c r="AY1022" t="inlineStr">
        <is>
          <t>2260772300002656</t>
        </is>
      </c>
      <c r="AZ1022" t="inlineStr">
        <is>
          <t>BOOK</t>
        </is>
      </c>
      <c r="BB1022" t="inlineStr">
        <is>
          <t>9780520021167</t>
        </is>
      </c>
      <c r="BC1022" t="inlineStr">
        <is>
          <t>32285000318278</t>
        </is>
      </c>
      <c r="BD1022" t="inlineStr">
        <is>
          <t>893498566</t>
        </is>
      </c>
    </row>
    <row r="1023">
      <c r="A1023" t="inlineStr">
        <is>
          <t>No</t>
        </is>
      </c>
      <c r="B1023" t="inlineStr">
        <is>
          <t>GR230 .M57 1988</t>
        </is>
      </c>
      <c r="C1023" t="inlineStr">
        <is>
          <t>0                      GR 0230000M  57          1988</t>
        </is>
      </c>
      <c r="D1023" t="inlineStr">
        <is>
          <t>Violence and piety in Spanish folklore / Timothy Mitchell.</t>
        </is>
      </c>
      <c r="F1023" t="inlineStr">
        <is>
          <t>No</t>
        </is>
      </c>
      <c r="G1023" t="inlineStr">
        <is>
          <t>1</t>
        </is>
      </c>
      <c r="H1023" t="inlineStr">
        <is>
          <t>No</t>
        </is>
      </c>
      <c r="I1023" t="inlineStr">
        <is>
          <t>No</t>
        </is>
      </c>
      <c r="J1023" t="inlineStr">
        <is>
          <t>0</t>
        </is>
      </c>
      <c r="K1023" t="inlineStr">
        <is>
          <t>Mitchell, Timothy (Timothy J.)</t>
        </is>
      </c>
      <c r="L1023" t="inlineStr">
        <is>
          <t>Philadelphia : University of Pennsylvania Press, 1988.</t>
        </is>
      </c>
      <c r="M1023" t="inlineStr">
        <is>
          <t>1988</t>
        </is>
      </c>
      <c r="O1023" t="inlineStr">
        <is>
          <t>eng</t>
        </is>
      </c>
      <c r="P1023" t="inlineStr">
        <is>
          <t>pau</t>
        </is>
      </c>
      <c r="R1023" t="inlineStr">
        <is>
          <t xml:space="preserve">GR </t>
        </is>
      </c>
      <c r="S1023" t="n">
        <v>2</v>
      </c>
      <c r="T1023" t="n">
        <v>2</v>
      </c>
      <c r="U1023" t="inlineStr">
        <is>
          <t>1993-07-06</t>
        </is>
      </c>
      <c r="V1023" t="inlineStr">
        <is>
          <t>1993-07-06</t>
        </is>
      </c>
      <c r="W1023" t="inlineStr">
        <is>
          <t>1990-11-19</t>
        </is>
      </c>
      <c r="X1023" t="inlineStr">
        <is>
          <t>1990-11-19</t>
        </is>
      </c>
      <c r="Y1023" t="n">
        <v>346</v>
      </c>
      <c r="Z1023" t="n">
        <v>292</v>
      </c>
      <c r="AA1023" t="n">
        <v>294</v>
      </c>
      <c r="AB1023" t="n">
        <v>2</v>
      </c>
      <c r="AC1023" t="n">
        <v>2</v>
      </c>
      <c r="AD1023" t="n">
        <v>13</v>
      </c>
      <c r="AE1023" t="n">
        <v>13</v>
      </c>
      <c r="AF1023" t="n">
        <v>1</v>
      </c>
      <c r="AG1023" t="n">
        <v>1</v>
      </c>
      <c r="AH1023" t="n">
        <v>6</v>
      </c>
      <c r="AI1023" t="n">
        <v>6</v>
      </c>
      <c r="AJ1023" t="n">
        <v>8</v>
      </c>
      <c r="AK1023" t="n">
        <v>8</v>
      </c>
      <c r="AL1023" t="n">
        <v>1</v>
      </c>
      <c r="AM1023" t="n">
        <v>1</v>
      </c>
      <c r="AN1023" t="n">
        <v>0</v>
      </c>
      <c r="AO1023" t="n">
        <v>0</v>
      </c>
      <c r="AP1023" t="inlineStr">
        <is>
          <t>No</t>
        </is>
      </c>
      <c r="AQ1023" t="inlineStr">
        <is>
          <t>Yes</t>
        </is>
      </c>
      <c r="AR1023">
        <f>HYPERLINK("http://catalog.hathitrust.org/Record/000905896","HathiTrust Record")</f>
        <v/>
      </c>
      <c r="AS1023">
        <f>HYPERLINK("https://creighton-primo.hosted.exlibrisgroup.com/primo-explore/search?tab=default_tab&amp;search_scope=EVERYTHING&amp;vid=01CRU&amp;lang=en_US&amp;offset=0&amp;query=any,contains,991001187509702656","Catalog Record")</f>
        <v/>
      </c>
      <c r="AT1023">
        <f>HYPERLINK("http://www.worldcat.org/oclc/17227241","WorldCat Record")</f>
        <v/>
      </c>
      <c r="AU1023" t="inlineStr">
        <is>
          <t>15851090:eng</t>
        </is>
      </c>
      <c r="AV1023" t="inlineStr">
        <is>
          <t>17227241</t>
        </is>
      </c>
      <c r="AW1023" t="inlineStr">
        <is>
          <t>991001187509702656</t>
        </is>
      </c>
      <c r="AX1023" t="inlineStr">
        <is>
          <t>991001187509702656</t>
        </is>
      </c>
      <c r="AY1023" t="inlineStr">
        <is>
          <t>2257931100002656</t>
        </is>
      </c>
      <c r="AZ1023" t="inlineStr">
        <is>
          <t>BOOK</t>
        </is>
      </c>
      <c r="BB1023" t="inlineStr">
        <is>
          <t>9780812212624</t>
        </is>
      </c>
      <c r="BC1023" t="inlineStr">
        <is>
          <t>32285000355940</t>
        </is>
      </c>
      <c r="BD1023" t="inlineStr">
        <is>
          <t>893791250</t>
        </is>
      </c>
    </row>
    <row r="1024">
      <c r="A1024" t="inlineStr">
        <is>
          <t>No</t>
        </is>
      </c>
      <c r="B1024" t="inlineStr">
        <is>
          <t>GR237.A52 B7</t>
        </is>
      </c>
      <c r="C1024" t="inlineStr">
        <is>
          <t>0                      GR 0237000A  52                 B  7</t>
        </is>
      </c>
      <c r="D1024" t="inlineStr">
        <is>
          <t>Metaphors of masculinity : sex and status in Andalusian folklore / Stanley Brandes.</t>
        </is>
      </c>
      <c r="F1024" t="inlineStr">
        <is>
          <t>No</t>
        </is>
      </c>
      <c r="G1024" t="inlineStr">
        <is>
          <t>1</t>
        </is>
      </c>
      <c r="H1024" t="inlineStr">
        <is>
          <t>No</t>
        </is>
      </c>
      <c r="I1024" t="inlineStr">
        <is>
          <t>No</t>
        </is>
      </c>
      <c r="J1024" t="inlineStr">
        <is>
          <t>0</t>
        </is>
      </c>
      <c r="K1024" t="inlineStr">
        <is>
          <t>Brandes, Stanley H.</t>
        </is>
      </c>
      <c r="L1024" t="inlineStr">
        <is>
          <t>[Philadelphia] : University of Pennsylvania Press, 1980.</t>
        </is>
      </c>
      <c r="M1024" t="inlineStr">
        <is>
          <t>1980</t>
        </is>
      </c>
      <c r="O1024" t="inlineStr">
        <is>
          <t>eng</t>
        </is>
      </c>
      <c r="P1024" t="inlineStr">
        <is>
          <t>pau</t>
        </is>
      </c>
      <c r="Q1024" t="inlineStr">
        <is>
          <t>Publications of the American Folklore Society. New series ; v. 1</t>
        </is>
      </c>
      <c r="R1024" t="inlineStr">
        <is>
          <t xml:space="preserve">GR </t>
        </is>
      </c>
      <c r="S1024" t="n">
        <v>1</v>
      </c>
      <c r="T1024" t="n">
        <v>1</v>
      </c>
      <c r="U1024" t="inlineStr">
        <is>
          <t>1994-04-14</t>
        </is>
      </c>
      <c r="V1024" t="inlineStr">
        <is>
          <t>1994-04-14</t>
        </is>
      </c>
      <c r="W1024" t="inlineStr">
        <is>
          <t>1990-10-01</t>
        </is>
      </c>
      <c r="X1024" t="inlineStr">
        <is>
          <t>1990-10-01</t>
        </is>
      </c>
      <c r="Y1024" t="n">
        <v>495</v>
      </c>
      <c r="Z1024" t="n">
        <v>401</v>
      </c>
      <c r="AA1024" t="n">
        <v>855</v>
      </c>
      <c r="AB1024" t="n">
        <v>3</v>
      </c>
      <c r="AC1024" t="n">
        <v>6</v>
      </c>
      <c r="AD1024" t="n">
        <v>22</v>
      </c>
      <c r="AE1024" t="n">
        <v>40</v>
      </c>
      <c r="AF1024" t="n">
        <v>8</v>
      </c>
      <c r="AG1024" t="n">
        <v>18</v>
      </c>
      <c r="AH1024" t="n">
        <v>6</v>
      </c>
      <c r="AI1024" t="n">
        <v>8</v>
      </c>
      <c r="AJ1024" t="n">
        <v>12</v>
      </c>
      <c r="AK1024" t="n">
        <v>17</v>
      </c>
      <c r="AL1024" t="n">
        <v>2</v>
      </c>
      <c r="AM1024" t="n">
        <v>5</v>
      </c>
      <c r="AN1024" t="n">
        <v>0</v>
      </c>
      <c r="AO1024" t="n">
        <v>1</v>
      </c>
      <c r="AP1024" t="inlineStr">
        <is>
          <t>No</t>
        </is>
      </c>
      <c r="AQ1024" t="inlineStr">
        <is>
          <t>Yes</t>
        </is>
      </c>
      <c r="AR1024">
        <f>HYPERLINK("http://catalog.hathitrust.org/Record/000261942","HathiTrust Record")</f>
        <v/>
      </c>
      <c r="AS1024">
        <f>HYPERLINK("https://creighton-primo.hosted.exlibrisgroup.com/primo-explore/search?tab=default_tab&amp;search_scope=EVERYTHING&amp;vid=01CRU&amp;lang=en_US&amp;offset=0&amp;query=any,contains,991004901899702656","Catalog Record")</f>
        <v/>
      </c>
      <c r="AT1024">
        <f>HYPERLINK("http://www.worldcat.org/oclc/5940930","WorldCat Record")</f>
        <v/>
      </c>
      <c r="AU1024" t="inlineStr">
        <is>
          <t>792108113:eng</t>
        </is>
      </c>
      <c r="AV1024" t="inlineStr">
        <is>
          <t>5940930</t>
        </is>
      </c>
      <c r="AW1024" t="inlineStr">
        <is>
          <t>991004901899702656</t>
        </is>
      </c>
      <c r="AX1024" t="inlineStr">
        <is>
          <t>991004901899702656</t>
        </is>
      </c>
      <c r="AY1024" t="inlineStr">
        <is>
          <t>2267108970002656</t>
        </is>
      </c>
      <c r="AZ1024" t="inlineStr">
        <is>
          <t>BOOK</t>
        </is>
      </c>
      <c r="BB1024" t="inlineStr">
        <is>
          <t>9780812211054</t>
        </is>
      </c>
      <c r="BC1024" t="inlineStr">
        <is>
          <t>32285000318286</t>
        </is>
      </c>
      <c r="BD1024" t="inlineStr">
        <is>
          <t>893532904</t>
        </is>
      </c>
    </row>
    <row r="1025">
      <c r="A1025" t="inlineStr">
        <is>
          <t>No</t>
        </is>
      </c>
      <c r="B1025" t="inlineStr">
        <is>
          <t>GR305 .T48 1976</t>
        </is>
      </c>
      <c r="C1025" t="inlineStr">
        <is>
          <t>0                      GR 0305000T  48          1976</t>
        </is>
      </c>
      <c r="D1025" t="inlineStr">
        <is>
          <t>The oral tales of India / by Stith Thompson and Jonas Balys.</t>
        </is>
      </c>
      <c r="F1025" t="inlineStr">
        <is>
          <t>No</t>
        </is>
      </c>
      <c r="G1025" t="inlineStr">
        <is>
          <t>1</t>
        </is>
      </c>
      <c r="H1025" t="inlineStr">
        <is>
          <t>No</t>
        </is>
      </c>
      <c r="I1025" t="inlineStr">
        <is>
          <t>No</t>
        </is>
      </c>
      <c r="J1025" t="inlineStr">
        <is>
          <t>0</t>
        </is>
      </c>
      <c r="K1025" t="inlineStr">
        <is>
          <t>Thompson, Stith, 1885-1976.</t>
        </is>
      </c>
      <c r="L1025" t="inlineStr">
        <is>
          <t>Westport, Conn. : Greenwood Press, 1976, c1958.</t>
        </is>
      </c>
      <c r="M1025" t="inlineStr">
        <is>
          <t>1976</t>
        </is>
      </c>
      <c r="O1025" t="inlineStr">
        <is>
          <t>eng</t>
        </is>
      </c>
      <c r="P1025" t="inlineStr">
        <is>
          <t>ctu</t>
        </is>
      </c>
      <c r="R1025" t="inlineStr">
        <is>
          <t xml:space="preserve">GR </t>
        </is>
      </c>
      <c r="S1025" t="n">
        <v>4</v>
      </c>
      <c r="T1025" t="n">
        <v>4</v>
      </c>
      <c r="U1025" t="inlineStr">
        <is>
          <t>1999-04-29</t>
        </is>
      </c>
      <c r="V1025" t="inlineStr">
        <is>
          <t>1999-04-29</t>
        </is>
      </c>
      <c r="W1025" t="inlineStr">
        <is>
          <t>1997-05-29</t>
        </is>
      </c>
      <c r="X1025" t="inlineStr">
        <is>
          <t>1997-05-29</t>
        </is>
      </c>
      <c r="Y1025" t="n">
        <v>89</v>
      </c>
      <c r="Z1025" t="n">
        <v>75</v>
      </c>
      <c r="AA1025" t="n">
        <v>236</v>
      </c>
      <c r="AB1025" t="n">
        <v>1</v>
      </c>
      <c r="AC1025" t="n">
        <v>2</v>
      </c>
      <c r="AD1025" t="n">
        <v>1</v>
      </c>
      <c r="AE1025" t="n">
        <v>7</v>
      </c>
      <c r="AF1025" t="n">
        <v>0</v>
      </c>
      <c r="AG1025" t="n">
        <v>2</v>
      </c>
      <c r="AH1025" t="n">
        <v>1</v>
      </c>
      <c r="AI1025" t="n">
        <v>2</v>
      </c>
      <c r="AJ1025" t="n">
        <v>1</v>
      </c>
      <c r="AK1025" t="n">
        <v>3</v>
      </c>
      <c r="AL1025" t="n">
        <v>0</v>
      </c>
      <c r="AM1025" t="n">
        <v>1</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HYPERLINK("https://creighton-primo.hosted.exlibrisgroup.com/primo-explore/search?tab=default_tab&amp;search_scope=EVERYTHING&amp;vid=01CRU&amp;lang=en_US&amp;offset=0&amp;query=any,contains,991003973159702656","Catalog Record")</f>
        <v/>
      </c>
      <c r="AT1025">
        <f>HYPERLINK("http://www.worldcat.org/oclc/1994097","WorldCat Record")</f>
        <v/>
      </c>
      <c r="AU1025" t="inlineStr">
        <is>
          <t>57857368:eng</t>
        </is>
      </c>
      <c r="AV1025" t="inlineStr">
        <is>
          <t>1994097</t>
        </is>
      </c>
      <c r="AW1025" t="inlineStr">
        <is>
          <t>991003973159702656</t>
        </is>
      </c>
      <c r="AX1025" t="inlineStr">
        <is>
          <t>991003973159702656</t>
        </is>
      </c>
      <c r="AY1025" t="inlineStr">
        <is>
          <t>2263721590002656</t>
        </is>
      </c>
      <c r="AZ1025" t="inlineStr">
        <is>
          <t>BOOK</t>
        </is>
      </c>
      <c r="BB1025" t="inlineStr">
        <is>
          <t>9780837187396</t>
        </is>
      </c>
      <c r="BC1025" t="inlineStr">
        <is>
          <t>32285002698941</t>
        </is>
      </c>
      <c r="BD1025" t="inlineStr">
        <is>
          <t>893246994</t>
        </is>
      </c>
    </row>
    <row r="1026">
      <c r="A1026" t="inlineStr">
        <is>
          <t>No</t>
        </is>
      </c>
      <c r="B1026" t="inlineStr">
        <is>
          <t>GR305.5.K25 N37 1997</t>
        </is>
      </c>
      <c r="C1026" t="inlineStr">
        <is>
          <t>0                      GR 0305500K  25                 N  37          1997</t>
        </is>
      </c>
      <c r="D1026" t="inlineStr">
        <is>
          <t>Mondays on the dark night of the moon : Himalayan foothill folktales / Kirin Narayan in collaboration with Urmila Devi Sood.</t>
        </is>
      </c>
      <c r="F1026" t="inlineStr">
        <is>
          <t>No</t>
        </is>
      </c>
      <c r="G1026" t="inlineStr">
        <is>
          <t>1</t>
        </is>
      </c>
      <c r="H1026" t="inlineStr">
        <is>
          <t>No</t>
        </is>
      </c>
      <c r="I1026" t="inlineStr">
        <is>
          <t>No</t>
        </is>
      </c>
      <c r="J1026" t="inlineStr">
        <is>
          <t>0</t>
        </is>
      </c>
      <c r="K1026" t="inlineStr">
        <is>
          <t>Narayan, Kirin.</t>
        </is>
      </c>
      <c r="L1026" t="inlineStr">
        <is>
          <t>New York : Oxford University Press, 1997.</t>
        </is>
      </c>
      <c r="M1026" t="inlineStr">
        <is>
          <t>1997</t>
        </is>
      </c>
      <c r="O1026" t="inlineStr">
        <is>
          <t>eng</t>
        </is>
      </c>
      <c r="P1026" t="inlineStr">
        <is>
          <t>nyu</t>
        </is>
      </c>
      <c r="R1026" t="inlineStr">
        <is>
          <t xml:space="preserve">GR </t>
        </is>
      </c>
      <c r="S1026" t="n">
        <v>3</v>
      </c>
      <c r="T1026" t="n">
        <v>3</v>
      </c>
      <c r="U1026" t="inlineStr">
        <is>
          <t>1999-04-29</t>
        </is>
      </c>
      <c r="V1026" t="inlineStr">
        <is>
          <t>1999-04-29</t>
        </is>
      </c>
      <c r="W1026" t="inlineStr">
        <is>
          <t>1998-04-02</t>
        </is>
      </c>
      <c r="X1026" t="inlineStr">
        <is>
          <t>1998-04-02</t>
        </is>
      </c>
      <c r="Y1026" t="n">
        <v>372</v>
      </c>
      <c r="Z1026" t="n">
        <v>325</v>
      </c>
      <c r="AA1026" t="n">
        <v>939</v>
      </c>
      <c r="AB1026" t="n">
        <v>1</v>
      </c>
      <c r="AC1026" t="n">
        <v>2</v>
      </c>
      <c r="AD1026" t="n">
        <v>11</v>
      </c>
      <c r="AE1026" t="n">
        <v>19</v>
      </c>
      <c r="AF1026" t="n">
        <v>5</v>
      </c>
      <c r="AG1026" t="n">
        <v>12</v>
      </c>
      <c r="AH1026" t="n">
        <v>3</v>
      </c>
      <c r="AI1026" t="n">
        <v>3</v>
      </c>
      <c r="AJ1026" t="n">
        <v>9</v>
      </c>
      <c r="AK1026" t="n">
        <v>10</v>
      </c>
      <c r="AL1026" t="n">
        <v>0</v>
      </c>
      <c r="AM1026" t="n">
        <v>1</v>
      </c>
      <c r="AN1026" t="n">
        <v>0</v>
      </c>
      <c r="AO1026" t="n">
        <v>0</v>
      </c>
      <c r="AP1026" t="inlineStr">
        <is>
          <t>No</t>
        </is>
      </c>
      <c r="AQ1026" t="inlineStr">
        <is>
          <t>Yes</t>
        </is>
      </c>
      <c r="AR1026">
        <f>HYPERLINK("http://catalog.hathitrust.org/Record/003158732","HathiTrust Record")</f>
        <v/>
      </c>
      <c r="AS1026">
        <f>HYPERLINK("https://creighton-primo.hosted.exlibrisgroup.com/primo-explore/search?tab=default_tab&amp;search_scope=EVERYTHING&amp;vid=01CRU&amp;lang=en_US&amp;offset=0&amp;query=any,contains,991002666849702656","Catalog Record")</f>
        <v/>
      </c>
      <c r="AT1026">
        <f>HYPERLINK("http://www.worldcat.org/oclc/34878938","WorldCat Record")</f>
        <v/>
      </c>
      <c r="AU1026" t="inlineStr">
        <is>
          <t>797094825:eng</t>
        </is>
      </c>
      <c r="AV1026" t="inlineStr">
        <is>
          <t>34878938</t>
        </is>
      </c>
      <c r="AW1026" t="inlineStr">
        <is>
          <t>991002666849702656</t>
        </is>
      </c>
      <c r="AX1026" t="inlineStr">
        <is>
          <t>991002666849702656</t>
        </is>
      </c>
      <c r="AY1026" t="inlineStr">
        <is>
          <t>2268492640002656</t>
        </is>
      </c>
      <c r="AZ1026" t="inlineStr">
        <is>
          <t>BOOK</t>
        </is>
      </c>
      <c r="BB1026" t="inlineStr">
        <is>
          <t>9780195103489</t>
        </is>
      </c>
      <c r="BC1026" t="inlineStr">
        <is>
          <t>32285003382818</t>
        </is>
      </c>
      <c r="BD1026" t="inlineStr">
        <is>
          <t>893523898</t>
        </is>
      </c>
    </row>
    <row r="1027">
      <c r="A1027" t="inlineStr">
        <is>
          <t>No</t>
        </is>
      </c>
      <c r="B1027" t="inlineStr">
        <is>
          <t>GR308.5.H67 F65 1991</t>
        </is>
      </c>
      <c r="C1027" t="inlineStr">
        <is>
          <t>0                      GR 0308500H  67                 F  65          1991</t>
        </is>
      </c>
      <c r="D1027" t="inlineStr">
        <is>
          <t>Folk stories of the Hmong : peoples of Laos, Thailand, and Vietnam / [compiled by] Norma J. Livo, Dia Cha.</t>
        </is>
      </c>
      <c r="F1027" t="inlineStr">
        <is>
          <t>No</t>
        </is>
      </c>
      <c r="G1027" t="inlineStr">
        <is>
          <t>1</t>
        </is>
      </c>
      <c r="H1027" t="inlineStr">
        <is>
          <t>No</t>
        </is>
      </c>
      <c r="I1027" t="inlineStr">
        <is>
          <t>No</t>
        </is>
      </c>
      <c r="J1027" t="inlineStr">
        <is>
          <t>0</t>
        </is>
      </c>
      <c r="L1027" t="inlineStr">
        <is>
          <t>Englewood, Colo. : Libraries Unlimited, 1991.</t>
        </is>
      </c>
      <c r="M1027" t="inlineStr">
        <is>
          <t>1991</t>
        </is>
      </c>
      <c r="O1027" t="inlineStr">
        <is>
          <t>eng</t>
        </is>
      </c>
      <c r="P1027" t="inlineStr">
        <is>
          <t>cou</t>
        </is>
      </c>
      <c r="R1027" t="inlineStr">
        <is>
          <t xml:space="preserve">GR </t>
        </is>
      </c>
      <c r="S1027" t="n">
        <v>4</v>
      </c>
      <c r="T1027" t="n">
        <v>4</v>
      </c>
      <c r="U1027" t="inlineStr">
        <is>
          <t>2006-11-13</t>
        </is>
      </c>
      <c r="V1027" t="inlineStr">
        <is>
          <t>2006-11-13</t>
        </is>
      </c>
      <c r="W1027" t="inlineStr">
        <is>
          <t>2001-01-22</t>
        </is>
      </c>
      <c r="X1027" t="inlineStr">
        <is>
          <t>2001-01-22</t>
        </is>
      </c>
      <c r="Y1027" t="n">
        <v>809</v>
      </c>
      <c r="Z1027" t="n">
        <v>756</v>
      </c>
      <c r="AA1027" t="n">
        <v>1426</v>
      </c>
      <c r="AB1027" t="n">
        <v>8</v>
      </c>
      <c r="AC1027" t="n">
        <v>9</v>
      </c>
      <c r="AD1027" t="n">
        <v>19</v>
      </c>
      <c r="AE1027" t="n">
        <v>29</v>
      </c>
      <c r="AF1027" t="n">
        <v>7</v>
      </c>
      <c r="AG1027" t="n">
        <v>12</v>
      </c>
      <c r="AH1027" t="n">
        <v>4</v>
      </c>
      <c r="AI1027" t="n">
        <v>8</v>
      </c>
      <c r="AJ1027" t="n">
        <v>9</v>
      </c>
      <c r="AK1027" t="n">
        <v>14</v>
      </c>
      <c r="AL1027" t="n">
        <v>4</v>
      </c>
      <c r="AM1027" t="n">
        <v>5</v>
      </c>
      <c r="AN1027" t="n">
        <v>0</v>
      </c>
      <c r="AO1027" t="n">
        <v>0</v>
      </c>
      <c r="AP1027" t="inlineStr">
        <is>
          <t>No</t>
        </is>
      </c>
      <c r="AQ1027" t="inlineStr">
        <is>
          <t>Yes</t>
        </is>
      </c>
      <c r="AR1027">
        <f>HYPERLINK("http://catalog.hathitrust.org/Record/002487631","HathiTrust Record")</f>
        <v/>
      </c>
      <c r="AS1027">
        <f>HYPERLINK("https://creighton-primo.hosted.exlibrisgroup.com/primo-explore/search?tab=default_tab&amp;search_scope=EVERYTHING&amp;vid=01CRU&amp;lang=en_US&amp;offset=0&amp;query=any,contains,991003351309702656","Catalog Record")</f>
        <v/>
      </c>
      <c r="AT1027">
        <f>HYPERLINK("http://www.worldcat.org/oclc/23144024","WorldCat Record")</f>
        <v/>
      </c>
      <c r="AU1027" t="inlineStr">
        <is>
          <t>797101447:eng</t>
        </is>
      </c>
      <c r="AV1027" t="inlineStr">
        <is>
          <t>23144024</t>
        </is>
      </c>
      <c r="AW1027" t="inlineStr">
        <is>
          <t>991003351309702656</t>
        </is>
      </c>
      <c r="AX1027" t="inlineStr">
        <is>
          <t>991003351309702656</t>
        </is>
      </c>
      <c r="AY1027" t="inlineStr">
        <is>
          <t>2266322380002656</t>
        </is>
      </c>
      <c r="AZ1027" t="inlineStr">
        <is>
          <t>BOOK</t>
        </is>
      </c>
      <c r="BB1027" t="inlineStr">
        <is>
          <t>9780872878549</t>
        </is>
      </c>
      <c r="BC1027" t="inlineStr">
        <is>
          <t>32285004290580</t>
        </is>
      </c>
      <c r="BD1027" t="inlineStr">
        <is>
          <t>893348597</t>
        </is>
      </c>
    </row>
    <row r="1028">
      <c r="A1028" t="inlineStr">
        <is>
          <t>No</t>
        </is>
      </c>
      <c r="B1028" t="inlineStr">
        <is>
          <t>GR340 .D6613 1973</t>
        </is>
      </c>
      <c r="C1028" t="inlineStr">
        <is>
          <t>0                      GR 0340000D  6613        1973</t>
        </is>
      </c>
      <c r="D1028" t="inlineStr">
        <is>
          <t>Studies in Japanese folklore / general editor: Richard M. Dorson. Advisory editors: Toichi Mabuchi [and] Tokihiko Oto. [Chief translator: Yasuyo Ishiwara]</t>
        </is>
      </c>
      <c r="F1028" t="inlineStr">
        <is>
          <t>No</t>
        </is>
      </c>
      <c r="G1028" t="inlineStr">
        <is>
          <t>1</t>
        </is>
      </c>
      <c r="H1028" t="inlineStr">
        <is>
          <t>No</t>
        </is>
      </c>
      <c r="I1028" t="inlineStr">
        <is>
          <t>No</t>
        </is>
      </c>
      <c r="J1028" t="inlineStr">
        <is>
          <t>0</t>
        </is>
      </c>
      <c r="K1028" t="inlineStr">
        <is>
          <t>Dorson, Richard M. (Richard Mercer), 1916-1981 editor.</t>
        </is>
      </c>
      <c r="L1028" t="inlineStr">
        <is>
          <t>Port Washington, N.Y. : Kennikat Press, [1973, c1963]</t>
        </is>
      </c>
      <c r="M1028" t="inlineStr">
        <is>
          <t>1973</t>
        </is>
      </c>
      <c r="O1028" t="inlineStr">
        <is>
          <t>eng</t>
        </is>
      </c>
      <c r="P1028" t="inlineStr">
        <is>
          <t>nyu</t>
        </is>
      </c>
      <c r="R1028" t="inlineStr">
        <is>
          <t xml:space="preserve">GR </t>
        </is>
      </c>
      <c r="S1028" t="n">
        <v>3</v>
      </c>
      <c r="T1028" t="n">
        <v>3</v>
      </c>
      <c r="U1028" t="inlineStr">
        <is>
          <t>1997-10-04</t>
        </is>
      </c>
      <c r="V1028" t="inlineStr">
        <is>
          <t>1997-10-04</t>
        </is>
      </c>
      <c r="W1028" t="inlineStr">
        <is>
          <t>1994-12-01</t>
        </is>
      </c>
      <c r="X1028" t="inlineStr">
        <is>
          <t>1994-12-01</t>
        </is>
      </c>
      <c r="Y1028" t="n">
        <v>124</v>
      </c>
      <c r="Z1028" t="n">
        <v>95</v>
      </c>
      <c r="AA1028" t="n">
        <v>403</v>
      </c>
      <c r="AB1028" t="n">
        <v>2</v>
      </c>
      <c r="AC1028" t="n">
        <v>3</v>
      </c>
      <c r="AD1028" t="n">
        <v>4</v>
      </c>
      <c r="AE1028" t="n">
        <v>14</v>
      </c>
      <c r="AF1028" t="n">
        <v>2</v>
      </c>
      <c r="AG1028" t="n">
        <v>8</v>
      </c>
      <c r="AH1028" t="n">
        <v>2</v>
      </c>
      <c r="AI1028" t="n">
        <v>4</v>
      </c>
      <c r="AJ1028" t="n">
        <v>1</v>
      </c>
      <c r="AK1028" t="n">
        <v>4</v>
      </c>
      <c r="AL1028" t="n">
        <v>1</v>
      </c>
      <c r="AM1028" t="n">
        <v>2</v>
      </c>
      <c r="AN1028" t="n">
        <v>0</v>
      </c>
      <c r="AO1028" t="n">
        <v>0</v>
      </c>
      <c r="AP1028" t="inlineStr">
        <is>
          <t>No</t>
        </is>
      </c>
      <c r="AQ1028" t="inlineStr">
        <is>
          <t>Yes</t>
        </is>
      </c>
      <c r="AR1028">
        <f>HYPERLINK("http://catalog.hathitrust.org/Record/000006786","HathiTrust Record")</f>
        <v/>
      </c>
      <c r="AS1028">
        <f>HYPERLINK("https://creighton-primo.hosted.exlibrisgroup.com/primo-explore/search?tab=default_tab&amp;search_scope=EVERYTHING&amp;vid=01CRU&amp;lang=en_US&amp;offset=0&amp;query=any,contains,991002886089702656","Catalog Record")</f>
        <v/>
      </c>
      <c r="AT1028">
        <f>HYPERLINK("http://www.worldcat.org/oclc/508418","WorldCat Record")</f>
        <v/>
      </c>
      <c r="AU1028" t="inlineStr">
        <is>
          <t>763737176:eng</t>
        </is>
      </c>
      <c r="AV1028" t="inlineStr">
        <is>
          <t>508418</t>
        </is>
      </c>
      <c r="AW1028" t="inlineStr">
        <is>
          <t>991002886089702656</t>
        </is>
      </c>
      <c r="AX1028" t="inlineStr">
        <is>
          <t>991002886089702656</t>
        </is>
      </c>
      <c r="AY1028" t="inlineStr">
        <is>
          <t>2261096660002656</t>
        </is>
      </c>
      <c r="AZ1028" t="inlineStr">
        <is>
          <t>BOOK</t>
        </is>
      </c>
      <c r="BB1028" t="inlineStr">
        <is>
          <t>9780804617253</t>
        </is>
      </c>
      <c r="BC1028" t="inlineStr">
        <is>
          <t>32285001969830</t>
        </is>
      </c>
      <c r="BD1028" t="inlineStr">
        <is>
          <t>893245772</t>
        </is>
      </c>
    </row>
    <row r="1029">
      <c r="A1029" t="inlineStr">
        <is>
          <t>No</t>
        </is>
      </c>
      <c r="B1029" t="inlineStr">
        <is>
          <t>GR342 .K6 1983</t>
        </is>
      </c>
      <c r="C1029" t="inlineStr">
        <is>
          <t>0                      GR 0342000K  6           1983</t>
        </is>
      </c>
      <c r="D1029" t="inlineStr">
        <is>
          <t>Korean folklore / edited by the Korean National Commission for UNESCO.</t>
        </is>
      </c>
      <c r="F1029" t="inlineStr">
        <is>
          <t>No</t>
        </is>
      </c>
      <c r="G1029" t="inlineStr">
        <is>
          <t>1</t>
        </is>
      </c>
      <c r="H1029" t="inlineStr">
        <is>
          <t>No</t>
        </is>
      </c>
      <c r="I1029" t="inlineStr">
        <is>
          <t>No</t>
        </is>
      </c>
      <c r="J1029" t="inlineStr">
        <is>
          <t>0</t>
        </is>
      </c>
      <c r="L1029" t="inlineStr">
        <is>
          <t>[Seoul] Korea : Si-sa-yong-o-sa Publishers ; Oregon : Pace International Research, c1983.</t>
        </is>
      </c>
      <c r="M1029" t="inlineStr">
        <is>
          <t>1983</t>
        </is>
      </c>
      <c r="O1029" t="inlineStr">
        <is>
          <t>eng</t>
        </is>
      </c>
      <c r="P1029" t="inlineStr">
        <is>
          <t xml:space="preserve">ko </t>
        </is>
      </c>
      <c r="R1029" t="inlineStr">
        <is>
          <t xml:space="preserve">GR </t>
        </is>
      </c>
      <c r="S1029" t="n">
        <v>4</v>
      </c>
      <c r="T1029" t="n">
        <v>4</v>
      </c>
      <c r="U1029" t="inlineStr">
        <is>
          <t>1996-06-20</t>
        </is>
      </c>
      <c r="V1029" t="inlineStr">
        <is>
          <t>1996-06-20</t>
        </is>
      </c>
      <c r="W1029" t="inlineStr">
        <is>
          <t>1990-10-01</t>
        </is>
      </c>
      <c r="X1029" t="inlineStr">
        <is>
          <t>1990-10-01</t>
        </is>
      </c>
      <c r="Y1029" t="n">
        <v>287</v>
      </c>
      <c r="Z1029" t="n">
        <v>224</v>
      </c>
      <c r="AA1029" t="n">
        <v>227</v>
      </c>
      <c r="AB1029" t="n">
        <v>1</v>
      </c>
      <c r="AC1029" t="n">
        <v>1</v>
      </c>
      <c r="AD1029" t="n">
        <v>5</v>
      </c>
      <c r="AE1029" t="n">
        <v>5</v>
      </c>
      <c r="AF1029" t="n">
        <v>3</v>
      </c>
      <c r="AG1029" t="n">
        <v>3</v>
      </c>
      <c r="AH1029" t="n">
        <v>2</v>
      </c>
      <c r="AI1029" t="n">
        <v>2</v>
      </c>
      <c r="AJ1029" t="n">
        <v>3</v>
      </c>
      <c r="AK1029" t="n">
        <v>3</v>
      </c>
      <c r="AL1029" t="n">
        <v>0</v>
      </c>
      <c r="AM1029" t="n">
        <v>0</v>
      </c>
      <c r="AN1029" t="n">
        <v>0</v>
      </c>
      <c r="AO1029" t="n">
        <v>0</v>
      </c>
      <c r="AP1029" t="inlineStr">
        <is>
          <t>No</t>
        </is>
      </c>
      <c r="AQ1029" t="inlineStr">
        <is>
          <t>Yes</t>
        </is>
      </c>
      <c r="AR1029">
        <f>HYPERLINK("http://catalog.hathitrust.org/Record/000565786","HathiTrust Record")</f>
        <v/>
      </c>
      <c r="AS1029">
        <f>HYPERLINK("https://creighton-primo.hosted.exlibrisgroup.com/primo-explore/search?tab=default_tab&amp;search_scope=EVERYTHING&amp;vid=01CRU&amp;lang=en_US&amp;offset=0&amp;query=any,contains,991000390709702656","Catalog Record")</f>
        <v/>
      </c>
      <c r="AT1029">
        <f>HYPERLINK("http://www.worldcat.org/oclc/10549084","WorldCat Record")</f>
        <v/>
      </c>
      <c r="AU1029" t="inlineStr">
        <is>
          <t>365602801:eng</t>
        </is>
      </c>
      <c r="AV1029" t="inlineStr">
        <is>
          <t>10549084</t>
        </is>
      </c>
      <c r="AW1029" t="inlineStr">
        <is>
          <t>991000390709702656</t>
        </is>
      </c>
      <c r="AX1029" t="inlineStr">
        <is>
          <t>991000390709702656</t>
        </is>
      </c>
      <c r="AY1029" t="inlineStr">
        <is>
          <t>2259519520002656</t>
        </is>
      </c>
      <c r="AZ1029" t="inlineStr">
        <is>
          <t>BOOK</t>
        </is>
      </c>
      <c r="BC1029" t="inlineStr">
        <is>
          <t>32285000318302</t>
        </is>
      </c>
      <c r="BD1029" t="inlineStr">
        <is>
          <t>893601703</t>
        </is>
      </c>
    </row>
    <row r="1030">
      <c r="A1030" t="inlineStr">
        <is>
          <t>No</t>
        </is>
      </c>
      <c r="B1030" t="inlineStr">
        <is>
          <t>GR350.32.M33 C3413 1984</t>
        </is>
      </c>
      <c r="C1030" t="inlineStr">
        <is>
          <t>0                      GR 0350320M  33                 C  3413        1984</t>
        </is>
      </c>
      <c r="D1030" t="inlineStr">
        <is>
          <t>The guardian of the word = Kouma Lafôlô Kouma / Camara Laye ; translated from the French by James Kirkup.</t>
        </is>
      </c>
      <c r="F1030" t="inlineStr">
        <is>
          <t>No</t>
        </is>
      </c>
      <c r="G1030" t="inlineStr">
        <is>
          <t>1</t>
        </is>
      </c>
      <c r="H1030" t="inlineStr">
        <is>
          <t>No</t>
        </is>
      </c>
      <c r="I1030" t="inlineStr">
        <is>
          <t>No</t>
        </is>
      </c>
      <c r="J1030" t="inlineStr">
        <is>
          <t>0</t>
        </is>
      </c>
      <c r="K1030" t="inlineStr">
        <is>
          <t>Camara, Laye.</t>
        </is>
      </c>
      <c r="L1030" t="inlineStr">
        <is>
          <t>New York : Aventura, 1984, c1980.</t>
        </is>
      </c>
      <c r="M1030" t="inlineStr">
        <is>
          <t>1984</t>
        </is>
      </c>
      <c r="N1030" t="inlineStr">
        <is>
          <t>1st American ed.</t>
        </is>
      </c>
      <c r="O1030" t="inlineStr">
        <is>
          <t>eng</t>
        </is>
      </c>
      <c r="P1030" t="inlineStr">
        <is>
          <t>nyu</t>
        </is>
      </c>
      <c r="Q1030" t="inlineStr">
        <is>
          <t>The Vintage library of contemporary world literature</t>
        </is>
      </c>
      <c r="R1030" t="inlineStr">
        <is>
          <t xml:space="preserve">GR </t>
        </is>
      </c>
      <c r="S1030" t="n">
        <v>4</v>
      </c>
      <c r="T1030" t="n">
        <v>4</v>
      </c>
      <c r="U1030" t="inlineStr">
        <is>
          <t>1999-09-09</t>
        </is>
      </c>
      <c r="V1030" t="inlineStr">
        <is>
          <t>1999-09-09</t>
        </is>
      </c>
      <c r="W1030" t="inlineStr">
        <is>
          <t>1990-10-01</t>
        </is>
      </c>
      <c r="X1030" t="inlineStr">
        <is>
          <t>1990-10-01</t>
        </is>
      </c>
      <c r="Y1030" t="n">
        <v>343</v>
      </c>
      <c r="Z1030" t="n">
        <v>323</v>
      </c>
      <c r="AA1030" t="n">
        <v>365</v>
      </c>
      <c r="AB1030" t="n">
        <v>2</v>
      </c>
      <c r="AC1030" t="n">
        <v>3</v>
      </c>
      <c r="AD1030" t="n">
        <v>6</v>
      </c>
      <c r="AE1030" t="n">
        <v>8</v>
      </c>
      <c r="AF1030" t="n">
        <v>2</v>
      </c>
      <c r="AG1030" t="n">
        <v>2</v>
      </c>
      <c r="AH1030" t="n">
        <v>1</v>
      </c>
      <c r="AI1030" t="n">
        <v>1</v>
      </c>
      <c r="AJ1030" t="n">
        <v>3</v>
      </c>
      <c r="AK1030" t="n">
        <v>4</v>
      </c>
      <c r="AL1030" t="n">
        <v>1</v>
      </c>
      <c r="AM1030" t="n">
        <v>2</v>
      </c>
      <c r="AN1030" t="n">
        <v>0</v>
      </c>
      <c r="AO1030" t="n">
        <v>0</v>
      </c>
      <c r="AP1030" t="inlineStr">
        <is>
          <t>No</t>
        </is>
      </c>
      <c r="AQ1030" t="inlineStr">
        <is>
          <t>Yes</t>
        </is>
      </c>
      <c r="AR1030">
        <f>HYPERLINK("http://catalog.hathitrust.org/Record/000124637","HathiTrust Record")</f>
        <v/>
      </c>
      <c r="AS1030">
        <f>HYPERLINK("https://creighton-primo.hosted.exlibrisgroup.com/primo-explore/search?tab=default_tab&amp;search_scope=EVERYTHING&amp;vid=01CRU&amp;lang=en_US&amp;offset=0&amp;query=any,contains,991000320419702656","Catalog Record")</f>
        <v/>
      </c>
      <c r="AT1030">
        <f>HYPERLINK("http://www.worldcat.org/oclc/10146437","WorldCat Record")</f>
        <v/>
      </c>
      <c r="AU1030" t="inlineStr">
        <is>
          <t>9462968723:eng</t>
        </is>
      </c>
      <c r="AV1030" t="inlineStr">
        <is>
          <t>10146437</t>
        </is>
      </c>
      <c r="AW1030" t="inlineStr">
        <is>
          <t>991000320419702656</t>
        </is>
      </c>
      <c r="AX1030" t="inlineStr">
        <is>
          <t>991000320419702656</t>
        </is>
      </c>
      <c r="AY1030" t="inlineStr">
        <is>
          <t>2255800980002656</t>
        </is>
      </c>
      <c r="AZ1030" t="inlineStr">
        <is>
          <t>BOOK</t>
        </is>
      </c>
      <c r="BB1030" t="inlineStr">
        <is>
          <t>9780394724416</t>
        </is>
      </c>
      <c r="BC1030" t="inlineStr">
        <is>
          <t>32285000318310</t>
        </is>
      </c>
      <c r="BD1030" t="inlineStr">
        <is>
          <t>893345545</t>
        </is>
      </c>
    </row>
    <row r="1031">
      <c r="A1031" t="inlineStr">
        <is>
          <t>No</t>
        </is>
      </c>
      <c r="B1031" t="inlineStr">
        <is>
          <t>GR43.C4 O53 1993</t>
        </is>
      </c>
      <c r="C1031" t="inlineStr">
        <is>
          <t>0                      GR 0043000C  4                  O  53          1993</t>
        </is>
      </c>
      <c r="D1031" t="inlineStr">
        <is>
          <t>Once upon a folktale : capturing the folklore process with children / edited by Gloria T. Blatt.</t>
        </is>
      </c>
      <c r="F1031" t="inlineStr">
        <is>
          <t>No</t>
        </is>
      </c>
      <c r="G1031" t="inlineStr">
        <is>
          <t>1</t>
        </is>
      </c>
      <c r="H1031" t="inlineStr">
        <is>
          <t>No</t>
        </is>
      </c>
      <c r="I1031" t="inlineStr">
        <is>
          <t>No</t>
        </is>
      </c>
      <c r="J1031" t="inlineStr">
        <is>
          <t>0</t>
        </is>
      </c>
      <c r="L1031" t="inlineStr">
        <is>
          <t>New York : Teachers College Press, c1993.</t>
        </is>
      </c>
      <c r="M1031" t="inlineStr">
        <is>
          <t>1993</t>
        </is>
      </c>
      <c r="O1031" t="inlineStr">
        <is>
          <t>eng</t>
        </is>
      </c>
      <c r="P1031" t="inlineStr">
        <is>
          <t>nyu</t>
        </is>
      </c>
      <c r="R1031" t="inlineStr">
        <is>
          <t xml:space="preserve">GR </t>
        </is>
      </c>
      <c r="S1031" t="n">
        <v>4</v>
      </c>
      <c r="T1031" t="n">
        <v>4</v>
      </c>
      <c r="U1031" t="inlineStr">
        <is>
          <t>2005-01-21</t>
        </is>
      </c>
      <c r="V1031" t="inlineStr">
        <is>
          <t>2005-01-21</t>
        </is>
      </c>
      <c r="W1031" t="inlineStr">
        <is>
          <t>1996-12-18</t>
        </is>
      </c>
      <c r="X1031" t="inlineStr">
        <is>
          <t>1996-12-18</t>
        </is>
      </c>
      <c r="Y1031" t="n">
        <v>356</v>
      </c>
      <c r="Z1031" t="n">
        <v>332</v>
      </c>
      <c r="AA1031" t="n">
        <v>343</v>
      </c>
      <c r="AB1031" t="n">
        <v>5</v>
      </c>
      <c r="AC1031" t="n">
        <v>5</v>
      </c>
      <c r="AD1031" t="n">
        <v>19</v>
      </c>
      <c r="AE1031" t="n">
        <v>19</v>
      </c>
      <c r="AF1031" t="n">
        <v>7</v>
      </c>
      <c r="AG1031" t="n">
        <v>7</v>
      </c>
      <c r="AH1031" t="n">
        <v>4</v>
      </c>
      <c r="AI1031" t="n">
        <v>4</v>
      </c>
      <c r="AJ1031" t="n">
        <v>10</v>
      </c>
      <c r="AK1031" t="n">
        <v>10</v>
      </c>
      <c r="AL1031" t="n">
        <v>4</v>
      </c>
      <c r="AM1031" t="n">
        <v>4</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HYPERLINK("https://creighton-primo.hosted.exlibrisgroup.com/primo-explore/search?tab=default_tab&amp;search_scope=EVERYTHING&amp;vid=01CRU&amp;lang=en_US&amp;offset=0&amp;query=any,contains,991002094299702656","Catalog Record")</f>
        <v/>
      </c>
      <c r="AT1031">
        <f>HYPERLINK("http://www.worldcat.org/oclc/26855226","WorldCat Record")</f>
        <v/>
      </c>
      <c r="AU1031" t="inlineStr">
        <is>
          <t>2763449409:eng</t>
        </is>
      </c>
      <c r="AV1031" t="inlineStr">
        <is>
          <t>26855226</t>
        </is>
      </c>
      <c r="AW1031" t="inlineStr">
        <is>
          <t>991002094299702656</t>
        </is>
      </c>
      <c r="AX1031" t="inlineStr">
        <is>
          <t>991002094299702656</t>
        </is>
      </c>
      <c r="AY1031" t="inlineStr">
        <is>
          <t>2268054990002656</t>
        </is>
      </c>
      <c r="AZ1031" t="inlineStr">
        <is>
          <t>BOOK</t>
        </is>
      </c>
      <c r="BB1031" t="inlineStr">
        <is>
          <t>9780807732328</t>
        </is>
      </c>
      <c r="BC1031" t="inlineStr">
        <is>
          <t>32285002394905</t>
        </is>
      </c>
      <c r="BD1031" t="inlineStr">
        <is>
          <t>893716041</t>
        </is>
      </c>
    </row>
    <row r="1032">
      <c r="A1032" t="inlineStr">
        <is>
          <t>No</t>
        </is>
      </c>
      <c r="B1032" t="inlineStr">
        <is>
          <t>GR470 .E88 1992</t>
        </is>
      </c>
      <c r="C1032" t="inlineStr">
        <is>
          <t>0                      GR 0470000E  88          1992</t>
        </is>
      </c>
      <c r="D1032" t="inlineStr">
        <is>
          <t>Women who run with the wolves : myths and stories of the wild woman archetype / Clarissa Pinkola Estés.</t>
        </is>
      </c>
      <c r="F1032" t="inlineStr">
        <is>
          <t>No</t>
        </is>
      </c>
      <c r="G1032" t="inlineStr">
        <is>
          <t>1</t>
        </is>
      </c>
      <c r="H1032" t="inlineStr">
        <is>
          <t>No</t>
        </is>
      </c>
      <c r="I1032" t="inlineStr">
        <is>
          <t>Yes</t>
        </is>
      </c>
      <c r="J1032" t="inlineStr">
        <is>
          <t>0</t>
        </is>
      </c>
      <c r="K1032" t="inlineStr">
        <is>
          <t>Estés, Clarissa Pinkola.</t>
        </is>
      </c>
      <c r="L1032" t="inlineStr">
        <is>
          <t>New York : Ballantine Books, 1992.</t>
        </is>
      </c>
      <c r="M1032" t="inlineStr">
        <is>
          <t>1992</t>
        </is>
      </c>
      <c r="N1032" t="inlineStr">
        <is>
          <t>1st ed.</t>
        </is>
      </c>
      <c r="O1032" t="inlineStr">
        <is>
          <t>eng</t>
        </is>
      </c>
      <c r="P1032" t="inlineStr">
        <is>
          <t>nyu</t>
        </is>
      </c>
      <c r="R1032" t="inlineStr">
        <is>
          <t xml:space="preserve">GR </t>
        </is>
      </c>
      <c r="S1032" t="n">
        <v>17</v>
      </c>
      <c r="T1032" t="n">
        <v>17</v>
      </c>
      <c r="U1032" t="inlineStr">
        <is>
          <t>1995-01-09</t>
        </is>
      </c>
      <c r="V1032" t="inlineStr">
        <is>
          <t>1995-01-09</t>
        </is>
      </c>
      <c r="W1032" t="inlineStr">
        <is>
          <t>1993-06-01</t>
        </is>
      </c>
      <c r="X1032" t="inlineStr">
        <is>
          <t>1993-06-01</t>
        </is>
      </c>
      <c r="Y1032" t="n">
        <v>3141</v>
      </c>
      <c r="Z1032" t="n">
        <v>2956</v>
      </c>
      <c r="AA1032" t="n">
        <v>3413</v>
      </c>
      <c r="AB1032" t="n">
        <v>32</v>
      </c>
      <c r="AC1032" t="n">
        <v>34</v>
      </c>
      <c r="AD1032" t="n">
        <v>49</v>
      </c>
      <c r="AE1032" t="n">
        <v>53</v>
      </c>
      <c r="AF1032" t="n">
        <v>21</v>
      </c>
      <c r="AG1032" t="n">
        <v>22</v>
      </c>
      <c r="AH1032" t="n">
        <v>9</v>
      </c>
      <c r="AI1032" t="n">
        <v>9</v>
      </c>
      <c r="AJ1032" t="n">
        <v>21</v>
      </c>
      <c r="AK1032" t="n">
        <v>22</v>
      </c>
      <c r="AL1032" t="n">
        <v>10</v>
      </c>
      <c r="AM1032" t="n">
        <v>12</v>
      </c>
      <c r="AN1032" t="n">
        <v>0</v>
      </c>
      <c r="AO1032" t="n">
        <v>0</v>
      </c>
      <c r="AP1032" t="inlineStr">
        <is>
          <t>No</t>
        </is>
      </c>
      <c r="AQ1032" t="inlineStr">
        <is>
          <t>Yes</t>
        </is>
      </c>
      <c r="AR1032">
        <f>HYPERLINK("http://catalog.hathitrust.org/Record/002572310","HathiTrust Record")</f>
        <v/>
      </c>
      <c r="AS1032">
        <f>HYPERLINK("https://creighton-primo.hosted.exlibrisgroup.com/primo-explore/search?tab=default_tab&amp;search_scope=EVERYTHING&amp;vid=01CRU&amp;lang=en_US&amp;offset=0&amp;query=any,contains,991002024109702656","Catalog Record")</f>
        <v/>
      </c>
      <c r="AT1032">
        <f>HYPERLINK("http://www.worldcat.org/oclc/25747660","WorldCat Record")</f>
        <v/>
      </c>
      <c r="AU1032" t="inlineStr">
        <is>
          <t>4061568454:eng</t>
        </is>
      </c>
      <c r="AV1032" t="inlineStr">
        <is>
          <t>25747660</t>
        </is>
      </c>
      <c r="AW1032" t="inlineStr">
        <is>
          <t>991002024109702656</t>
        </is>
      </c>
      <c r="AX1032" t="inlineStr">
        <is>
          <t>991002024109702656</t>
        </is>
      </c>
      <c r="AY1032" t="inlineStr">
        <is>
          <t>2269949150002656</t>
        </is>
      </c>
      <c r="AZ1032" t="inlineStr">
        <is>
          <t>BOOK</t>
        </is>
      </c>
      <c r="BB1032" t="inlineStr">
        <is>
          <t>9780345377449</t>
        </is>
      </c>
      <c r="BC1032" t="inlineStr">
        <is>
          <t>32285001583318</t>
        </is>
      </c>
      <c r="BD1032" t="inlineStr">
        <is>
          <t>893352119</t>
        </is>
      </c>
    </row>
    <row r="1033">
      <c r="A1033" t="inlineStr">
        <is>
          <t>No</t>
        </is>
      </c>
      <c r="B1033" t="inlineStr">
        <is>
          <t>GR475 .O67 1976</t>
        </is>
      </c>
      <c r="C1033" t="inlineStr">
        <is>
          <t>0                      GR 0475000O  67          1976</t>
        </is>
      </c>
      <c r="D1033" t="inlineStr">
        <is>
          <t>The lore and language of schoolchildren / by Iona and Peter Opie.</t>
        </is>
      </c>
      <c r="F1033" t="inlineStr">
        <is>
          <t>No</t>
        </is>
      </c>
      <c r="G1033" t="inlineStr">
        <is>
          <t>1</t>
        </is>
      </c>
      <c r="H1033" t="inlineStr">
        <is>
          <t>No</t>
        </is>
      </c>
      <c r="I1033" t="inlineStr">
        <is>
          <t>No</t>
        </is>
      </c>
      <c r="J1033" t="inlineStr">
        <is>
          <t>0</t>
        </is>
      </c>
      <c r="K1033" t="inlineStr">
        <is>
          <t>Opie, Iona, 1923-2017.</t>
        </is>
      </c>
      <c r="L1033" t="inlineStr">
        <is>
          <t>London : Oxford University Press, 1976, c1959.</t>
        </is>
      </c>
      <c r="M1033" t="inlineStr">
        <is>
          <t>1976</t>
        </is>
      </c>
      <c r="O1033" t="inlineStr">
        <is>
          <t>eng</t>
        </is>
      </c>
      <c r="P1033" t="inlineStr">
        <is>
          <t>enk</t>
        </is>
      </c>
      <c r="R1033" t="inlineStr">
        <is>
          <t xml:space="preserve">GR </t>
        </is>
      </c>
      <c r="S1033" t="n">
        <v>1</v>
      </c>
      <c r="T1033" t="n">
        <v>1</v>
      </c>
      <c r="U1033" t="inlineStr">
        <is>
          <t>2004-09-07</t>
        </is>
      </c>
      <c r="V1033" t="inlineStr">
        <is>
          <t>2004-09-07</t>
        </is>
      </c>
      <c r="W1033" t="inlineStr">
        <is>
          <t>1996-09-04</t>
        </is>
      </c>
      <c r="X1033" t="inlineStr">
        <is>
          <t>1996-09-04</t>
        </is>
      </c>
      <c r="Y1033" t="n">
        <v>53</v>
      </c>
      <c r="Z1033" t="n">
        <v>53</v>
      </c>
      <c r="AA1033" t="n">
        <v>1164</v>
      </c>
      <c r="AB1033" t="n">
        <v>1</v>
      </c>
      <c r="AC1033" t="n">
        <v>6</v>
      </c>
      <c r="AD1033" t="n">
        <v>1</v>
      </c>
      <c r="AE1033" t="n">
        <v>45</v>
      </c>
      <c r="AF1033" t="n">
        <v>0</v>
      </c>
      <c r="AG1033" t="n">
        <v>20</v>
      </c>
      <c r="AH1033" t="n">
        <v>1</v>
      </c>
      <c r="AI1033" t="n">
        <v>9</v>
      </c>
      <c r="AJ1033" t="n">
        <v>1</v>
      </c>
      <c r="AK1033" t="n">
        <v>22</v>
      </c>
      <c r="AL1033" t="n">
        <v>0</v>
      </c>
      <c r="AM1033" t="n">
        <v>5</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HYPERLINK("https://creighton-primo.hosted.exlibrisgroup.com/primo-explore/search?tab=default_tab&amp;search_scope=EVERYTHING&amp;vid=01CRU&amp;lang=en_US&amp;offset=0&amp;query=any,contains,991004434459702656","Catalog Record")</f>
        <v/>
      </c>
      <c r="AT1033">
        <f>HYPERLINK("http://www.worldcat.org/oclc/3435642","WorldCat Record")</f>
        <v/>
      </c>
      <c r="AU1033" t="inlineStr">
        <is>
          <t>571271:eng</t>
        </is>
      </c>
      <c r="AV1033" t="inlineStr">
        <is>
          <t>3435642</t>
        </is>
      </c>
      <c r="AW1033" t="inlineStr">
        <is>
          <t>991004434459702656</t>
        </is>
      </c>
      <c r="AX1033" t="inlineStr">
        <is>
          <t>991004434459702656</t>
        </is>
      </c>
      <c r="AY1033" t="inlineStr">
        <is>
          <t>2268603000002656</t>
        </is>
      </c>
      <c r="AZ1033" t="inlineStr">
        <is>
          <t>BOOK</t>
        </is>
      </c>
      <c r="BC1033" t="inlineStr">
        <is>
          <t>32285002305638</t>
        </is>
      </c>
      <c r="BD1033" t="inlineStr">
        <is>
          <t>893606029</t>
        </is>
      </c>
    </row>
    <row r="1034">
      <c r="A1034" t="inlineStr">
        <is>
          <t>No</t>
        </is>
      </c>
      <c r="B1034" t="inlineStr">
        <is>
          <t>GR475 .O68 1993</t>
        </is>
      </c>
      <c r="C1034" t="inlineStr">
        <is>
          <t>0                      GR 0475000O  68          1993</t>
        </is>
      </c>
      <c r="D1034" t="inlineStr">
        <is>
          <t>The people in the playground / Iona Opie.</t>
        </is>
      </c>
      <c r="F1034" t="inlineStr">
        <is>
          <t>No</t>
        </is>
      </c>
      <c r="G1034" t="inlineStr">
        <is>
          <t>1</t>
        </is>
      </c>
      <c r="H1034" t="inlineStr">
        <is>
          <t>No</t>
        </is>
      </c>
      <c r="I1034" t="inlineStr">
        <is>
          <t>No</t>
        </is>
      </c>
      <c r="J1034" t="inlineStr">
        <is>
          <t>0</t>
        </is>
      </c>
      <c r="K1034" t="inlineStr">
        <is>
          <t>Opie, Iona, 1923-2017.</t>
        </is>
      </c>
      <c r="L1034" t="inlineStr">
        <is>
          <t>Oxford ; New York : Oxford University Press, 1993.</t>
        </is>
      </c>
      <c r="M1034" t="inlineStr">
        <is>
          <t>1993</t>
        </is>
      </c>
      <c r="O1034" t="inlineStr">
        <is>
          <t>eng</t>
        </is>
      </c>
      <c r="P1034" t="inlineStr">
        <is>
          <t>enk</t>
        </is>
      </c>
      <c r="R1034" t="inlineStr">
        <is>
          <t xml:space="preserve">GR </t>
        </is>
      </c>
      <c r="S1034" t="n">
        <v>1</v>
      </c>
      <c r="T1034" t="n">
        <v>1</v>
      </c>
      <c r="U1034" t="inlineStr">
        <is>
          <t>2004-09-27</t>
        </is>
      </c>
      <c r="V1034" t="inlineStr">
        <is>
          <t>2004-09-27</t>
        </is>
      </c>
      <c r="W1034" t="inlineStr">
        <is>
          <t>1997-02-06</t>
        </is>
      </c>
      <c r="X1034" t="inlineStr">
        <is>
          <t>1997-02-06</t>
        </is>
      </c>
      <c r="Y1034" t="n">
        <v>582</v>
      </c>
      <c r="Z1034" t="n">
        <v>406</v>
      </c>
      <c r="AA1034" t="n">
        <v>459</v>
      </c>
      <c r="AB1034" t="n">
        <v>3</v>
      </c>
      <c r="AC1034" t="n">
        <v>3</v>
      </c>
      <c r="AD1034" t="n">
        <v>18</v>
      </c>
      <c r="AE1034" t="n">
        <v>20</v>
      </c>
      <c r="AF1034" t="n">
        <v>6</v>
      </c>
      <c r="AG1034" t="n">
        <v>8</v>
      </c>
      <c r="AH1034" t="n">
        <v>4</v>
      </c>
      <c r="AI1034" t="n">
        <v>4</v>
      </c>
      <c r="AJ1034" t="n">
        <v>10</v>
      </c>
      <c r="AK1034" t="n">
        <v>10</v>
      </c>
      <c r="AL1034" t="n">
        <v>2</v>
      </c>
      <c r="AM1034" t="n">
        <v>2</v>
      </c>
      <c r="AN1034" t="n">
        <v>0</v>
      </c>
      <c r="AO1034" t="n">
        <v>0</v>
      </c>
      <c r="AP1034" t="inlineStr">
        <is>
          <t>No</t>
        </is>
      </c>
      <c r="AQ1034" t="inlineStr">
        <is>
          <t>Yes</t>
        </is>
      </c>
      <c r="AR1034">
        <f>HYPERLINK("http://catalog.hathitrust.org/Record/002700418","HathiTrust Record")</f>
        <v/>
      </c>
      <c r="AS1034">
        <f>HYPERLINK("https://creighton-primo.hosted.exlibrisgroup.com/primo-explore/search?tab=default_tab&amp;search_scope=EVERYTHING&amp;vid=01CRU&amp;lang=en_US&amp;offset=0&amp;query=any,contains,991002022039702656","Catalog Record")</f>
        <v/>
      </c>
      <c r="AT1034">
        <f>HYPERLINK("http://www.worldcat.org/oclc/25713943","WorldCat Record")</f>
        <v/>
      </c>
      <c r="AU1034" t="inlineStr">
        <is>
          <t>28529897:eng</t>
        </is>
      </c>
      <c r="AV1034" t="inlineStr">
        <is>
          <t>25713943</t>
        </is>
      </c>
      <c r="AW1034" t="inlineStr">
        <is>
          <t>991002022039702656</t>
        </is>
      </c>
      <c r="AX1034" t="inlineStr">
        <is>
          <t>991002022039702656</t>
        </is>
      </c>
      <c r="AY1034" t="inlineStr">
        <is>
          <t>2262714810002656</t>
        </is>
      </c>
      <c r="AZ1034" t="inlineStr">
        <is>
          <t>BOOK</t>
        </is>
      </c>
      <c r="BB1034" t="inlineStr">
        <is>
          <t>9780198112655</t>
        </is>
      </c>
      <c r="BC1034" t="inlineStr">
        <is>
          <t>32285002414588</t>
        </is>
      </c>
      <c r="BD1034" t="inlineStr">
        <is>
          <t>893684856</t>
        </is>
      </c>
    </row>
    <row r="1035">
      <c r="A1035" t="inlineStr">
        <is>
          <t>No</t>
        </is>
      </c>
      <c r="B1035" t="inlineStr">
        <is>
          <t>GR475 .S9</t>
        </is>
      </c>
      <c r="C1035" t="inlineStr">
        <is>
          <t>0                      GR 0475000S  9</t>
        </is>
      </c>
      <c r="D1035" t="inlineStr">
        <is>
          <t>The folkstories of children / Brian Sutton-Smith, in collaboration with David M. Abrams ... [et al.].</t>
        </is>
      </c>
      <c r="F1035" t="inlineStr">
        <is>
          <t>No</t>
        </is>
      </c>
      <c r="G1035" t="inlineStr">
        <is>
          <t>1</t>
        </is>
      </c>
      <c r="H1035" t="inlineStr">
        <is>
          <t>No</t>
        </is>
      </c>
      <c r="I1035" t="inlineStr">
        <is>
          <t>No</t>
        </is>
      </c>
      <c r="J1035" t="inlineStr">
        <is>
          <t>0</t>
        </is>
      </c>
      <c r="K1035" t="inlineStr">
        <is>
          <t>Sutton-Smith, Brian.</t>
        </is>
      </c>
      <c r="L1035" t="inlineStr">
        <is>
          <t>Philadelphia : University of Pennsylvania Press, 1980.</t>
        </is>
      </c>
      <c r="M1035" t="inlineStr">
        <is>
          <t>1980</t>
        </is>
      </c>
      <c r="O1035" t="inlineStr">
        <is>
          <t>eng</t>
        </is>
      </c>
      <c r="P1035" t="inlineStr">
        <is>
          <t>pau</t>
        </is>
      </c>
      <c r="Q1035" t="inlineStr">
        <is>
          <t>Publications of the American Folklore Society. New series ; v. 3</t>
        </is>
      </c>
      <c r="R1035" t="inlineStr">
        <is>
          <t xml:space="preserve">GR </t>
        </is>
      </c>
      <c r="S1035" t="n">
        <v>1</v>
      </c>
      <c r="T1035" t="n">
        <v>1</v>
      </c>
      <c r="U1035" t="inlineStr">
        <is>
          <t>2004-09-27</t>
        </is>
      </c>
      <c r="V1035" t="inlineStr">
        <is>
          <t>2004-09-27</t>
        </is>
      </c>
      <c r="W1035" t="inlineStr">
        <is>
          <t>1990-10-01</t>
        </is>
      </c>
      <c r="X1035" t="inlineStr">
        <is>
          <t>1990-10-01</t>
        </is>
      </c>
      <c r="Y1035" t="n">
        <v>475</v>
      </c>
      <c r="Z1035" t="n">
        <v>425</v>
      </c>
      <c r="AA1035" t="n">
        <v>870</v>
      </c>
      <c r="AB1035" t="n">
        <v>4</v>
      </c>
      <c r="AC1035" t="n">
        <v>7</v>
      </c>
      <c r="AD1035" t="n">
        <v>14</v>
      </c>
      <c r="AE1035" t="n">
        <v>39</v>
      </c>
      <c r="AF1035" t="n">
        <v>5</v>
      </c>
      <c r="AG1035" t="n">
        <v>17</v>
      </c>
      <c r="AH1035" t="n">
        <v>3</v>
      </c>
      <c r="AI1035" t="n">
        <v>9</v>
      </c>
      <c r="AJ1035" t="n">
        <v>6</v>
      </c>
      <c r="AK1035" t="n">
        <v>15</v>
      </c>
      <c r="AL1035" t="n">
        <v>2</v>
      </c>
      <c r="AM1035" t="n">
        <v>5</v>
      </c>
      <c r="AN1035" t="n">
        <v>0</v>
      </c>
      <c r="AO1035" t="n">
        <v>1</v>
      </c>
      <c r="AP1035" t="inlineStr">
        <is>
          <t>No</t>
        </is>
      </c>
      <c r="AQ1035" t="inlineStr">
        <is>
          <t>Yes</t>
        </is>
      </c>
      <c r="AR1035">
        <f>HYPERLINK("http://catalog.hathitrust.org/Record/000224764","HathiTrust Record")</f>
        <v/>
      </c>
      <c r="AS1035">
        <f>HYPERLINK("https://creighton-primo.hosted.exlibrisgroup.com/primo-explore/search?tab=default_tab&amp;search_scope=EVERYTHING&amp;vid=01CRU&amp;lang=en_US&amp;offset=0&amp;query=any,contains,991005015959702656","Catalog Record")</f>
        <v/>
      </c>
      <c r="AT1035">
        <f>HYPERLINK("http://www.worldcat.org/oclc/6626149","WorldCat Record")</f>
        <v/>
      </c>
      <c r="AU1035" t="inlineStr">
        <is>
          <t>23056658:eng</t>
        </is>
      </c>
      <c r="AV1035" t="inlineStr">
        <is>
          <t>6626149</t>
        </is>
      </c>
      <c r="AW1035" t="inlineStr">
        <is>
          <t>991005015959702656</t>
        </is>
      </c>
      <c r="AX1035" t="inlineStr">
        <is>
          <t>991005015959702656</t>
        </is>
      </c>
      <c r="AY1035" t="inlineStr">
        <is>
          <t>2255967430002656</t>
        </is>
      </c>
      <c r="AZ1035" t="inlineStr">
        <is>
          <t>BOOK</t>
        </is>
      </c>
      <c r="BB1035" t="inlineStr">
        <is>
          <t>9780812211085</t>
        </is>
      </c>
      <c r="BC1035" t="inlineStr">
        <is>
          <t>32285000318351</t>
        </is>
      </c>
      <c r="BD1035" t="inlineStr">
        <is>
          <t>893895744</t>
        </is>
      </c>
    </row>
    <row r="1036">
      <c r="A1036" t="inlineStr">
        <is>
          <t>No</t>
        </is>
      </c>
      <c r="B1036" t="inlineStr">
        <is>
          <t>GR487 .E3 1968</t>
        </is>
      </c>
      <c r="C1036" t="inlineStr">
        <is>
          <t>0                      GR 0487000E  3           1968</t>
        </is>
      </c>
      <c r="D1036" t="inlineStr">
        <is>
          <t>Comparative studies in nursery rhymes / London, Duckworth, 1906.</t>
        </is>
      </c>
      <c r="F1036" t="inlineStr">
        <is>
          <t>No</t>
        </is>
      </c>
      <c r="G1036" t="inlineStr">
        <is>
          <t>1</t>
        </is>
      </c>
      <c r="H1036" t="inlineStr">
        <is>
          <t>No</t>
        </is>
      </c>
      <c r="I1036" t="inlineStr">
        <is>
          <t>No</t>
        </is>
      </c>
      <c r="J1036" t="inlineStr">
        <is>
          <t>0</t>
        </is>
      </c>
      <c r="K1036" t="inlineStr">
        <is>
          <t>Eckenstein, Lina, 1857-1931.</t>
        </is>
      </c>
      <c r="L1036" t="inlineStr">
        <is>
          <t>Detroit : Singing Tree Press, 1968.</t>
        </is>
      </c>
      <c r="M1036" t="inlineStr">
        <is>
          <t>1968</t>
        </is>
      </c>
      <c r="O1036" t="inlineStr">
        <is>
          <t>eng</t>
        </is>
      </c>
      <c r="P1036" t="inlineStr">
        <is>
          <t>miu</t>
        </is>
      </c>
      <c r="R1036" t="inlineStr">
        <is>
          <t xml:space="preserve">GR </t>
        </is>
      </c>
      <c r="S1036" t="n">
        <v>4</v>
      </c>
      <c r="T1036" t="n">
        <v>4</v>
      </c>
      <c r="U1036" t="inlineStr">
        <is>
          <t>2003-01-19</t>
        </is>
      </c>
      <c r="V1036" t="inlineStr">
        <is>
          <t>2003-01-19</t>
        </is>
      </c>
      <c r="W1036" t="inlineStr">
        <is>
          <t>1991-01-10</t>
        </is>
      </c>
      <c r="X1036" t="inlineStr">
        <is>
          <t>1991-01-10</t>
        </is>
      </c>
      <c r="Y1036" t="n">
        <v>480</v>
      </c>
      <c r="Z1036" t="n">
        <v>439</v>
      </c>
      <c r="AA1036" t="n">
        <v>547</v>
      </c>
      <c r="AB1036" t="n">
        <v>5</v>
      </c>
      <c r="AC1036" t="n">
        <v>6</v>
      </c>
      <c r="AD1036" t="n">
        <v>21</v>
      </c>
      <c r="AE1036" t="n">
        <v>25</v>
      </c>
      <c r="AF1036" t="n">
        <v>7</v>
      </c>
      <c r="AG1036" t="n">
        <v>8</v>
      </c>
      <c r="AH1036" t="n">
        <v>4</v>
      </c>
      <c r="AI1036" t="n">
        <v>6</v>
      </c>
      <c r="AJ1036" t="n">
        <v>10</v>
      </c>
      <c r="AK1036" t="n">
        <v>10</v>
      </c>
      <c r="AL1036" t="n">
        <v>4</v>
      </c>
      <c r="AM1036" t="n">
        <v>5</v>
      </c>
      <c r="AN1036" t="n">
        <v>0</v>
      </c>
      <c r="AO1036" t="n">
        <v>0</v>
      </c>
      <c r="AP1036" t="inlineStr">
        <is>
          <t>No</t>
        </is>
      </c>
      <c r="AQ1036" t="inlineStr">
        <is>
          <t>Yes</t>
        </is>
      </c>
      <c r="AR1036">
        <f>HYPERLINK("http://catalog.hathitrust.org/Record/001277179","HathiTrust Record")</f>
        <v/>
      </c>
      <c r="AS1036">
        <f>HYPERLINK("https://creighton-primo.hosted.exlibrisgroup.com/primo-explore/search?tab=default_tab&amp;search_scope=EVERYTHING&amp;vid=01CRU&amp;lang=en_US&amp;offset=0&amp;query=any,contains,991001650999702656","Catalog Record")</f>
        <v/>
      </c>
      <c r="AT1036">
        <f>HYPERLINK("http://www.worldcat.org/oclc/233900","WorldCat Record")</f>
        <v/>
      </c>
      <c r="AU1036" t="inlineStr">
        <is>
          <t>1362401:eng</t>
        </is>
      </c>
      <c r="AV1036" t="inlineStr">
        <is>
          <t>233900</t>
        </is>
      </c>
      <c r="AW1036" t="inlineStr">
        <is>
          <t>991001650999702656</t>
        </is>
      </c>
      <c r="AX1036" t="inlineStr">
        <is>
          <t>991001650999702656</t>
        </is>
      </c>
      <c r="AY1036" t="inlineStr">
        <is>
          <t>2259217600002656</t>
        </is>
      </c>
      <c r="AZ1036" t="inlineStr">
        <is>
          <t>BOOK</t>
        </is>
      </c>
      <c r="BC1036" t="inlineStr">
        <is>
          <t>32285000430214</t>
        </is>
      </c>
      <c r="BD1036" t="inlineStr">
        <is>
          <t>893879037</t>
        </is>
      </c>
    </row>
    <row r="1037">
      <c r="A1037" t="inlineStr">
        <is>
          <t>No</t>
        </is>
      </c>
      <c r="B1037" t="inlineStr">
        <is>
          <t>GR549 .B73 1977</t>
        </is>
      </c>
      <c r="C1037" t="inlineStr">
        <is>
          <t>0                      GR 0549000B  73          1977</t>
        </is>
      </c>
      <c r="D1037" t="inlineStr">
        <is>
          <t>The anatomy of puck / Katherine Mary Briggs. --</t>
        </is>
      </c>
      <c r="F1037" t="inlineStr">
        <is>
          <t>No</t>
        </is>
      </c>
      <c r="G1037" t="inlineStr">
        <is>
          <t>1</t>
        </is>
      </c>
      <c r="H1037" t="inlineStr">
        <is>
          <t>No</t>
        </is>
      </c>
      <c r="I1037" t="inlineStr">
        <is>
          <t>No</t>
        </is>
      </c>
      <c r="J1037" t="inlineStr">
        <is>
          <t>0</t>
        </is>
      </c>
      <c r="K1037" t="inlineStr">
        <is>
          <t>Briggs, Katharine Mary.</t>
        </is>
      </c>
      <c r="L1037" t="inlineStr">
        <is>
          <t>New York : Arno Press, 1977, c1959.</t>
        </is>
      </c>
      <c r="M1037" t="inlineStr">
        <is>
          <t>1977</t>
        </is>
      </c>
      <c r="O1037" t="inlineStr">
        <is>
          <t>eng</t>
        </is>
      </c>
      <c r="P1037" t="inlineStr">
        <is>
          <t>nyu</t>
        </is>
      </c>
      <c r="Q1037" t="inlineStr">
        <is>
          <t>International folklore</t>
        </is>
      </c>
      <c r="R1037" t="inlineStr">
        <is>
          <t xml:space="preserve">GR </t>
        </is>
      </c>
      <c r="S1037" t="n">
        <v>3</v>
      </c>
      <c r="T1037" t="n">
        <v>3</v>
      </c>
      <c r="U1037" t="inlineStr">
        <is>
          <t>1994-11-03</t>
        </is>
      </c>
      <c r="V1037" t="inlineStr">
        <is>
          <t>1994-11-03</t>
        </is>
      </c>
      <c r="W1037" t="inlineStr">
        <is>
          <t>1990-10-01</t>
        </is>
      </c>
      <c r="X1037" t="inlineStr">
        <is>
          <t>1990-10-01</t>
        </is>
      </c>
      <c r="Y1037" t="n">
        <v>89</v>
      </c>
      <c r="Z1037" t="n">
        <v>76</v>
      </c>
      <c r="AA1037" t="n">
        <v>545</v>
      </c>
      <c r="AB1037" t="n">
        <v>2</v>
      </c>
      <c r="AC1037" t="n">
        <v>5</v>
      </c>
      <c r="AD1037" t="n">
        <v>1</v>
      </c>
      <c r="AE1037" t="n">
        <v>27</v>
      </c>
      <c r="AF1037" t="n">
        <v>0</v>
      </c>
      <c r="AG1037" t="n">
        <v>12</v>
      </c>
      <c r="AH1037" t="n">
        <v>0</v>
      </c>
      <c r="AI1037" t="n">
        <v>3</v>
      </c>
      <c r="AJ1037" t="n">
        <v>0</v>
      </c>
      <c r="AK1037" t="n">
        <v>16</v>
      </c>
      <c r="AL1037" t="n">
        <v>1</v>
      </c>
      <c r="AM1037" t="n">
        <v>4</v>
      </c>
      <c r="AN1037" t="n">
        <v>0</v>
      </c>
      <c r="AO1037" t="n">
        <v>0</v>
      </c>
      <c r="AP1037" t="inlineStr">
        <is>
          <t>No</t>
        </is>
      </c>
      <c r="AQ1037" t="inlineStr">
        <is>
          <t>Yes</t>
        </is>
      </c>
      <c r="AR1037">
        <f>HYPERLINK("http://catalog.hathitrust.org/Record/006868120","HathiTrust Record")</f>
        <v/>
      </c>
      <c r="AS1037">
        <f>HYPERLINK("https://creighton-primo.hosted.exlibrisgroup.com/primo-explore/search?tab=default_tab&amp;search_scope=EVERYTHING&amp;vid=01CRU&amp;lang=en_US&amp;offset=0&amp;query=any,contains,991004271239702656","Catalog Record")</f>
        <v/>
      </c>
      <c r="AT1037">
        <f>HYPERLINK("http://www.worldcat.org/oclc/2876094","WorldCat Record")</f>
        <v/>
      </c>
      <c r="AU1037" t="inlineStr">
        <is>
          <t>428998691:eng</t>
        </is>
      </c>
      <c r="AV1037" t="inlineStr">
        <is>
          <t>2876094</t>
        </is>
      </c>
      <c r="AW1037" t="inlineStr">
        <is>
          <t>991004271239702656</t>
        </is>
      </c>
      <c r="AX1037" t="inlineStr">
        <is>
          <t>991004271239702656</t>
        </is>
      </c>
      <c r="AY1037" t="inlineStr">
        <is>
          <t>2257845840002656</t>
        </is>
      </c>
      <c r="AZ1037" t="inlineStr">
        <is>
          <t>BOOK</t>
        </is>
      </c>
      <c r="BB1037" t="inlineStr">
        <is>
          <t>9780405100826</t>
        </is>
      </c>
      <c r="BC1037" t="inlineStr">
        <is>
          <t>32285000318369</t>
        </is>
      </c>
      <c r="BD1037" t="inlineStr">
        <is>
          <t>893349813</t>
        </is>
      </c>
    </row>
    <row r="1038">
      <c r="A1038" t="inlineStr">
        <is>
          <t>No</t>
        </is>
      </c>
      <c r="B1038" t="inlineStr">
        <is>
          <t>GR550 .B685 1967b</t>
        </is>
      </c>
      <c r="C1038" t="inlineStr">
        <is>
          <t>0                      GR 0550000B  685         1967b</t>
        </is>
      </c>
      <c r="D1038" t="inlineStr">
        <is>
          <t>The fairies in English tradition and literature / [by] K. M. Briggs.</t>
        </is>
      </c>
      <c r="F1038" t="inlineStr">
        <is>
          <t>No</t>
        </is>
      </c>
      <c r="G1038" t="inlineStr">
        <is>
          <t>1</t>
        </is>
      </c>
      <c r="H1038" t="inlineStr">
        <is>
          <t>No</t>
        </is>
      </c>
      <c r="I1038" t="inlineStr">
        <is>
          <t>No</t>
        </is>
      </c>
      <c r="J1038" t="inlineStr">
        <is>
          <t>0</t>
        </is>
      </c>
      <c r="K1038" t="inlineStr">
        <is>
          <t>Briggs, Katharine Mary.</t>
        </is>
      </c>
      <c r="L1038" t="inlineStr">
        <is>
          <t>[Chicago] : University of Chicago Press, [1967]</t>
        </is>
      </c>
      <c r="M1038" t="inlineStr">
        <is>
          <t>1967</t>
        </is>
      </c>
      <c r="O1038" t="inlineStr">
        <is>
          <t>eng</t>
        </is>
      </c>
      <c r="P1038" t="inlineStr">
        <is>
          <t>ilu</t>
        </is>
      </c>
      <c r="R1038" t="inlineStr">
        <is>
          <t xml:space="preserve">GR </t>
        </is>
      </c>
      <c r="S1038" t="n">
        <v>8</v>
      </c>
      <c r="T1038" t="n">
        <v>8</v>
      </c>
      <c r="U1038" t="inlineStr">
        <is>
          <t>2000-04-25</t>
        </is>
      </c>
      <c r="V1038" t="inlineStr">
        <is>
          <t>2000-04-25</t>
        </is>
      </c>
      <c r="W1038" t="inlineStr">
        <is>
          <t>1990-11-30</t>
        </is>
      </c>
      <c r="X1038" t="inlineStr">
        <is>
          <t>1990-11-30</t>
        </is>
      </c>
      <c r="Y1038" t="n">
        <v>767</v>
      </c>
      <c r="Z1038" t="n">
        <v>735</v>
      </c>
      <c r="AA1038" t="n">
        <v>741</v>
      </c>
      <c r="AB1038" t="n">
        <v>8</v>
      </c>
      <c r="AC1038" t="n">
        <v>8</v>
      </c>
      <c r="AD1038" t="n">
        <v>30</v>
      </c>
      <c r="AE1038" t="n">
        <v>30</v>
      </c>
      <c r="AF1038" t="n">
        <v>15</v>
      </c>
      <c r="AG1038" t="n">
        <v>15</v>
      </c>
      <c r="AH1038" t="n">
        <v>6</v>
      </c>
      <c r="AI1038" t="n">
        <v>6</v>
      </c>
      <c r="AJ1038" t="n">
        <v>10</v>
      </c>
      <c r="AK1038" t="n">
        <v>10</v>
      </c>
      <c r="AL1038" t="n">
        <v>7</v>
      </c>
      <c r="AM1038" t="n">
        <v>7</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HYPERLINK("https://creighton-primo.hosted.exlibrisgroup.com/primo-explore/search?tab=default_tab&amp;search_scope=EVERYTHING&amp;vid=01CRU&amp;lang=en_US&amp;offset=0&amp;query=any,contains,991003184629702656","Catalog Record")</f>
        <v/>
      </c>
      <c r="AT1038">
        <f>HYPERLINK("http://www.worldcat.org/oclc/712523","WorldCat Record")</f>
        <v/>
      </c>
      <c r="AU1038" t="inlineStr">
        <is>
          <t>3901219131:eng</t>
        </is>
      </c>
      <c r="AV1038" t="inlineStr">
        <is>
          <t>712523</t>
        </is>
      </c>
      <c r="AW1038" t="inlineStr">
        <is>
          <t>991003184629702656</t>
        </is>
      </c>
      <c r="AX1038" t="inlineStr">
        <is>
          <t>991003184629702656</t>
        </is>
      </c>
      <c r="AY1038" t="inlineStr">
        <is>
          <t>2256664270002656</t>
        </is>
      </c>
      <c r="AZ1038" t="inlineStr">
        <is>
          <t>BOOK</t>
        </is>
      </c>
      <c r="BC1038" t="inlineStr">
        <is>
          <t>32285000410828</t>
        </is>
      </c>
      <c r="BD1038" t="inlineStr">
        <is>
          <t>893692460</t>
        </is>
      </c>
    </row>
    <row r="1039">
      <c r="A1039" t="inlineStr">
        <is>
          <t>No</t>
        </is>
      </c>
      <c r="B1039" t="inlineStr">
        <is>
          <t>GR550 .L83 1989</t>
        </is>
      </c>
      <c r="C1039" t="inlineStr">
        <is>
          <t>0                      GR 0550000L  83          1989</t>
        </is>
      </c>
      <c r="D1039" t="inlineStr">
        <is>
          <t>So leben sie noch heute : Betrachtungen zum Volksmärchen / Max Lüthi.</t>
        </is>
      </c>
      <c r="F1039" t="inlineStr">
        <is>
          <t>No</t>
        </is>
      </c>
      <c r="G1039" t="inlineStr">
        <is>
          <t>1</t>
        </is>
      </c>
      <c r="H1039" t="inlineStr">
        <is>
          <t>No</t>
        </is>
      </c>
      <c r="I1039" t="inlineStr">
        <is>
          <t>No</t>
        </is>
      </c>
      <c r="J1039" t="inlineStr">
        <is>
          <t>0</t>
        </is>
      </c>
      <c r="K1039" t="inlineStr">
        <is>
          <t>Lüthi, Max, 1909-1991.</t>
        </is>
      </c>
      <c r="L1039" t="inlineStr">
        <is>
          <t>Göttingen : Vandenhoeck &amp; Ruprecht, 1989.</t>
        </is>
      </c>
      <c r="M1039" t="inlineStr">
        <is>
          <t>1989</t>
        </is>
      </c>
      <c r="N1039" t="inlineStr">
        <is>
          <t>3., unveränderte Aufl.</t>
        </is>
      </c>
      <c r="O1039" t="inlineStr">
        <is>
          <t>ger</t>
        </is>
      </c>
      <c r="P1039" t="inlineStr">
        <is>
          <t xml:space="preserve">gw </t>
        </is>
      </c>
      <c r="Q1039" t="inlineStr">
        <is>
          <t>Kleine Vandenhoeck-Reihe ; 1294</t>
        </is>
      </c>
      <c r="R1039" t="inlineStr">
        <is>
          <t xml:space="preserve">GR </t>
        </is>
      </c>
      <c r="S1039" t="n">
        <v>0</v>
      </c>
      <c r="T1039" t="n">
        <v>0</v>
      </c>
      <c r="U1039" t="inlineStr">
        <is>
          <t>2008-09-18</t>
        </is>
      </c>
      <c r="V1039" t="inlineStr">
        <is>
          <t>2008-09-18</t>
        </is>
      </c>
      <c r="W1039" t="inlineStr">
        <is>
          <t>1995-09-17</t>
        </is>
      </c>
      <c r="X1039" t="inlineStr">
        <is>
          <t>1995-09-17</t>
        </is>
      </c>
      <c r="Y1039" t="n">
        <v>44</v>
      </c>
      <c r="Z1039" t="n">
        <v>11</v>
      </c>
      <c r="AA1039" t="n">
        <v>111</v>
      </c>
      <c r="AB1039" t="n">
        <v>1</v>
      </c>
      <c r="AC1039" t="n">
        <v>2</v>
      </c>
      <c r="AD1039" t="n">
        <v>0</v>
      </c>
      <c r="AE1039" t="n">
        <v>3</v>
      </c>
      <c r="AF1039" t="n">
        <v>0</v>
      </c>
      <c r="AG1039" t="n">
        <v>0</v>
      </c>
      <c r="AH1039" t="n">
        <v>0</v>
      </c>
      <c r="AI1039" t="n">
        <v>1</v>
      </c>
      <c r="AJ1039" t="n">
        <v>0</v>
      </c>
      <c r="AK1039" t="n">
        <v>1</v>
      </c>
      <c r="AL1039" t="n">
        <v>0</v>
      </c>
      <c r="AM1039" t="n">
        <v>1</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HYPERLINK("https://creighton-primo.hosted.exlibrisgroup.com/primo-explore/search?tab=default_tab&amp;search_scope=EVERYTHING&amp;vid=01CRU&amp;lang=en_US&amp;offset=0&amp;query=any,contains,991001814639702656","Catalog Record")</f>
        <v/>
      </c>
      <c r="AT1039">
        <f>HYPERLINK("http://www.worldcat.org/oclc/22779434","WorldCat Record")</f>
        <v/>
      </c>
      <c r="AU1039" t="inlineStr">
        <is>
          <t>500338464:ger</t>
        </is>
      </c>
      <c r="AV1039" t="inlineStr">
        <is>
          <t>22779434</t>
        </is>
      </c>
      <c r="AW1039" t="inlineStr">
        <is>
          <t>991001814639702656</t>
        </is>
      </c>
      <c r="AX1039" t="inlineStr">
        <is>
          <t>991001814639702656</t>
        </is>
      </c>
      <c r="AY1039" t="inlineStr">
        <is>
          <t>2261275510002656</t>
        </is>
      </c>
      <c r="AZ1039" t="inlineStr">
        <is>
          <t>BOOK</t>
        </is>
      </c>
      <c r="BB1039" t="inlineStr">
        <is>
          <t>9783525334003</t>
        </is>
      </c>
      <c r="BC1039" t="inlineStr">
        <is>
          <t>32285002092582</t>
        </is>
      </c>
      <c r="BD1039" t="inlineStr">
        <is>
          <t>893879206</t>
        </is>
      </c>
    </row>
    <row r="1040">
      <c r="A1040" t="inlineStr">
        <is>
          <t>No</t>
        </is>
      </c>
      <c r="B1040" t="inlineStr">
        <is>
          <t>GR580 .H6 1967</t>
        </is>
      </c>
      <c r="C1040" t="inlineStr">
        <is>
          <t>0                      GR 0580000H  6           1967</t>
        </is>
      </c>
      <c r="D1040" t="inlineStr">
        <is>
          <t>The lively ghosts of Ireland / Hans Holzer ; illus. by Catherine Buxhoeveden.</t>
        </is>
      </c>
      <c r="F1040" t="inlineStr">
        <is>
          <t>No</t>
        </is>
      </c>
      <c r="G1040" t="inlineStr">
        <is>
          <t>1</t>
        </is>
      </c>
      <c r="H1040" t="inlineStr">
        <is>
          <t>No</t>
        </is>
      </c>
      <c r="I1040" t="inlineStr">
        <is>
          <t>No</t>
        </is>
      </c>
      <c r="J1040" t="inlineStr">
        <is>
          <t>0</t>
        </is>
      </c>
      <c r="K1040" t="inlineStr">
        <is>
          <t>Holzer, Hans, 1920-2009.</t>
        </is>
      </c>
      <c r="L1040" t="inlineStr">
        <is>
          <t>New York : Bell Pub. Co., 1967.</t>
        </is>
      </c>
      <c r="M1040" t="inlineStr">
        <is>
          <t>1967</t>
        </is>
      </c>
      <c r="O1040" t="inlineStr">
        <is>
          <t>eng</t>
        </is>
      </c>
      <c r="P1040" t="inlineStr">
        <is>
          <t xml:space="preserve">xx </t>
        </is>
      </c>
      <c r="R1040" t="inlineStr">
        <is>
          <t xml:space="preserve">GR </t>
        </is>
      </c>
      <c r="S1040" t="n">
        <v>6</v>
      </c>
      <c r="T1040" t="n">
        <v>6</v>
      </c>
      <c r="U1040" t="inlineStr">
        <is>
          <t>1999-10-24</t>
        </is>
      </c>
      <c r="V1040" t="inlineStr">
        <is>
          <t>1999-10-24</t>
        </is>
      </c>
      <c r="W1040" t="inlineStr">
        <is>
          <t>1992-05-12</t>
        </is>
      </c>
      <c r="X1040" t="inlineStr">
        <is>
          <t>1992-05-12</t>
        </is>
      </c>
      <c r="Y1040" t="n">
        <v>115</v>
      </c>
      <c r="Z1040" t="n">
        <v>107</v>
      </c>
      <c r="AA1040" t="n">
        <v>474</v>
      </c>
      <c r="AB1040" t="n">
        <v>3</v>
      </c>
      <c r="AC1040" t="n">
        <v>8</v>
      </c>
      <c r="AD1040" t="n">
        <v>0</v>
      </c>
      <c r="AE1040" t="n">
        <v>8</v>
      </c>
      <c r="AF1040" t="n">
        <v>0</v>
      </c>
      <c r="AG1040" t="n">
        <v>0</v>
      </c>
      <c r="AH1040" t="n">
        <v>0</v>
      </c>
      <c r="AI1040" t="n">
        <v>4</v>
      </c>
      <c r="AJ1040" t="n">
        <v>0</v>
      </c>
      <c r="AK1040" t="n">
        <v>3</v>
      </c>
      <c r="AL1040" t="n">
        <v>0</v>
      </c>
      <c r="AM1040" t="n">
        <v>2</v>
      </c>
      <c r="AN1040" t="n">
        <v>0</v>
      </c>
      <c r="AO1040" t="n">
        <v>0</v>
      </c>
      <c r="AP1040" t="inlineStr">
        <is>
          <t>No</t>
        </is>
      </c>
      <c r="AQ1040" t="inlineStr">
        <is>
          <t>No</t>
        </is>
      </c>
      <c r="AS1040">
        <f>HYPERLINK("https://creighton-primo.hosted.exlibrisgroup.com/primo-explore/search?tab=default_tab&amp;search_scope=EVERYTHING&amp;vid=01CRU&amp;lang=en_US&amp;offset=0&amp;query=any,contains,991004149049702656","Catalog Record")</f>
        <v/>
      </c>
      <c r="AT1040">
        <f>HYPERLINK("http://www.worldcat.org/oclc/2521663","WorldCat Record")</f>
        <v/>
      </c>
      <c r="AU1040" t="inlineStr">
        <is>
          <t>4161310530:eng</t>
        </is>
      </c>
      <c r="AV1040" t="inlineStr">
        <is>
          <t>2521663</t>
        </is>
      </c>
      <c r="AW1040" t="inlineStr">
        <is>
          <t>991004149049702656</t>
        </is>
      </c>
      <c r="AX1040" t="inlineStr">
        <is>
          <t>991004149049702656</t>
        </is>
      </c>
      <c r="AY1040" t="inlineStr">
        <is>
          <t>2269336190002656</t>
        </is>
      </c>
      <c r="AZ1040" t="inlineStr">
        <is>
          <t>BOOK</t>
        </is>
      </c>
      <c r="BB1040" t="inlineStr">
        <is>
          <t>9780517168080</t>
        </is>
      </c>
      <c r="BC1040" t="inlineStr">
        <is>
          <t>32285001109023</t>
        </is>
      </c>
      <c r="BD1040" t="inlineStr">
        <is>
          <t>893806726</t>
        </is>
      </c>
    </row>
    <row r="1041">
      <c r="A1041" t="inlineStr">
        <is>
          <t>No</t>
        </is>
      </c>
      <c r="B1041" t="inlineStr">
        <is>
          <t>GR66 .D87</t>
        </is>
      </c>
      <c r="C1041" t="inlineStr">
        <is>
          <t>0                      GR 0066000D  87</t>
        </is>
      </c>
      <c r="D1041" t="inlineStr">
        <is>
          <t>Interpreting folklore / Alan Dundes.</t>
        </is>
      </c>
      <c r="F1041" t="inlineStr">
        <is>
          <t>No</t>
        </is>
      </c>
      <c r="G1041" t="inlineStr">
        <is>
          <t>1</t>
        </is>
      </c>
      <c r="H1041" t="inlineStr">
        <is>
          <t>No</t>
        </is>
      </c>
      <c r="I1041" t="inlineStr">
        <is>
          <t>No</t>
        </is>
      </c>
      <c r="J1041" t="inlineStr">
        <is>
          <t>0</t>
        </is>
      </c>
      <c r="K1041" t="inlineStr">
        <is>
          <t>Dundes, Alan.</t>
        </is>
      </c>
      <c r="L1041" t="inlineStr">
        <is>
          <t>Bloomington : Indiana University Press, c1980.</t>
        </is>
      </c>
      <c r="M1041" t="inlineStr">
        <is>
          <t>1980</t>
        </is>
      </c>
      <c r="O1041" t="inlineStr">
        <is>
          <t>eng</t>
        </is>
      </c>
      <c r="P1041" t="inlineStr">
        <is>
          <t>inu</t>
        </is>
      </c>
      <c r="R1041" t="inlineStr">
        <is>
          <t xml:space="preserve">GR </t>
        </is>
      </c>
      <c r="S1041" t="n">
        <v>2</v>
      </c>
      <c r="T1041" t="n">
        <v>2</v>
      </c>
      <c r="U1041" t="inlineStr">
        <is>
          <t>2006-03-30</t>
        </is>
      </c>
      <c r="V1041" t="inlineStr">
        <is>
          <t>2006-03-30</t>
        </is>
      </c>
      <c r="W1041" t="inlineStr">
        <is>
          <t>1990-10-01</t>
        </is>
      </c>
      <c r="X1041" t="inlineStr">
        <is>
          <t>1990-10-01</t>
        </is>
      </c>
      <c r="Y1041" t="n">
        <v>884</v>
      </c>
      <c r="Z1041" t="n">
        <v>729</v>
      </c>
      <c r="AA1041" t="n">
        <v>731</v>
      </c>
      <c r="AB1041" t="n">
        <v>7</v>
      </c>
      <c r="AC1041" t="n">
        <v>7</v>
      </c>
      <c r="AD1041" t="n">
        <v>24</v>
      </c>
      <c r="AE1041" t="n">
        <v>24</v>
      </c>
      <c r="AF1041" t="n">
        <v>6</v>
      </c>
      <c r="AG1041" t="n">
        <v>6</v>
      </c>
      <c r="AH1041" t="n">
        <v>8</v>
      </c>
      <c r="AI1041" t="n">
        <v>8</v>
      </c>
      <c r="AJ1041" t="n">
        <v>10</v>
      </c>
      <c r="AK1041" t="n">
        <v>10</v>
      </c>
      <c r="AL1041" t="n">
        <v>5</v>
      </c>
      <c r="AM1041" t="n">
        <v>5</v>
      </c>
      <c r="AN1041" t="n">
        <v>0</v>
      </c>
      <c r="AO1041" t="n">
        <v>0</v>
      </c>
      <c r="AP1041" t="inlineStr">
        <is>
          <t>No</t>
        </is>
      </c>
      <c r="AQ1041" t="inlineStr">
        <is>
          <t>Yes</t>
        </is>
      </c>
      <c r="AR1041">
        <f>HYPERLINK("http://catalog.hathitrust.org/Record/000688567","HathiTrust Record")</f>
        <v/>
      </c>
      <c r="AS1041">
        <f>HYPERLINK("https://creighton-primo.hosted.exlibrisgroup.com/primo-explore/search?tab=default_tab&amp;search_scope=EVERYTHING&amp;vid=01CRU&amp;lang=en_US&amp;offset=0&amp;query=any,contains,991004855289702656","Catalog Record")</f>
        <v/>
      </c>
      <c r="AT1041">
        <f>HYPERLINK("http://www.worldcat.org/oclc/5674016","WorldCat Record")</f>
        <v/>
      </c>
      <c r="AU1041" t="inlineStr">
        <is>
          <t>421440:eng</t>
        </is>
      </c>
      <c r="AV1041" t="inlineStr">
        <is>
          <t>5674016</t>
        </is>
      </c>
      <c r="AW1041" t="inlineStr">
        <is>
          <t>991004855289702656</t>
        </is>
      </c>
      <c r="AX1041" t="inlineStr">
        <is>
          <t>991004855289702656</t>
        </is>
      </c>
      <c r="AY1041" t="inlineStr">
        <is>
          <t>2256233980002656</t>
        </is>
      </c>
      <c r="AZ1041" t="inlineStr">
        <is>
          <t>BOOK</t>
        </is>
      </c>
      <c r="BB1041" t="inlineStr">
        <is>
          <t>9780253143075</t>
        </is>
      </c>
      <c r="BC1041" t="inlineStr">
        <is>
          <t>32285000317841</t>
        </is>
      </c>
      <c r="BD1041" t="inlineStr">
        <is>
          <t>893344339</t>
        </is>
      </c>
    </row>
    <row r="1042">
      <c r="A1042" t="inlineStr">
        <is>
          <t>No</t>
        </is>
      </c>
      <c r="B1042" t="inlineStr">
        <is>
          <t>GR67 .C7</t>
        </is>
      </c>
      <c r="C1042" t="inlineStr">
        <is>
          <t>0                      GR 0067000C  7</t>
        </is>
      </c>
      <c r="D1042" t="inlineStr">
        <is>
          <t>Motif-index of early Irish literature / by Tom Peete Cross. --</t>
        </is>
      </c>
      <c r="F1042" t="inlineStr">
        <is>
          <t>No</t>
        </is>
      </c>
      <c r="G1042" t="inlineStr">
        <is>
          <t>1</t>
        </is>
      </c>
      <c r="H1042" t="inlineStr">
        <is>
          <t>No</t>
        </is>
      </c>
      <c r="I1042" t="inlineStr">
        <is>
          <t>No</t>
        </is>
      </c>
      <c r="J1042" t="inlineStr">
        <is>
          <t>0</t>
        </is>
      </c>
      <c r="K1042" t="inlineStr">
        <is>
          <t>Cross, Tom Peete, 1879-1951.</t>
        </is>
      </c>
      <c r="L1042" t="inlineStr">
        <is>
          <t>Bloomington : Indiana University, [1952]</t>
        </is>
      </c>
      <c r="M1042" t="inlineStr">
        <is>
          <t>1952</t>
        </is>
      </c>
      <c r="O1042" t="inlineStr">
        <is>
          <t>eng</t>
        </is>
      </c>
      <c r="P1042" t="inlineStr">
        <is>
          <t>inu</t>
        </is>
      </c>
      <c r="Q1042" t="inlineStr">
        <is>
          <t>Indiana University publications. Folklore series, no. 7</t>
        </is>
      </c>
      <c r="R1042" t="inlineStr">
        <is>
          <t xml:space="preserve">GR </t>
        </is>
      </c>
      <c r="S1042" t="n">
        <v>3</v>
      </c>
      <c r="T1042" t="n">
        <v>3</v>
      </c>
      <c r="U1042" t="inlineStr">
        <is>
          <t>2003-01-23</t>
        </is>
      </c>
      <c r="V1042" t="inlineStr">
        <is>
          <t>2003-01-23</t>
        </is>
      </c>
      <c r="W1042" t="inlineStr">
        <is>
          <t>1990-10-01</t>
        </is>
      </c>
      <c r="X1042" t="inlineStr">
        <is>
          <t>1990-10-01</t>
        </is>
      </c>
      <c r="Y1042" t="n">
        <v>322</v>
      </c>
      <c r="Z1042" t="n">
        <v>248</v>
      </c>
      <c r="AA1042" t="n">
        <v>319</v>
      </c>
      <c r="AB1042" t="n">
        <v>2</v>
      </c>
      <c r="AC1042" t="n">
        <v>3</v>
      </c>
      <c r="AD1042" t="n">
        <v>18</v>
      </c>
      <c r="AE1042" t="n">
        <v>20</v>
      </c>
      <c r="AF1042" t="n">
        <v>5</v>
      </c>
      <c r="AG1042" t="n">
        <v>5</v>
      </c>
      <c r="AH1042" t="n">
        <v>6</v>
      </c>
      <c r="AI1042" t="n">
        <v>7</v>
      </c>
      <c r="AJ1042" t="n">
        <v>11</v>
      </c>
      <c r="AK1042" t="n">
        <v>11</v>
      </c>
      <c r="AL1042" t="n">
        <v>1</v>
      </c>
      <c r="AM1042" t="n">
        <v>2</v>
      </c>
      <c r="AN1042" t="n">
        <v>0</v>
      </c>
      <c r="AO1042" t="n">
        <v>0</v>
      </c>
      <c r="AP1042" t="inlineStr">
        <is>
          <t>Yes</t>
        </is>
      </c>
      <c r="AQ1042" t="inlineStr">
        <is>
          <t>No</t>
        </is>
      </c>
      <c r="AR1042">
        <f>HYPERLINK("http://catalog.hathitrust.org/Record/006929790","HathiTrust Record")</f>
        <v/>
      </c>
      <c r="AS1042">
        <f>HYPERLINK("https://creighton-primo.hosted.exlibrisgroup.com/primo-explore/search?tab=default_tab&amp;search_scope=EVERYTHING&amp;vid=01CRU&amp;lang=en_US&amp;offset=0&amp;query=any,contains,991004071449702656","Catalog Record")</f>
        <v/>
      </c>
      <c r="AT1042">
        <f>HYPERLINK("http://www.worldcat.org/oclc/2302972","WorldCat Record")</f>
        <v/>
      </c>
      <c r="AU1042" t="inlineStr">
        <is>
          <t>1583760:eng</t>
        </is>
      </c>
      <c r="AV1042" t="inlineStr">
        <is>
          <t>2302972</t>
        </is>
      </c>
      <c r="AW1042" t="inlineStr">
        <is>
          <t>991004071449702656</t>
        </is>
      </c>
      <c r="AX1042" t="inlineStr">
        <is>
          <t>991004071449702656</t>
        </is>
      </c>
      <c r="AY1042" t="inlineStr">
        <is>
          <t>2261661330002656</t>
        </is>
      </c>
      <c r="AZ1042" t="inlineStr">
        <is>
          <t>BOOK</t>
        </is>
      </c>
      <c r="BC1042" t="inlineStr">
        <is>
          <t>32285000317858</t>
        </is>
      </c>
      <c r="BD1042" t="inlineStr">
        <is>
          <t>893618197</t>
        </is>
      </c>
    </row>
    <row r="1043">
      <c r="A1043" t="inlineStr">
        <is>
          <t>No</t>
        </is>
      </c>
      <c r="B1043" t="inlineStr">
        <is>
          <t>GR71 .P3</t>
        </is>
      </c>
      <c r="C1043" t="inlineStr">
        <is>
          <t>0                      GR 0071000P  3</t>
        </is>
      </c>
      <c r="D1043" t="inlineStr">
        <is>
          <t>Toward new perspectives in folklore. Edited by Américo Paredes and Richard Bauman.</t>
        </is>
      </c>
      <c r="F1043" t="inlineStr">
        <is>
          <t>No</t>
        </is>
      </c>
      <c r="G1043" t="inlineStr">
        <is>
          <t>1</t>
        </is>
      </c>
      <c r="H1043" t="inlineStr">
        <is>
          <t>No</t>
        </is>
      </c>
      <c r="I1043" t="inlineStr">
        <is>
          <t>No</t>
        </is>
      </c>
      <c r="J1043" t="inlineStr">
        <is>
          <t>0</t>
        </is>
      </c>
      <c r="K1043" t="inlineStr">
        <is>
          <t>Paredes, Américo, 1915-1999.</t>
        </is>
      </c>
      <c r="L1043" t="inlineStr">
        <is>
          <t>Austin, Published for the American Folklore Society by the University of Texas Press [1972]</t>
        </is>
      </c>
      <c r="M1043" t="inlineStr">
        <is>
          <t>1972</t>
        </is>
      </c>
      <c r="O1043" t="inlineStr">
        <is>
          <t>eng</t>
        </is>
      </c>
      <c r="P1043" t="inlineStr">
        <is>
          <t>txu</t>
        </is>
      </c>
      <c r="Q1043" t="inlineStr">
        <is>
          <t>Publications of the American Folklore Society. Bibliographical and special series ; v. 23</t>
        </is>
      </c>
      <c r="R1043" t="inlineStr">
        <is>
          <t xml:space="preserve">GR </t>
        </is>
      </c>
      <c r="S1043" t="n">
        <v>7</v>
      </c>
      <c r="T1043" t="n">
        <v>7</v>
      </c>
      <c r="U1043" t="inlineStr">
        <is>
          <t>2005-01-21</t>
        </is>
      </c>
      <c r="V1043" t="inlineStr">
        <is>
          <t>2005-01-21</t>
        </is>
      </c>
      <c r="W1043" t="inlineStr">
        <is>
          <t>1997-05-29</t>
        </is>
      </c>
      <c r="X1043" t="inlineStr">
        <is>
          <t>1997-05-29</t>
        </is>
      </c>
      <c r="Y1043" t="n">
        <v>720</v>
      </c>
      <c r="Z1043" t="n">
        <v>648</v>
      </c>
      <c r="AA1043" t="n">
        <v>667</v>
      </c>
      <c r="AB1043" t="n">
        <v>6</v>
      </c>
      <c r="AC1043" t="n">
        <v>6</v>
      </c>
      <c r="AD1043" t="n">
        <v>23</v>
      </c>
      <c r="AE1043" t="n">
        <v>23</v>
      </c>
      <c r="AF1043" t="n">
        <v>8</v>
      </c>
      <c r="AG1043" t="n">
        <v>8</v>
      </c>
      <c r="AH1043" t="n">
        <v>4</v>
      </c>
      <c r="AI1043" t="n">
        <v>4</v>
      </c>
      <c r="AJ1043" t="n">
        <v>9</v>
      </c>
      <c r="AK1043" t="n">
        <v>9</v>
      </c>
      <c r="AL1043" t="n">
        <v>5</v>
      </c>
      <c r="AM1043" t="n">
        <v>5</v>
      </c>
      <c r="AN1043" t="n">
        <v>0</v>
      </c>
      <c r="AO1043" t="n">
        <v>0</v>
      </c>
      <c r="AP1043" t="inlineStr">
        <is>
          <t>No</t>
        </is>
      </c>
      <c r="AQ1043" t="inlineStr">
        <is>
          <t>Yes</t>
        </is>
      </c>
      <c r="AR1043">
        <f>HYPERLINK("http://catalog.hathitrust.org/Record/001276262","HathiTrust Record")</f>
        <v/>
      </c>
      <c r="AS1043">
        <f>HYPERLINK("https://creighton-primo.hosted.exlibrisgroup.com/primo-explore/search?tab=default_tab&amp;search_scope=EVERYTHING&amp;vid=01CRU&amp;lang=en_US&amp;offset=0&amp;query=any,contains,991002496609702656","Catalog Record")</f>
        <v/>
      </c>
      <c r="AT1043">
        <f>HYPERLINK("http://www.worldcat.org/oclc/363928","WorldCat Record")</f>
        <v/>
      </c>
      <c r="AU1043" t="inlineStr">
        <is>
          <t>351279866:eng</t>
        </is>
      </c>
      <c r="AV1043" t="inlineStr">
        <is>
          <t>363928</t>
        </is>
      </c>
      <c r="AW1043" t="inlineStr">
        <is>
          <t>991002496609702656</t>
        </is>
      </c>
      <c r="AX1043" t="inlineStr">
        <is>
          <t>991002496609702656</t>
        </is>
      </c>
      <c r="AY1043" t="inlineStr">
        <is>
          <t>2261885060002656</t>
        </is>
      </c>
      <c r="AZ1043" t="inlineStr">
        <is>
          <t>BOOK</t>
        </is>
      </c>
      <c r="BB1043" t="inlineStr">
        <is>
          <t>9780292701427</t>
        </is>
      </c>
      <c r="BC1043" t="inlineStr">
        <is>
          <t>32285002697877</t>
        </is>
      </c>
      <c r="BD1043" t="inlineStr">
        <is>
          <t>893335384</t>
        </is>
      </c>
    </row>
    <row r="1044">
      <c r="A1044" t="inlineStr">
        <is>
          <t>No</t>
        </is>
      </c>
      <c r="B1044" t="inlineStr">
        <is>
          <t>GR72.5 .S28 1998</t>
        </is>
      </c>
      <c r="C1044" t="inlineStr">
        <is>
          <t>0                      GR 0072500S  28          1998</t>
        </is>
      </c>
      <c r="D1044" t="inlineStr">
        <is>
          <t>The serpent and the swan : the animal bride in folklore and literature / by Boria Sax.</t>
        </is>
      </c>
      <c r="F1044" t="inlineStr">
        <is>
          <t>No</t>
        </is>
      </c>
      <c r="G1044" t="inlineStr">
        <is>
          <t>1</t>
        </is>
      </c>
      <c r="H1044" t="inlineStr">
        <is>
          <t>No</t>
        </is>
      </c>
      <c r="I1044" t="inlineStr">
        <is>
          <t>No</t>
        </is>
      </c>
      <c r="J1044" t="inlineStr">
        <is>
          <t>0</t>
        </is>
      </c>
      <c r="K1044" t="inlineStr">
        <is>
          <t>Sax, Boria.</t>
        </is>
      </c>
      <c r="L1044" t="inlineStr">
        <is>
          <t>Blacksburg, Va. : McDonald &amp; Woodward Pub. Co., 1998.</t>
        </is>
      </c>
      <c r="M1044" t="inlineStr">
        <is>
          <t>1998</t>
        </is>
      </c>
      <c r="O1044" t="inlineStr">
        <is>
          <t>eng</t>
        </is>
      </c>
      <c r="P1044" t="inlineStr">
        <is>
          <t>vau</t>
        </is>
      </c>
      <c r="R1044" t="inlineStr">
        <is>
          <t xml:space="preserve">GR </t>
        </is>
      </c>
      <c r="S1044" t="n">
        <v>1</v>
      </c>
      <c r="T1044" t="n">
        <v>1</v>
      </c>
      <c r="U1044" t="inlineStr">
        <is>
          <t>2009-06-08</t>
        </is>
      </c>
      <c r="V1044" t="inlineStr">
        <is>
          <t>2009-06-08</t>
        </is>
      </c>
      <c r="W1044" t="inlineStr">
        <is>
          <t>2002-04-18</t>
        </is>
      </c>
      <c r="X1044" t="inlineStr">
        <is>
          <t>2002-04-18</t>
        </is>
      </c>
      <c r="Y1044" t="n">
        <v>87</v>
      </c>
      <c r="Z1044" t="n">
        <v>76</v>
      </c>
      <c r="AA1044" t="n">
        <v>81</v>
      </c>
      <c r="AB1044" t="n">
        <v>2</v>
      </c>
      <c r="AC1044" t="n">
        <v>2</v>
      </c>
      <c r="AD1044" t="n">
        <v>3</v>
      </c>
      <c r="AE1044" t="n">
        <v>3</v>
      </c>
      <c r="AF1044" t="n">
        <v>0</v>
      </c>
      <c r="AG1044" t="n">
        <v>0</v>
      </c>
      <c r="AH1044" t="n">
        <v>0</v>
      </c>
      <c r="AI1044" t="n">
        <v>0</v>
      </c>
      <c r="AJ1044" t="n">
        <v>2</v>
      </c>
      <c r="AK1044" t="n">
        <v>2</v>
      </c>
      <c r="AL1044" t="n">
        <v>1</v>
      </c>
      <c r="AM1044" t="n">
        <v>1</v>
      </c>
      <c r="AN1044" t="n">
        <v>0</v>
      </c>
      <c r="AO1044" t="n">
        <v>0</v>
      </c>
      <c r="AP1044" t="inlineStr">
        <is>
          <t>No</t>
        </is>
      </c>
      <c r="AQ1044" t="inlineStr">
        <is>
          <t>No</t>
        </is>
      </c>
      <c r="AS1044">
        <f>HYPERLINK("https://creighton-primo.hosted.exlibrisgroup.com/primo-explore/search?tab=default_tab&amp;search_scope=EVERYTHING&amp;vid=01CRU&amp;lang=en_US&amp;offset=0&amp;query=any,contains,991003793699702656","Catalog Record")</f>
        <v/>
      </c>
      <c r="AT1044">
        <f>HYPERLINK("http://www.worldcat.org/oclc/39923608","WorldCat Record")</f>
        <v/>
      </c>
      <c r="AU1044" t="inlineStr">
        <is>
          <t>365872885:eng</t>
        </is>
      </c>
      <c r="AV1044" t="inlineStr">
        <is>
          <t>39923608</t>
        </is>
      </c>
      <c r="AW1044" t="inlineStr">
        <is>
          <t>991003793699702656</t>
        </is>
      </c>
      <c r="AX1044" t="inlineStr">
        <is>
          <t>991003793699702656</t>
        </is>
      </c>
      <c r="AY1044" t="inlineStr">
        <is>
          <t>2266259400002656</t>
        </is>
      </c>
      <c r="AZ1044" t="inlineStr">
        <is>
          <t>BOOK</t>
        </is>
      </c>
      <c r="BB1044" t="inlineStr">
        <is>
          <t>9780939923687</t>
        </is>
      </c>
      <c r="BC1044" t="inlineStr">
        <is>
          <t>32285004481692</t>
        </is>
      </c>
      <c r="BD1044" t="inlineStr">
        <is>
          <t>893718078</t>
        </is>
      </c>
    </row>
    <row r="1045">
      <c r="A1045" t="inlineStr">
        <is>
          <t>No</t>
        </is>
      </c>
      <c r="B1045" t="inlineStr">
        <is>
          <t>GR725 .M39 1989</t>
        </is>
      </c>
      <c r="C1045" t="inlineStr">
        <is>
          <t>0                      GR 0725000M  39          1989</t>
        </is>
      </c>
      <c r="D1045" t="inlineStr">
        <is>
          <t>Cat tales : folk tales / collected and retold by Malachi McCormick.</t>
        </is>
      </c>
      <c r="F1045" t="inlineStr">
        <is>
          <t>No</t>
        </is>
      </c>
      <c r="G1045" t="inlineStr">
        <is>
          <t>1</t>
        </is>
      </c>
      <c r="H1045" t="inlineStr">
        <is>
          <t>No</t>
        </is>
      </c>
      <c r="I1045" t="inlineStr">
        <is>
          <t>No</t>
        </is>
      </c>
      <c r="J1045" t="inlineStr">
        <is>
          <t>0</t>
        </is>
      </c>
      <c r="K1045" t="inlineStr">
        <is>
          <t>McCormick, Malachi.</t>
        </is>
      </c>
      <c r="L1045" t="inlineStr">
        <is>
          <t>New York : C.N. Potter : Distributed by Crown Publishers, c1989.</t>
        </is>
      </c>
      <c r="M1045" t="inlineStr">
        <is>
          <t>1989</t>
        </is>
      </c>
      <c r="N1045" t="inlineStr">
        <is>
          <t>1st ed.</t>
        </is>
      </c>
      <c r="O1045" t="inlineStr">
        <is>
          <t>eng</t>
        </is>
      </c>
      <c r="P1045" t="inlineStr">
        <is>
          <t>nyu</t>
        </is>
      </c>
      <c r="R1045" t="inlineStr">
        <is>
          <t xml:space="preserve">GR </t>
        </is>
      </c>
      <c r="S1045" t="n">
        <v>2</v>
      </c>
      <c r="T1045" t="n">
        <v>2</v>
      </c>
      <c r="U1045" t="inlineStr">
        <is>
          <t>2010-11-17</t>
        </is>
      </c>
      <c r="V1045" t="inlineStr">
        <is>
          <t>2010-11-17</t>
        </is>
      </c>
      <c r="W1045" t="inlineStr">
        <is>
          <t>2001-07-12</t>
        </is>
      </c>
      <c r="X1045" t="inlineStr">
        <is>
          <t>2001-07-12</t>
        </is>
      </c>
      <c r="Y1045" t="n">
        <v>118</v>
      </c>
      <c r="Z1045" t="n">
        <v>110</v>
      </c>
      <c r="AA1045" t="n">
        <v>111</v>
      </c>
      <c r="AB1045" t="n">
        <v>1</v>
      </c>
      <c r="AC1045" t="n">
        <v>1</v>
      </c>
      <c r="AD1045" t="n">
        <v>0</v>
      </c>
      <c r="AE1045" t="n">
        <v>0</v>
      </c>
      <c r="AF1045" t="n">
        <v>0</v>
      </c>
      <c r="AG1045" t="n">
        <v>0</v>
      </c>
      <c r="AH1045" t="n">
        <v>0</v>
      </c>
      <c r="AI1045" t="n">
        <v>0</v>
      </c>
      <c r="AJ1045" t="n">
        <v>0</v>
      </c>
      <c r="AK1045" t="n">
        <v>0</v>
      </c>
      <c r="AL1045" t="n">
        <v>0</v>
      </c>
      <c r="AM1045" t="n">
        <v>0</v>
      </c>
      <c r="AN1045" t="n">
        <v>0</v>
      </c>
      <c r="AO1045" t="n">
        <v>0</v>
      </c>
      <c r="AP1045" t="inlineStr">
        <is>
          <t>No</t>
        </is>
      </c>
      <c r="AQ1045" t="inlineStr">
        <is>
          <t>Yes</t>
        </is>
      </c>
      <c r="AR1045">
        <f>HYPERLINK("http://catalog.hathitrust.org/Record/006944816","HathiTrust Record")</f>
        <v/>
      </c>
      <c r="AS1045">
        <f>HYPERLINK("https://creighton-primo.hosted.exlibrisgroup.com/primo-explore/search?tab=default_tab&amp;search_scope=EVERYTHING&amp;vid=01CRU&amp;lang=en_US&amp;offset=0&amp;query=any,contains,991003567469702656","Catalog Record")</f>
        <v/>
      </c>
      <c r="AT1045">
        <f>HYPERLINK("http://www.worldcat.org/oclc/19392859","WorldCat Record")</f>
        <v/>
      </c>
      <c r="AU1045" t="inlineStr">
        <is>
          <t>911967854:eng</t>
        </is>
      </c>
      <c r="AV1045" t="inlineStr">
        <is>
          <t>19392859</t>
        </is>
      </c>
      <c r="AW1045" t="inlineStr">
        <is>
          <t>991003567469702656</t>
        </is>
      </c>
      <c r="AX1045" t="inlineStr">
        <is>
          <t>991003567469702656</t>
        </is>
      </c>
      <c r="AY1045" t="inlineStr">
        <is>
          <t>2254896030002656</t>
        </is>
      </c>
      <c r="AZ1045" t="inlineStr">
        <is>
          <t>BOOK</t>
        </is>
      </c>
      <c r="BB1045" t="inlineStr">
        <is>
          <t>9780517572566</t>
        </is>
      </c>
      <c r="BC1045" t="inlineStr">
        <is>
          <t>32285004332002</t>
        </is>
      </c>
      <c r="BD1045" t="inlineStr">
        <is>
          <t>893868569</t>
        </is>
      </c>
    </row>
    <row r="1046">
      <c r="A1046" t="inlineStr">
        <is>
          <t>No</t>
        </is>
      </c>
      <c r="B1046" t="inlineStr">
        <is>
          <t>GR73 .C5 1968</t>
        </is>
      </c>
      <c r="C1046" t="inlineStr">
        <is>
          <t>0                      GR 0073000C  5           1968</t>
        </is>
      </c>
      <c r="D1046" t="inlineStr">
        <is>
          <t>Myths and folklore : an anthology for high school students / [by] Henry I. Christ.</t>
        </is>
      </c>
      <c r="F1046" t="inlineStr">
        <is>
          <t>No</t>
        </is>
      </c>
      <c r="G1046" t="inlineStr">
        <is>
          <t>1</t>
        </is>
      </c>
      <c r="H1046" t="inlineStr">
        <is>
          <t>No</t>
        </is>
      </c>
      <c r="I1046" t="inlineStr">
        <is>
          <t>No</t>
        </is>
      </c>
      <c r="J1046" t="inlineStr">
        <is>
          <t>0</t>
        </is>
      </c>
      <c r="K1046" t="inlineStr">
        <is>
          <t>Christ, Henry I. (Henry Irving), 1915-, editor.</t>
        </is>
      </c>
      <c r="L1046" t="inlineStr">
        <is>
          <t>New York : Oxford Book Co., [1968]</t>
        </is>
      </c>
      <c r="M1046" t="inlineStr">
        <is>
          <t>1968</t>
        </is>
      </c>
      <c r="N1046" t="inlineStr">
        <is>
          <t>New and enl. ed.</t>
        </is>
      </c>
      <c r="O1046" t="inlineStr">
        <is>
          <t>eng</t>
        </is>
      </c>
      <c r="P1046" t="inlineStr">
        <is>
          <t>nyu</t>
        </is>
      </c>
      <c r="R1046" t="inlineStr">
        <is>
          <t xml:space="preserve">GR </t>
        </is>
      </c>
      <c r="S1046" t="n">
        <v>2</v>
      </c>
      <c r="T1046" t="n">
        <v>2</v>
      </c>
      <c r="U1046" t="inlineStr">
        <is>
          <t>1994-04-14</t>
        </is>
      </c>
      <c r="V1046" t="inlineStr">
        <is>
          <t>1994-04-14</t>
        </is>
      </c>
      <c r="W1046" t="inlineStr">
        <is>
          <t>1992-04-02</t>
        </is>
      </c>
      <c r="X1046" t="inlineStr">
        <is>
          <t>1992-04-02</t>
        </is>
      </c>
      <c r="Y1046" t="n">
        <v>63</v>
      </c>
      <c r="Z1046" t="n">
        <v>61</v>
      </c>
      <c r="AA1046" t="n">
        <v>163</v>
      </c>
      <c r="AB1046" t="n">
        <v>1</v>
      </c>
      <c r="AC1046" t="n">
        <v>1</v>
      </c>
      <c r="AD1046" t="n">
        <v>0</v>
      </c>
      <c r="AE1046" t="n">
        <v>2</v>
      </c>
      <c r="AF1046" t="n">
        <v>0</v>
      </c>
      <c r="AG1046" t="n">
        <v>1</v>
      </c>
      <c r="AH1046" t="n">
        <v>0</v>
      </c>
      <c r="AI1046" t="n">
        <v>0</v>
      </c>
      <c r="AJ1046" t="n">
        <v>0</v>
      </c>
      <c r="AK1046" t="n">
        <v>2</v>
      </c>
      <c r="AL1046" t="n">
        <v>0</v>
      </c>
      <c r="AM1046" t="n">
        <v>0</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HYPERLINK("https://creighton-primo.hosted.exlibrisgroup.com/primo-explore/search?tab=default_tab&amp;search_scope=EVERYTHING&amp;vid=01CRU&amp;lang=en_US&amp;offset=0&amp;query=any,contains,991002764759702656","Catalog Record")</f>
        <v/>
      </c>
      <c r="AT1046">
        <f>HYPERLINK("http://www.worldcat.org/oclc/432389","WorldCat Record")</f>
        <v/>
      </c>
      <c r="AU1046" t="inlineStr">
        <is>
          <t>1541179:eng</t>
        </is>
      </c>
      <c r="AV1046" t="inlineStr">
        <is>
          <t>432389</t>
        </is>
      </c>
      <c r="AW1046" t="inlineStr">
        <is>
          <t>991002764759702656</t>
        </is>
      </c>
      <c r="AX1046" t="inlineStr">
        <is>
          <t>991002764759702656</t>
        </is>
      </c>
      <c r="AY1046" t="inlineStr">
        <is>
          <t>2272394410002656</t>
        </is>
      </c>
      <c r="AZ1046" t="inlineStr">
        <is>
          <t>BOOK</t>
        </is>
      </c>
      <c r="BC1046" t="inlineStr">
        <is>
          <t>32285001032852</t>
        </is>
      </c>
      <c r="BD1046" t="inlineStr">
        <is>
          <t>893524025</t>
        </is>
      </c>
    </row>
    <row r="1047">
      <c r="A1047" t="inlineStr">
        <is>
          <t>No</t>
        </is>
      </c>
      <c r="B1047" t="inlineStr">
        <is>
          <t>GR735 .R68</t>
        </is>
      </c>
      <c r="C1047" t="inlineStr">
        <is>
          <t>0                      GR 0735000R  68</t>
        </is>
      </c>
      <c r="D1047" t="inlineStr">
        <is>
          <t>Birds with human souls : a guide to bird symbolism / Beryl Rowland.</t>
        </is>
      </c>
      <c r="F1047" t="inlineStr">
        <is>
          <t>No</t>
        </is>
      </c>
      <c r="G1047" t="inlineStr">
        <is>
          <t>1</t>
        </is>
      </c>
      <c r="H1047" t="inlineStr">
        <is>
          <t>No</t>
        </is>
      </c>
      <c r="I1047" t="inlineStr">
        <is>
          <t>No</t>
        </is>
      </c>
      <c r="J1047" t="inlineStr">
        <is>
          <t>0</t>
        </is>
      </c>
      <c r="K1047" t="inlineStr">
        <is>
          <t>Rowland, Beryl.</t>
        </is>
      </c>
      <c r="L1047" t="inlineStr">
        <is>
          <t>Knoxville : University of Tennessee Press, c1978.</t>
        </is>
      </c>
      <c r="M1047" t="inlineStr">
        <is>
          <t>1978</t>
        </is>
      </c>
      <c r="N1047" t="inlineStr">
        <is>
          <t>1st ed.</t>
        </is>
      </c>
      <c r="O1047" t="inlineStr">
        <is>
          <t>eng</t>
        </is>
      </c>
      <c r="P1047" t="inlineStr">
        <is>
          <t>tnu</t>
        </is>
      </c>
      <c r="R1047" t="inlineStr">
        <is>
          <t xml:space="preserve">GR </t>
        </is>
      </c>
      <c r="S1047" t="n">
        <v>1</v>
      </c>
      <c r="T1047" t="n">
        <v>1</v>
      </c>
      <c r="U1047" t="inlineStr">
        <is>
          <t>2006-06-20</t>
        </is>
      </c>
      <c r="V1047" t="inlineStr">
        <is>
          <t>2006-06-20</t>
        </is>
      </c>
      <c r="W1047" t="inlineStr">
        <is>
          <t>1990-10-02</t>
        </is>
      </c>
      <c r="X1047" t="inlineStr">
        <is>
          <t>1990-10-02</t>
        </is>
      </c>
      <c r="Y1047" t="n">
        <v>536</v>
      </c>
      <c r="Z1047" t="n">
        <v>452</v>
      </c>
      <c r="AA1047" t="n">
        <v>458</v>
      </c>
      <c r="AB1047" t="n">
        <v>3</v>
      </c>
      <c r="AC1047" t="n">
        <v>3</v>
      </c>
      <c r="AD1047" t="n">
        <v>17</v>
      </c>
      <c r="AE1047" t="n">
        <v>17</v>
      </c>
      <c r="AF1047" t="n">
        <v>5</v>
      </c>
      <c r="AG1047" t="n">
        <v>5</v>
      </c>
      <c r="AH1047" t="n">
        <v>5</v>
      </c>
      <c r="AI1047" t="n">
        <v>5</v>
      </c>
      <c r="AJ1047" t="n">
        <v>12</v>
      </c>
      <c r="AK1047" t="n">
        <v>12</v>
      </c>
      <c r="AL1047" t="n">
        <v>2</v>
      </c>
      <c r="AM1047" t="n">
        <v>2</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HYPERLINK("https://creighton-primo.hosted.exlibrisgroup.com/primo-explore/search?tab=default_tab&amp;search_scope=EVERYTHING&amp;vid=01CRU&amp;lang=en_US&amp;offset=0&amp;query=any,contains,991004270039702656","Catalog Record")</f>
        <v/>
      </c>
      <c r="AT1047">
        <f>HYPERLINK("http://www.worldcat.org/oclc/2875092","WorldCat Record")</f>
        <v/>
      </c>
      <c r="AU1047" t="inlineStr">
        <is>
          <t>286704184:eng</t>
        </is>
      </c>
      <c r="AV1047" t="inlineStr">
        <is>
          <t>2875092</t>
        </is>
      </c>
      <c r="AW1047" t="inlineStr">
        <is>
          <t>991004270039702656</t>
        </is>
      </c>
      <c r="AX1047" t="inlineStr">
        <is>
          <t>991004270039702656</t>
        </is>
      </c>
      <c r="AY1047" t="inlineStr">
        <is>
          <t>2259500000002656</t>
        </is>
      </c>
      <c r="AZ1047" t="inlineStr">
        <is>
          <t>BOOK</t>
        </is>
      </c>
      <c r="BB1047" t="inlineStr">
        <is>
          <t>9780870492150</t>
        </is>
      </c>
      <c r="BC1047" t="inlineStr">
        <is>
          <t>32285000318427</t>
        </is>
      </c>
      <c r="BD1047" t="inlineStr">
        <is>
          <t>893247377</t>
        </is>
      </c>
    </row>
    <row r="1048">
      <c r="A1048" t="inlineStr">
        <is>
          <t>No</t>
        </is>
      </c>
      <c r="B1048" t="inlineStr">
        <is>
          <t>GR75.G64 A64 1990</t>
        </is>
      </c>
      <c r="C1048" t="inlineStr">
        <is>
          <t>0                      GR 0075000G  64                 A  64          1990</t>
        </is>
      </c>
      <c r="D1048" t="inlineStr">
        <is>
          <t>Green man : the archetype of our oneness with the earth / William Anderson ; photography by Clive Hicks.</t>
        </is>
      </c>
      <c r="F1048" t="inlineStr">
        <is>
          <t>No</t>
        </is>
      </c>
      <c r="G1048" t="inlineStr">
        <is>
          <t>1</t>
        </is>
      </c>
      <c r="H1048" t="inlineStr">
        <is>
          <t>No</t>
        </is>
      </c>
      <c r="I1048" t="inlineStr">
        <is>
          <t>No</t>
        </is>
      </c>
      <c r="J1048" t="inlineStr">
        <is>
          <t>0</t>
        </is>
      </c>
      <c r="K1048" t="inlineStr">
        <is>
          <t>Anderson, William, 1935-</t>
        </is>
      </c>
      <c r="L1048" t="inlineStr">
        <is>
          <t>San Francisco : HarperCollins, 1990.</t>
        </is>
      </c>
      <c r="M1048" t="inlineStr">
        <is>
          <t>1990</t>
        </is>
      </c>
      <c r="O1048" t="inlineStr">
        <is>
          <t>eng</t>
        </is>
      </c>
      <c r="P1048" t="inlineStr">
        <is>
          <t>cau</t>
        </is>
      </c>
      <c r="R1048" t="inlineStr">
        <is>
          <t xml:space="preserve">GR </t>
        </is>
      </c>
      <c r="S1048" t="n">
        <v>4</v>
      </c>
      <c r="T1048" t="n">
        <v>4</v>
      </c>
      <c r="U1048" t="inlineStr">
        <is>
          <t>1992-10-15</t>
        </is>
      </c>
      <c r="V1048" t="inlineStr">
        <is>
          <t>1992-10-15</t>
        </is>
      </c>
      <c r="W1048" t="inlineStr">
        <is>
          <t>1991-04-16</t>
        </is>
      </c>
      <c r="X1048" t="inlineStr">
        <is>
          <t>1991-04-16</t>
        </is>
      </c>
      <c r="Y1048" t="n">
        <v>695</v>
      </c>
      <c r="Z1048" t="n">
        <v>579</v>
      </c>
      <c r="AA1048" t="n">
        <v>611</v>
      </c>
      <c r="AB1048" t="n">
        <v>2</v>
      </c>
      <c r="AC1048" t="n">
        <v>2</v>
      </c>
      <c r="AD1048" t="n">
        <v>20</v>
      </c>
      <c r="AE1048" t="n">
        <v>20</v>
      </c>
      <c r="AF1048" t="n">
        <v>9</v>
      </c>
      <c r="AG1048" t="n">
        <v>9</v>
      </c>
      <c r="AH1048" t="n">
        <v>4</v>
      </c>
      <c r="AI1048" t="n">
        <v>4</v>
      </c>
      <c r="AJ1048" t="n">
        <v>11</v>
      </c>
      <c r="AK1048" t="n">
        <v>11</v>
      </c>
      <c r="AL1048" t="n">
        <v>1</v>
      </c>
      <c r="AM1048" t="n">
        <v>1</v>
      </c>
      <c r="AN1048" t="n">
        <v>0</v>
      </c>
      <c r="AO1048" t="n">
        <v>0</v>
      </c>
      <c r="AP1048" t="inlineStr">
        <is>
          <t>No</t>
        </is>
      </c>
      <c r="AQ1048" t="inlineStr">
        <is>
          <t>Yes</t>
        </is>
      </c>
      <c r="AR1048">
        <f>HYPERLINK("http://catalog.hathitrust.org/Record/004517171","HathiTrust Record")</f>
        <v/>
      </c>
      <c r="AS1048">
        <f>HYPERLINK("https://creighton-primo.hosted.exlibrisgroup.com/primo-explore/search?tab=default_tab&amp;search_scope=EVERYTHING&amp;vid=01CRU&amp;lang=en_US&amp;offset=0&amp;query=any,contains,991001747029702656","Catalog Record")</f>
        <v/>
      </c>
      <c r="AT1048">
        <f>HYPERLINK("http://www.worldcat.org/oclc/22115399","WorldCat Record")</f>
        <v/>
      </c>
      <c r="AU1048" t="inlineStr">
        <is>
          <t>796313315:eng</t>
        </is>
      </c>
      <c r="AV1048" t="inlineStr">
        <is>
          <t>22115399</t>
        </is>
      </c>
      <c r="AW1048" t="inlineStr">
        <is>
          <t>991001747029702656</t>
        </is>
      </c>
      <c r="AX1048" t="inlineStr">
        <is>
          <t>991001747029702656</t>
        </is>
      </c>
      <c r="AY1048" t="inlineStr">
        <is>
          <t>2268337650002656</t>
        </is>
      </c>
      <c r="AZ1048" t="inlineStr">
        <is>
          <t>BOOK</t>
        </is>
      </c>
      <c r="BB1048" t="inlineStr">
        <is>
          <t>9780062500755</t>
        </is>
      </c>
      <c r="BC1048" t="inlineStr">
        <is>
          <t>32285000567585</t>
        </is>
      </c>
      <c r="BD1048" t="inlineStr">
        <is>
          <t>893690856</t>
        </is>
      </c>
    </row>
    <row r="1049">
      <c r="A1049" t="inlineStr">
        <is>
          <t>No</t>
        </is>
      </c>
      <c r="B1049" t="inlineStr">
        <is>
          <t>GR75.O3 J65 1996</t>
        </is>
      </c>
      <c r="C1049" t="inlineStr">
        <is>
          <t>0                      GR 0075000O  3                  J  65          1996</t>
        </is>
      </c>
      <c r="D1049" t="inlineStr">
        <is>
          <t>Oedipus ubiquitous : the family complex in world folk literature / Allen Johnson and Douglass Price-Williams.</t>
        </is>
      </c>
      <c r="F1049" t="inlineStr">
        <is>
          <t>No</t>
        </is>
      </c>
      <c r="G1049" t="inlineStr">
        <is>
          <t>1</t>
        </is>
      </c>
      <c r="H1049" t="inlineStr">
        <is>
          <t>No</t>
        </is>
      </c>
      <c r="I1049" t="inlineStr">
        <is>
          <t>No</t>
        </is>
      </c>
      <c r="J1049" t="inlineStr">
        <is>
          <t>0</t>
        </is>
      </c>
      <c r="K1049" t="inlineStr">
        <is>
          <t>Johnson, Allen W.</t>
        </is>
      </c>
      <c r="L1049" t="inlineStr">
        <is>
          <t>Stanford, Calif. : Stanford University Press, c1996.</t>
        </is>
      </c>
      <c r="M1049" t="inlineStr">
        <is>
          <t>1996</t>
        </is>
      </c>
      <c r="O1049" t="inlineStr">
        <is>
          <t>eng</t>
        </is>
      </c>
      <c r="P1049" t="inlineStr">
        <is>
          <t>cau</t>
        </is>
      </c>
      <c r="R1049" t="inlineStr">
        <is>
          <t xml:space="preserve">GR </t>
        </is>
      </c>
      <c r="S1049" t="n">
        <v>6</v>
      </c>
      <c r="T1049" t="n">
        <v>6</v>
      </c>
      <c r="U1049" t="inlineStr">
        <is>
          <t>2007-10-23</t>
        </is>
      </c>
      <c r="V1049" t="inlineStr">
        <is>
          <t>2007-10-23</t>
        </is>
      </c>
      <c r="W1049" t="inlineStr">
        <is>
          <t>1997-02-14</t>
        </is>
      </c>
      <c r="X1049" t="inlineStr">
        <is>
          <t>1997-02-14</t>
        </is>
      </c>
      <c r="Y1049" t="n">
        <v>325</v>
      </c>
      <c r="Z1049" t="n">
        <v>240</v>
      </c>
      <c r="AA1049" t="n">
        <v>241</v>
      </c>
      <c r="AB1049" t="n">
        <v>3</v>
      </c>
      <c r="AC1049" t="n">
        <v>3</v>
      </c>
      <c r="AD1049" t="n">
        <v>15</v>
      </c>
      <c r="AE1049" t="n">
        <v>15</v>
      </c>
      <c r="AF1049" t="n">
        <v>3</v>
      </c>
      <c r="AG1049" t="n">
        <v>3</v>
      </c>
      <c r="AH1049" t="n">
        <v>3</v>
      </c>
      <c r="AI1049" t="n">
        <v>3</v>
      </c>
      <c r="AJ1049" t="n">
        <v>10</v>
      </c>
      <c r="AK1049" t="n">
        <v>10</v>
      </c>
      <c r="AL1049" t="n">
        <v>2</v>
      </c>
      <c r="AM1049" t="n">
        <v>2</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HYPERLINK("https://creighton-primo.hosted.exlibrisgroup.com/primo-explore/search?tab=default_tab&amp;search_scope=EVERYTHING&amp;vid=01CRU&amp;lang=en_US&amp;offset=0&amp;query=any,contains,991002550519702656","Catalog Record")</f>
        <v/>
      </c>
      <c r="AT1049">
        <f>HYPERLINK("http://www.worldcat.org/oclc/33132701","WorldCat Record")</f>
        <v/>
      </c>
      <c r="AU1049" t="inlineStr">
        <is>
          <t>794976742:eng</t>
        </is>
      </c>
      <c r="AV1049" t="inlineStr">
        <is>
          <t>33132701</t>
        </is>
      </c>
      <c r="AW1049" t="inlineStr">
        <is>
          <t>991002550519702656</t>
        </is>
      </c>
      <c r="AX1049" t="inlineStr">
        <is>
          <t>991002550519702656</t>
        </is>
      </c>
      <c r="AY1049" t="inlineStr">
        <is>
          <t>2269236160002656</t>
        </is>
      </c>
      <c r="AZ1049" t="inlineStr">
        <is>
          <t>BOOK</t>
        </is>
      </c>
      <c r="BB1049" t="inlineStr">
        <is>
          <t>9780804725767</t>
        </is>
      </c>
      <c r="BC1049" t="inlineStr">
        <is>
          <t>32285002431426</t>
        </is>
      </c>
      <c r="BD1049" t="inlineStr">
        <is>
          <t>893245310</t>
        </is>
      </c>
    </row>
    <row r="1050">
      <c r="A1050" t="inlineStr">
        <is>
          <t>No</t>
        </is>
      </c>
      <c r="B1050" t="inlineStr">
        <is>
          <t>GR75.W3 A5 1991</t>
        </is>
      </c>
      <c r="C1050" t="inlineStr">
        <is>
          <t>0                      GR 0075000W  3                  A  5           1991</t>
        </is>
      </c>
      <c r="D1050" t="inlineStr">
        <is>
          <t>The legend of the Wandering Jew / George K. Anderson.</t>
        </is>
      </c>
      <c r="F1050" t="inlineStr">
        <is>
          <t>No</t>
        </is>
      </c>
      <c r="G1050" t="inlineStr">
        <is>
          <t>1</t>
        </is>
      </c>
      <c r="H1050" t="inlineStr">
        <is>
          <t>No</t>
        </is>
      </c>
      <c r="I1050" t="inlineStr">
        <is>
          <t>Yes</t>
        </is>
      </c>
      <c r="J1050" t="inlineStr">
        <is>
          <t>0</t>
        </is>
      </c>
      <c r="K1050" t="inlineStr">
        <is>
          <t>Anderson, George K. (George Kumler), 1901-1980.</t>
        </is>
      </c>
      <c r="L1050" t="inlineStr">
        <is>
          <t>Hanover, N.H. : Brown University Press : Published by University Press of New England, c1991.</t>
        </is>
      </c>
      <c r="M1050" t="inlineStr">
        <is>
          <t>1991</t>
        </is>
      </c>
      <c r="O1050" t="inlineStr">
        <is>
          <t>eng</t>
        </is>
      </c>
      <c r="P1050" t="inlineStr">
        <is>
          <t>nhu</t>
        </is>
      </c>
      <c r="R1050" t="inlineStr">
        <is>
          <t xml:space="preserve">GR </t>
        </is>
      </c>
      <c r="S1050" t="n">
        <v>2</v>
      </c>
      <c r="T1050" t="n">
        <v>2</v>
      </c>
      <c r="U1050" t="inlineStr">
        <is>
          <t>2003-09-10</t>
        </is>
      </c>
      <c r="V1050" t="inlineStr">
        <is>
          <t>2003-09-10</t>
        </is>
      </c>
      <c r="W1050" t="inlineStr">
        <is>
          <t>2003-09-10</t>
        </is>
      </c>
      <c r="X1050" t="inlineStr">
        <is>
          <t>2003-09-10</t>
        </is>
      </c>
      <c r="Y1050" t="n">
        <v>101</v>
      </c>
      <c r="Z1050" t="n">
        <v>78</v>
      </c>
      <c r="AA1050" t="n">
        <v>865</v>
      </c>
      <c r="AB1050" t="n">
        <v>2</v>
      </c>
      <c r="AC1050" t="n">
        <v>6</v>
      </c>
      <c r="AD1050" t="n">
        <v>3</v>
      </c>
      <c r="AE1050" t="n">
        <v>40</v>
      </c>
      <c r="AF1050" t="n">
        <v>1</v>
      </c>
      <c r="AG1050" t="n">
        <v>17</v>
      </c>
      <c r="AH1050" t="n">
        <v>1</v>
      </c>
      <c r="AI1050" t="n">
        <v>8</v>
      </c>
      <c r="AJ1050" t="n">
        <v>1</v>
      </c>
      <c r="AK1050" t="n">
        <v>20</v>
      </c>
      <c r="AL1050" t="n">
        <v>1</v>
      </c>
      <c r="AM1050" t="n">
        <v>5</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HYPERLINK("https://creighton-primo.hosted.exlibrisgroup.com/primo-explore/search?tab=default_tab&amp;search_scope=EVERYTHING&amp;vid=01CRU&amp;lang=en_US&amp;offset=0&amp;query=any,contains,991004119509702656","Catalog Record")</f>
        <v/>
      </c>
      <c r="AT1050">
        <f>HYPERLINK("http://www.worldcat.org/oclc/23386881","WorldCat Record")</f>
        <v/>
      </c>
      <c r="AU1050" t="inlineStr">
        <is>
          <t>3943300197:eng</t>
        </is>
      </c>
      <c r="AV1050" t="inlineStr">
        <is>
          <t>23386881</t>
        </is>
      </c>
      <c r="AW1050" t="inlineStr">
        <is>
          <t>991004119509702656</t>
        </is>
      </c>
      <c r="AX1050" t="inlineStr">
        <is>
          <t>991004119509702656</t>
        </is>
      </c>
      <c r="AY1050" t="inlineStr">
        <is>
          <t>2264828260002656</t>
        </is>
      </c>
      <c r="AZ1050" t="inlineStr">
        <is>
          <t>BOOK</t>
        </is>
      </c>
      <c r="BB1050" t="inlineStr">
        <is>
          <t>9780874515473</t>
        </is>
      </c>
      <c r="BC1050" t="inlineStr">
        <is>
          <t>32285004781729</t>
        </is>
      </c>
      <c r="BD1050" t="inlineStr">
        <is>
          <t>893235079</t>
        </is>
      </c>
    </row>
    <row r="1051">
      <c r="A1051" t="inlineStr">
        <is>
          <t>No</t>
        </is>
      </c>
      <c r="B1051" t="inlineStr">
        <is>
          <t>GR830.U6 S5 1967</t>
        </is>
      </c>
      <c r="C1051" t="inlineStr">
        <is>
          <t>0                      GR 0830000U  6                  S  5           1967</t>
        </is>
      </c>
      <c r="D1051" t="inlineStr">
        <is>
          <t>The lore of the unicorn.</t>
        </is>
      </c>
      <c r="F1051" t="inlineStr">
        <is>
          <t>No</t>
        </is>
      </c>
      <c r="G1051" t="inlineStr">
        <is>
          <t>1</t>
        </is>
      </c>
      <c r="H1051" t="inlineStr">
        <is>
          <t>No</t>
        </is>
      </c>
      <c r="I1051" t="inlineStr">
        <is>
          <t>No</t>
        </is>
      </c>
      <c r="J1051" t="inlineStr">
        <is>
          <t>0</t>
        </is>
      </c>
      <c r="K1051" t="inlineStr">
        <is>
          <t>Shepard, Odell, 1884-1967.</t>
        </is>
      </c>
      <c r="L1051" t="inlineStr">
        <is>
          <t>New York : Barnes &amp; Noble, [1967]</t>
        </is>
      </c>
      <c r="M1051" t="inlineStr">
        <is>
          <t>1967</t>
        </is>
      </c>
      <c r="O1051" t="inlineStr">
        <is>
          <t>eng</t>
        </is>
      </c>
      <c r="P1051" t="inlineStr">
        <is>
          <t>nyu</t>
        </is>
      </c>
      <c r="R1051" t="inlineStr">
        <is>
          <t xml:space="preserve">GR </t>
        </is>
      </c>
      <c r="S1051" t="n">
        <v>2</v>
      </c>
      <c r="T1051" t="n">
        <v>2</v>
      </c>
      <c r="U1051" t="inlineStr">
        <is>
          <t>1996-11-17</t>
        </is>
      </c>
      <c r="V1051" t="inlineStr">
        <is>
          <t>1996-11-17</t>
        </is>
      </c>
      <c r="W1051" t="inlineStr">
        <is>
          <t>1995-04-12</t>
        </is>
      </c>
      <c r="X1051" t="inlineStr">
        <is>
          <t>1995-04-12</t>
        </is>
      </c>
      <c r="Y1051" t="n">
        <v>178</v>
      </c>
      <c r="Z1051" t="n">
        <v>167</v>
      </c>
      <c r="AA1051" t="n">
        <v>1226</v>
      </c>
      <c r="AB1051" t="n">
        <v>2</v>
      </c>
      <c r="AC1051" t="n">
        <v>10</v>
      </c>
      <c r="AD1051" t="n">
        <v>6</v>
      </c>
      <c r="AE1051" t="n">
        <v>28</v>
      </c>
      <c r="AF1051" t="n">
        <v>1</v>
      </c>
      <c r="AG1051" t="n">
        <v>14</v>
      </c>
      <c r="AH1051" t="n">
        <v>0</v>
      </c>
      <c r="AI1051" t="n">
        <v>4</v>
      </c>
      <c r="AJ1051" t="n">
        <v>5</v>
      </c>
      <c r="AK1051" t="n">
        <v>13</v>
      </c>
      <c r="AL1051" t="n">
        <v>1</v>
      </c>
      <c r="AM1051" t="n">
        <v>4</v>
      </c>
      <c r="AN1051" t="n">
        <v>0</v>
      </c>
      <c r="AO1051" t="n">
        <v>0</v>
      </c>
      <c r="AP1051" t="inlineStr">
        <is>
          <t>No</t>
        </is>
      </c>
      <c r="AQ1051" t="inlineStr">
        <is>
          <t>Yes</t>
        </is>
      </c>
      <c r="AR1051">
        <f>HYPERLINK("http://catalog.hathitrust.org/Record/001277268","HathiTrust Record")</f>
        <v/>
      </c>
      <c r="AS1051">
        <f>HYPERLINK("https://creighton-primo.hosted.exlibrisgroup.com/primo-explore/search?tab=default_tab&amp;search_scope=EVERYTHING&amp;vid=01CRU&amp;lang=en_US&amp;offset=0&amp;query=any,contains,991003231999702656","Catalog Record")</f>
        <v/>
      </c>
      <c r="AT1051">
        <f>HYPERLINK("http://www.worldcat.org/oclc/756575","WorldCat Record")</f>
        <v/>
      </c>
      <c r="AU1051" t="inlineStr">
        <is>
          <t>403982:eng</t>
        </is>
      </c>
      <c r="AV1051" t="inlineStr">
        <is>
          <t>756575</t>
        </is>
      </c>
      <c r="AW1051" t="inlineStr">
        <is>
          <t>991003231999702656</t>
        </is>
      </c>
      <c r="AX1051" t="inlineStr">
        <is>
          <t>991003231999702656</t>
        </is>
      </c>
      <c r="AY1051" t="inlineStr">
        <is>
          <t>2271180370002656</t>
        </is>
      </c>
      <c r="AZ1051" t="inlineStr">
        <is>
          <t>BOOK</t>
        </is>
      </c>
      <c r="BC1051" t="inlineStr">
        <is>
          <t>32285002026721</t>
        </is>
      </c>
      <c r="BD1051" t="inlineStr">
        <is>
          <t>893342366</t>
        </is>
      </c>
    </row>
    <row r="1052">
      <c r="A1052" t="inlineStr">
        <is>
          <t>No</t>
        </is>
      </c>
      <c r="B1052" t="inlineStr">
        <is>
          <t>GT1555 .Z4739 2004</t>
        </is>
      </c>
      <c r="C1052" t="inlineStr">
        <is>
          <t>0                      GT 1555000Z  4739        2004</t>
        </is>
      </c>
      <c r="D1052" t="inlineStr">
        <is>
          <t>Min zu fu shi yu wen hua yi chan yan jiu : Zhongguo min zu xue xue hui 2004 nian nian hui lun wen ji / zhu bian Yang Yuan, He Xingliang.</t>
        </is>
      </c>
      <c r="F1052" t="inlineStr">
        <is>
          <t>No</t>
        </is>
      </c>
      <c r="G1052" t="inlineStr">
        <is>
          <t>1</t>
        </is>
      </c>
      <c r="H1052" t="inlineStr">
        <is>
          <t>No</t>
        </is>
      </c>
      <c r="I1052" t="inlineStr">
        <is>
          <t>No</t>
        </is>
      </c>
      <c r="J1052" t="inlineStr">
        <is>
          <t>0</t>
        </is>
      </c>
      <c r="K1052" t="inlineStr">
        <is>
          <t>Zhongguo min zu xue xue hui. Nian hui (2004 : Beijing, China)</t>
        </is>
      </c>
      <c r="L1052" t="inlineStr">
        <is>
          <t>Kunming Shi : Yunnan da xue chu ban she, 2005.</t>
        </is>
      </c>
      <c r="M1052" t="inlineStr">
        <is>
          <t>2005</t>
        </is>
      </c>
      <c r="N1052" t="inlineStr">
        <is>
          <t>Di 1 ban.</t>
        </is>
      </c>
      <c r="O1052" t="inlineStr">
        <is>
          <t>chi</t>
        </is>
      </c>
      <c r="P1052" t="inlineStr">
        <is>
          <t xml:space="preserve">cc </t>
        </is>
      </c>
      <c r="R1052" t="inlineStr">
        <is>
          <t xml:space="preserve">GT </t>
        </is>
      </c>
      <c r="S1052" t="n">
        <v>1</v>
      </c>
      <c r="T1052" t="n">
        <v>1</v>
      </c>
      <c r="U1052" t="inlineStr">
        <is>
          <t>2007-04-19</t>
        </is>
      </c>
      <c r="V1052" t="inlineStr">
        <is>
          <t>2007-04-19</t>
        </is>
      </c>
      <c r="W1052" t="inlineStr">
        <is>
          <t>2007-04-19</t>
        </is>
      </c>
      <c r="X1052" t="inlineStr">
        <is>
          <t>2007-04-19</t>
        </is>
      </c>
      <c r="Y1052" t="n">
        <v>23</v>
      </c>
      <c r="Z1052" t="n">
        <v>14</v>
      </c>
      <c r="AA1052" t="n">
        <v>14</v>
      </c>
      <c r="AB1052" t="n">
        <v>1</v>
      </c>
      <c r="AC1052" t="n">
        <v>1</v>
      </c>
      <c r="AD1052" t="n">
        <v>0</v>
      </c>
      <c r="AE1052" t="n">
        <v>0</v>
      </c>
      <c r="AF1052" t="n">
        <v>0</v>
      </c>
      <c r="AG1052" t="n">
        <v>0</v>
      </c>
      <c r="AH1052" t="n">
        <v>0</v>
      </c>
      <c r="AI1052" t="n">
        <v>0</v>
      </c>
      <c r="AJ1052" t="n">
        <v>0</v>
      </c>
      <c r="AK1052" t="n">
        <v>0</v>
      </c>
      <c r="AL1052" t="n">
        <v>0</v>
      </c>
      <c r="AM1052" t="n">
        <v>0</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HYPERLINK("https://creighton-primo.hosted.exlibrisgroup.com/primo-explore/search?tab=default_tab&amp;search_scope=EVERYTHING&amp;vid=01CRU&amp;lang=en_US&amp;offset=0&amp;query=any,contains,991005074529702656","Catalog Record")</f>
        <v/>
      </c>
      <c r="AT1052">
        <f>HYPERLINK("http://www.worldcat.org/oclc/63519947","WorldCat Record")</f>
        <v/>
      </c>
      <c r="AU1052" t="inlineStr">
        <is>
          <t>53135384:chi</t>
        </is>
      </c>
      <c r="AV1052" t="inlineStr">
        <is>
          <t>63519947</t>
        </is>
      </c>
      <c r="AW1052" t="inlineStr">
        <is>
          <t>991005074529702656</t>
        </is>
      </c>
      <c r="AX1052" t="inlineStr">
        <is>
          <t>991005074529702656</t>
        </is>
      </c>
      <c r="AY1052" t="inlineStr">
        <is>
          <t>2263709080002656</t>
        </is>
      </c>
      <c r="AZ1052" t="inlineStr">
        <is>
          <t>BOOK</t>
        </is>
      </c>
      <c r="BB1052" t="inlineStr">
        <is>
          <t>9787810689984</t>
        </is>
      </c>
      <c r="BC1052" t="inlineStr">
        <is>
          <t>32285005288765</t>
        </is>
      </c>
      <c r="BD1052" t="inlineStr">
        <is>
          <t>893619404</t>
        </is>
      </c>
    </row>
    <row r="1053">
      <c r="A1053" t="inlineStr">
        <is>
          <t>No</t>
        </is>
      </c>
      <c r="B1053" t="inlineStr">
        <is>
          <t>GT1710 .C44 1993</t>
        </is>
      </c>
      <c r="C1053" t="inlineStr">
        <is>
          <t>0                      GT 1710000C  44          1993</t>
        </is>
      </c>
      <c r="D1053" t="inlineStr">
        <is>
          <t>A history of men's fashion / Farid Chenoune ; translated from the French by Deke Dusinberre ; preface by Richard Martin.</t>
        </is>
      </c>
      <c r="F1053" t="inlineStr">
        <is>
          <t>No</t>
        </is>
      </c>
      <c r="G1053" t="inlineStr">
        <is>
          <t>1</t>
        </is>
      </c>
      <c r="H1053" t="inlineStr">
        <is>
          <t>No</t>
        </is>
      </c>
      <c r="I1053" t="inlineStr">
        <is>
          <t>No</t>
        </is>
      </c>
      <c r="J1053" t="inlineStr">
        <is>
          <t>0</t>
        </is>
      </c>
      <c r="K1053" t="inlineStr">
        <is>
          <t>Chenoune, Farid.</t>
        </is>
      </c>
      <c r="L1053" t="inlineStr">
        <is>
          <t>Paris : Flammarion, c1993.</t>
        </is>
      </c>
      <c r="M1053" t="inlineStr">
        <is>
          <t>1993</t>
        </is>
      </c>
      <c r="O1053" t="inlineStr">
        <is>
          <t>eng</t>
        </is>
      </c>
      <c r="P1053" t="inlineStr">
        <is>
          <t xml:space="preserve">fr </t>
        </is>
      </c>
      <c r="R1053" t="inlineStr">
        <is>
          <t xml:space="preserve">GT </t>
        </is>
      </c>
      <c r="S1053" t="n">
        <v>15</v>
      </c>
      <c r="T1053" t="n">
        <v>15</v>
      </c>
      <c r="U1053" t="inlineStr">
        <is>
          <t>2003-10-17</t>
        </is>
      </c>
      <c r="V1053" t="inlineStr">
        <is>
          <t>2003-10-17</t>
        </is>
      </c>
      <c r="W1053" t="inlineStr">
        <is>
          <t>1996-05-14</t>
        </is>
      </c>
      <c r="X1053" t="inlineStr">
        <is>
          <t>1996-05-14</t>
        </is>
      </c>
      <c r="Y1053" t="n">
        <v>583</v>
      </c>
      <c r="Z1053" t="n">
        <v>401</v>
      </c>
      <c r="AA1053" t="n">
        <v>402</v>
      </c>
      <c r="AB1053" t="n">
        <v>2</v>
      </c>
      <c r="AC1053" t="n">
        <v>2</v>
      </c>
      <c r="AD1053" t="n">
        <v>13</v>
      </c>
      <c r="AE1053" t="n">
        <v>13</v>
      </c>
      <c r="AF1053" t="n">
        <v>6</v>
      </c>
      <c r="AG1053" t="n">
        <v>6</v>
      </c>
      <c r="AH1053" t="n">
        <v>4</v>
      </c>
      <c r="AI1053" t="n">
        <v>4</v>
      </c>
      <c r="AJ1053" t="n">
        <v>4</v>
      </c>
      <c r="AK1053" t="n">
        <v>4</v>
      </c>
      <c r="AL1053" t="n">
        <v>1</v>
      </c>
      <c r="AM1053" t="n">
        <v>1</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HYPERLINK("https://creighton-primo.hosted.exlibrisgroup.com/primo-explore/search?tab=default_tab&amp;search_scope=EVERYTHING&amp;vid=01CRU&amp;lang=en_US&amp;offset=0&amp;query=any,contains,991002256469702656","Catalog Record")</f>
        <v/>
      </c>
      <c r="AT1053">
        <f>HYPERLINK("http://www.worldcat.org/oclc/29230629","WorldCat Record")</f>
        <v/>
      </c>
      <c r="AU1053" t="inlineStr">
        <is>
          <t>20996719:eng</t>
        </is>
      </c>
      <c r="AV1053" t="inlineStr">
        <is>
          <t>29230629</t>
        </is>
      </c>
      <c r="AW1053" t="inlineStr">
        <is>
          <t>991002256469702656</t>
        </is>
      </c>
      <c r="AX1053" t="inlineStr">
        <is>
          <t>991002256469702656</t>
        </is>
      </c>
      <c r="AY1053" t="inlineStr">
        <is>
          <t>2271801410002656</t>
        </is>
      </c>
      <c r="AZ1053" t="inlineStr">
        <is>
          <t>BOOK</t>
        </is>
      </c>
      <c r="BB1053" t="inlineStr">
        <is>
          <t>9782080135360</t>
        </is>
      </c>
      <c r="BC1053" t="inlineStr">
        <is>
          <t>32285002167483</t>
        </is>
      </c>
      <c r="BD1053" t="inlineStr">
        <is>
          <t>893408882</t>
        </is>
      </c>
    </row>
    <row r="1054">
      <c r="A1054" t="inlineStr">
        <is>
          <t>No</t>
        </is>
      </c>
      <c r="B1054" t="inlineStr">
        <is>
          <t>GT1730 .C8 1966</t>
        </is>
      </c>
      <c r="C1054" t="inlineStr">
        <is>
          <t>0                      GT 1730000C  8           1966</t>
        </is>
      </c>
      <c r="D1054" t="inlineStr">
        <is>
          <t>Children's costume in England : from the fourteenth to the end of the nineteenth century / [by] Phillis Cunnington &amp; Anne Buck.</t>
        </is>
      </c>
      <c r="F1054" t="inlineStr">
        <is>
          <t>No</t>
        </is>
      </c>
      <c r="G1054" t="inlineStr">
        <is>
          <t>1</t>
        </is>
      </c>
      <c r="H1054" t="inlineStr">
        <is>
          <t>No</t>
        </is>
      </c>
      <c r="I1054" t="inlineStr">
        <is>
          <t>No</t>
        </is>
      </c>
      <c r="J1054" t="inlineStr">
        <is>
          <t>0</t>
        </is>
      </c>
      <c r="K1054" t="inlineStr">
        <is>
          <t>Cunnington, Phillis, 1887-1974.</t>
        </is>
      </c>
      <c r="L1054" t="inlineStr">
        <is>
          <t>London : Black, [1966, c1965]</t>
        </is>
      </c>
      <c r="M1054" t="inlineStr">
        <is>
          <t>1966</t>
        </is>
      </c>
      <c r="O1054" t="inlineStr">
        <is>
          <t>eng</t>
        </is>
      </c>
      <c r="P1054" t="inlineStr">
        <is>
          <t xml:space="preserve">xx </t>
        </is>
      </c>
      <c r="R1054" t="inlineStr">
        <is>
          <t xml:space="preserve">GT </t>
        </is>
      </c>
      <c r="S1054" t="n">
        <v>4</v>
      </c>
      <c r="T1054" t="n">
        <v>4</v>
      </c>
      <c r="U1054" t="inlineStr">
        <is>
          <t>1999-09-29</t>
        </is>
      </c>
      <c r="V1054" t="inlineStr">
        <is>
          <t>1999-09-29</t>
        </is>
      </c>
      <c r="W1054" t="inlineStr">
        <is>
          <t>1993-10-28</t>
        </is>
      </c>
      <c r="X1054" t="inlineStr">
        <is>
          <t>1993-10-28</t>
        </is>
      </c>
      <c r="Y1054" t="n">
        <v>94</v>
      </c>
      <c r="Z1054" t="n">
        <v>81</v>
      </c>
      <c r="AA1054" t="n">
        <v>516</v>
      </c>
      <c r="AB1054" t="n">
        <v>1</v>
      </c>
      <c r="AC1054" t="n">
        <v>4</v>
      </c>
      <c r="AD1054" t="n">
        <v>1</v>
      </c>
      <c r="AE1054" t="n">
        <v>13</v>
      </c>
      <c r="AF1054" t="n">
        <v>1</v>
      </c>
      <c r="AG1054" t="n">
        <v>5</v>
      </c>
      <c r="AH1054" t="n">
        <v>0</v>
      </c>
      <c r="AI1054" t="n">
        <v>4</v>
      </c>
      <c r="AJ1054" t="n">
        <v>1</v>
      </c>
      <c r="AK1054" t="n">
        <v>4</v>
      </c>
      <c r="AL1054" t="n">
        <v>0</v>
      </c>
      <c r="AM1054" t="n">
        <v>2</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HYPERLINK("https://creighton-primo.hosted.exlibrisgroup.com/primo-explore/search?tab=default_tab&amp;search_scope=EVERYTHING&amp;vid=01CRU&amp;lang=en_US&amp;offset=0&amp;query=any,contains,991002487379702656","Catalog Record")</f>
        <v/>
      </c>
      <c r="AT1054">
        <f>HYPERLINK("http://www.worldcat.org/oclc/361416","WorldCat Record")</f>
        <v/>
      </c>
      <c r="AU1054" t="inlineStr">
        <is>
          <t>765886613:eng</t>
        </is>
      </c>
      <c r="AV1054" t="inlineStr">
        <is>
          <t>361416</t>
        </is>
      </c>
      <c r="AW1054" t="inlineStr">
        <is>
          <t>991002487379702656</t>
        </is>
      </c>
      <c r="AX1054" t="inlineStr">
        <is>
          <t>991002487379702656</t>
        </is>
      </c>
      <c r="AY1054" t="inlineStr">
        <is>
          <t>2263143170002656</t>
        </is>
      </c>
      <c r="AZ1054" t="inlineStr">
        <is>
          <t>BOOK</t>
        </is>
      </c>
      <c r="BC1054" t="inlineStr">
        <is>
          <t>32285001795417</t>
        </is>
      </c>
      <c r="BD1054" t="inlineStr">
        <is>
          <t>893597507</t>
        </is>
      </c>
    </row>
    <row r="1055">
      <c r="A1055" t="inlineStr">
        <is>
          <t>No</t>
        </is>
      </c>
      <c r="B1055" t="inlineStr">
        <is>
          <t>GT1730 .R67 1989a</t>
        </is>
      </c>
      <c r="C1055" t="inlineStr">
        <is>
          <t>0                      GT 1730000R  67          1989a</t>
        </is>
      </c>
      <c r="D1055" t="inlineStr">
        <is>
          <t>Children's clothes since 1750 / Clare Rose.</t>
        </is>
      </c>
      <c r="F1055" t="inlineStr">
        <is>
          <t>No</t>
        </is>
      </c>
      <c r="G1055" t="inlineStr">
        <is>
          <t>1</t>
        </is>
      </c>
      <c r="H1055" t="inlineStr">
        <is>
          <t>No</t>
        </is>
      </c>
      <c r="I1055" t="inlineStr">
        <is>
          <t>No</t>
        </is>
      </c>
      <c r="J1055" t="inlineStr">
        <is>
          <t>0</t>
        </is>
      </c>
      <c r="K1055" t="inlineStr">
        <is>
          <t>Rose, Clare.</t>
        </is>
      </c>
      <c r="L1055" t="inlineStr">
        <is>
          <t>London : Batsford, 1989.</t>
        </is>
      </c>
      <c r="M1055" t="inlineStr">
        <is>
          <t>1989</t>
        </is>
      </c>
      <c r="O1055" t="inlineStr">
        <is>
          <t>eng</t>
        </is>
      </c>
      <c r="P1055" t="inlineStr">
        <is>
          <t>enk</t>
        </is>
      </c>
      <c r="R1055" t="inlineStr">
        <is>
          <t xml:space="preserve">GT </t>
        </is>
      </c>
      <c r="S1055" t="n">
        <v>7</v>
      </c>
      <c r="T1055" t="n">
        <v>7</v>
      </c>
      <c r="U1055" t="inlineStr">
        <is>
          <t>1999-09-29</t>
        </is>
      </c>
      <c r="V1055" t="inlineStr">
        <is>
          <t>1999-09-29</t>
        </is>
      </c>
      <c r="W1055" t="inlineStr">
        <is>
          <t>1994-04-21</t>
        </is>
      </c>
      <c r="X1055" t="inlineStr">
        <is>
          <t>1994-04-21</t>
        </is>
      </c>
      <c r="Y1055" t="n">
        <v>213</v>
      </c>
      <c r="Z1055" t="n">
        <v>89</v>
      </c>
      <c r="AA1055" t="n">
        <v>324</v>
      </c>
      <c r="AB1055" t="n">
        <v>1</v>
      </c>
      <c r="AC1055" t="n">
        <v>3</v>
      </c>
      <c r="AD1055" t="n">
        <v>2</v>
      </c>
      <c r="AE1055" t="n">
        <v>11</v>
      </c>
      <c r="AF1055" t="n">
        <v>0</v>
      </c>
      <c r="AG1055" t="n">
        <v>4</v>
      </c>
      <c r="AH1055" t="n">
        <v>1</v>
      </c>
      <c r="AI1055" t="n">
        <v>2</v>
      </c>
      <c r="AJ1055" t="n">
        <v>2</v>
      </c>
      <c r="AK1055" t="n">
        <v>5</v>
      </c>
      <c r="AL1055" t="n">
        <v>0</v>
      </c>
      <c r="AM1055" t="n">
        <v>2</v>
      </c>
      <c r="AN1055" t="n">
        <v>0</v>
      </c>
      <c r="AO1055" t="n">
        <v>0</v>
      </c>
      <c r="AP1055" t="inlineStr">
        <is>
          <t>No</t>
        </is>
      </c>
      <c r="AQ1055" t="inlineStr">
        <is>
          <t>Yes</t>
        </is>
      </c>
      <c r="AR1055">
        <f>HYPERLINK("http://catalog.hathitrust.org/Record/006942575","HathiTrust Record")</f>
        <v/>
      </c>
      <c r="AS1055">
        <f>HYPERLINK("https://creighton-primo.hosted.exlibrisgroup.com/primo-explore/search?tab=default_tab&amp;search_scope=EVERYTHING&amp;vid=01CRU&amp;lang=en_US&amp;offset=0&amp;query=any,contains,991001502399702656","Catalog Record")</f>
        <v/>
      </c>
      <c r="AT1055">
        <f>HYPERLINK("http://www.worldcat.org/oclc/19812913","WorldCat Record")</f>
        <v/>
      </c>
      <c r="AU1055" t="inlineStr">
        <is>
          <t>21321273:eng</t>
        </is>
      </c>
      <c r="AV1055" t="inlineStr">
        <is>
          <t>19812913</t>
        </is>
      </c>
      <c r="AW1055" t="inlineStr">
        <is>
          <t>991001502399702656</t>
        </is>
      </c>
      <c r="AX1055" t="inlineStr">
        <is>
          <t>991001502399702656</t>
        </is>
      </c>
      <c r="AY1055" t="inlineStr">
        <is>
          <t>2266615360002656</t>
        </is>
      </c>
      <c r="AZ1055" t="inlineStr">
        <is>
          <t>BOOK</t>
        </is>
      </c>
      <c r="BB1055" t="inlineStr">
        <is>
          <t>9780713457414</t>
        </is>
      </c>
      <c r="BC1055" t="inlineStr">
        <is>
          <t>32285001877058</t>
        </is>
      </c>
      <c r="BD1055" t="inlineStr">
        <is>
          <t>893346559</t>
        </is>
      </c>
    </row>
    <row r="1056">
      <c r="A1056" t="inlineStr">
        <is>
          <t>No</t>
        </is>
      </c>
      <c r="B1056" t="inlineStr">
        <is>
          <t>GT1730 .W67</t>
        </is>
      </c>
      <c r="C1056" t="inlineStr">
        <is>
          <t>0                      GT 1730000W  67</t>
        </is>
      </c>
      <c r="D1056" t="inlineStr">
        <is>
          <t>Children's costume in America, 1607-1910 / written and illustrated by Estelle Ansley Worrell.</t>
        </is>
      </c>
      <c r="F1056" t="inlineStr">
        <is>
          <t>No</t>
        </is>
      </c>
      <c r="G1056" t="inlineStr">
        <is>
          <t>1</t>
        </is>
      </c>
      <c r="H1056" t="inlineStr">
        <is>
          <t>No</t>
        </is>
      </c>
      <c r="I1056" t="inlineStr">
        <is>
          <t>No</t>
        </is>
      </c>
      <c r="J1056" t="inlineStr">
        <is>
          <t>0</t>
        </is>
      </c>
      <c r="K1056" t="inlineStr">
        <is>
          <t>Worrell, Estelle Ansley, 1929-</t>
        </is>
      </c>
      <c r="L1056" t="inlineStr">
        <is>
          <t>New York : Scribner, c1980.</t>
        </is>
      </c>
      <c r="M1056" t="inlineStr">
        <is>
          <t>1980</t>
        </is>
      </c>
      <c r="O1056" t="inlineStr">
        <is>
          <t>eng</t>
        </is>
      </c>
      <c r="P1056" t="inlineStr">
        <is>
          <t>nyu</t>
        </is>
      </c>
      <c r="R1056" t="inlineStr">
        <is>
          <t xml:space="preserve">GT </t>
        </is>
      </c>
      <c r="S1056" t="n">
        <v>6</v>
      </c>
      <c r="T1056" t="n">
        <v>6</v>
      </c>
      <c r="U1056" t="inlineStr">
        <is>
          <t>1997-12-16</t>
        </is>
      </c>
      <c r="V1056" t="inlineStr">
        <is>
          <t>1997-12-16</t>
        </is>
      </c>
      <c r="W1056" t="inlineStr">
        <is>
          <t>1990-06-22</t>
        </is>
      </c>
      <c r="X1056" t="inlineStr">
        <is>
          <t>1990-06-22</t>
        </is>
      </c>
      <c r="Y1056" t="n">
        <v>870</v>
      </c>
      <c r="Z1056" t="n">
        <v>817</v>
      </c>
      <c r="AA1056" t="n">
        <v>827</v>
      </c>
      <c r="AB1056" t="n">
        <v>5</v>
      </c>
      <c r="AC1056" t="n">
        <v>5</v>
      </c>
      <c r="AD1056" t="n">
        <v>9</v>
      </c>
      <c r="AE1056" t="n">
        <v>9</v>
      </c>
      <c r="AF1056" t="n">
        <v>3</v>
      </c>
      <c r="AG1056" t="n">
        <v>3</v>
      </c>
      <c r="AH1056" t="n">
        <v>0</v>
      </c>
      <c r="AI1056" t="n">
        <v>0</v>
      </c>
      <c r="AJ1056" t="n">
        <v>5</v>
      </c>
      <c r="AK1056" t="n">
        <v>5</v>
      </c>
      <c r="AL1056" t="n">
        <v>2</v>
      </c>
      <c r="AM1056" t="n">
        <v>2</v>
      </c>
      <c r="AN1056" t="n">
        <v>0</v>
      </c>
      <c r="AO1056" t="n">
        <v>0</v>
      </c>
      <c r="AP1056" t="inlineStr">
        <is>
          <t>No</t>
        </is>
      </c>
      <c r="AQ1056" t="inlineStr">
        <is>
          <t>Yes</t>
        </is>
      </c>
      <c r="AR1056">
        <f>HYPERLINK("http://catalog.hathitrust.org/Record/000145089","HathiTrust Record")</f>
        <v/>
      </c>
      <c r="AS1056">
        <f>HYPERLINK("https://creighton-primo.hosted.exlibrisgroup.com/primo-explore/search?tab=default_tab&amp;search_scope=EVERYTHING&amp;vid=01CRU&amp;lang=en_US&amp;offset=0&amp;query=any,contains,991005003149702656","Catalog Record")</f>
        <v/>
      </c>
      <c r="AT1056">
        <f>HYPERLINK("http://www.worldcat.org/oclc/6555102","WorldCat Record")</f>
        <v/>
      </c>
      <c r="AU1056" t="inlineStr">
        <is>
          <t>433540:eng</t>
        </is>
      </c>
      <c r="AV1056" t="inlineStr">
        <is>
          <t>6555102</t>
        </is>
      </c>
      <c r="AW1056" t="inlineStr">
        <is>
          <t>991005003149702656</t>
        </is>
      </c>
      <c r="AX1056" t="inlineStr">
        <is>
          <t>991005003149702656</t>
        </is>
      </c>
      <c r="AY1056" t="inlineStr">
        <is>
          <t>2254759320002656</t>
        </is>
      </c>
      <c r="AZ1056" t="inlineStr">
        <is>
          <t>BOOK</t>
        </is>
      </c>
      <c r="BB1056" t="inlineStr">
        <is>
          <t>9780684166452</t>
        </is>
      </c>
      <c r="BC1056" t="inlineStr">
        <is>
          <t>32285000212729</t>
        </is>
      </c>
      <c r="BD1056" t="inlineStr">
        <is>
          <t>893437014</t>
        </is>
      </c>
    </row>
    <row r="1057">
      <c r="A1057" t="inlineStr">
        <is>
          <t>No</t>
        </is>
      </c>
      <c r="B1057" t="inlineStr">
        <is>
          <t>GT1741 .G4 1968b</t>
        </is>
      </c>
      <c r="C1057" t="inlineStr">
        <is>
          <t>0                      GT 1741000G  4           1968b</t>
        </is>
      </c>
      <c r="D1057" t="inlineStr">
        <is>
          <t>Theatrical costume and the amateur stage; a book of simple method in the making and altering of theatrical costumes, including a brief guide to costumes through the periods to the present day. Drawings by William Langstaffe.</t>
        </is>
      </c>
      <c r="F1057" t="inlineStr">
        <is>
          <t>No</t>
        </is>
      </c>
      <c r="G1057" t="inlineStr">
        <is>
          <t>1</t>
        </is>
      </c>
      <c r="H1057" t="inlineStr">
        <is>
          <t>No</t>
        </is>
      </c>
      <c r="I1057" t="inlineStr">
        <is>
          <t>No</t>
        </is>
      </c>
      <c r="J1057" t="inlineStr">
        <is>
          <t>0</t>
        </is>
      </c>
      <c r="K1057" t="inlineStr">
        <is>
          <t>Geen, Michael.</t>
        </is>
      </c>
      <c r="L1057" t="inlineStr">
        <is>
          <t>Boston, Plays, inc. [1968]</t>
        </is>
      </c>
      <c r="M1057" t="inlineStr">
        <is>
          <t>1968</t>
        </is>
      </c>
      <c r="N1057" t="inlineStr">
        <is>
          <t>[1st American ed.]</t>
        </is>
      </c>
      <c r="O1057" t="inlineStr">
        <is>
          <t>eng</t>
        </is>
      </c>
      <c r="P1057" t="inlineStr">
        <is>
          <t>mau</t>
        </is>
      </c>
      <c r="R1057" t="inlineStr">
        <is>
          <t xml:space="preserve">GT </t>
        </is>
      </c>
      <c r="S1057" t="n">
        <v>10</v>
      </c>
      <c r="T1057" t="n">
        <v>10</v>
      </c>
      <c r="U1057" t="inlineStr">
        <is>
          <t>2004-06-30</t>
        </is>
      </c>
      <c r="V1057" t="inlineStr">
        <is>
          <t>2004-06-30</t>
        </is>
      </c>
      <c r="W1057" t="inlineStr">
        <is>
          <t>1990-05-24</t>
        </is>
      </c>
      <c r="X1057" t="inlineStr">
        <is>
          <t>1990-05-24</t>
        </is>
      </c>
      <c r="Y1057" t="n">
        <v>675</v>
      </c>
      <c r="Z1057" t="n">
        <v>656</v>
      </c>
      <c r="AA1057" t="n">
        <v>711</v>
      </c>
      <c r="AB1057" t="n">
        <v>5</v>
      </c>
      <c r="AC1057" t="n">
        <v>5</v>
      </c>
      <c r="AD1057" t="n">
        <v>14</v>
      </c>
      <c r="AE1057" t="n">
        <v>14</v>
      </c>
      <c r="AF1057" t="n">
        <v>7</v>
      </c>
      <c r="AG1057" t="n">
        <v>7</v>
      </c>
      <c r="AH1057" t="n">
        <v>2</v>
      </c>
      <c r="AI1057" t="n">
        <v>2</v>
      </c>
      <c r="AJ1057" t="n">
        <v>3</v>
      </c>
      <c r="AK1057" t="n">
        <v>3</v>
      </c>
      <c r="AL1057" t="n">
        <v>4</v>
      </c>
      <c r="AM1057" t="n">
        <v>4</v>
      </c>
      <c r="AN1057" t="n">
        <v>0</v>
      </c>
      <c r="AO1057" t="n">
        <v>0</v>
      </c>
      <c r="AP1057" t="inlineStr">
        <is>
          <t>No</t>
        </is>
      </c>
      <c r="AQ1057" t="inlineStr">
        <is>
          <t>Yes</t>
        </is>
      </c>
      <c r="AR1057">
        <f>HYPERLINK("http://catalog.hathitrust.org/Record/001287117","HathiTrust Record")</f>
        <v/>
      </c>
      <c r="AS1057">
        <f>HYPERLINK("https://creighton-primo.hosted.exlibrisgroup.com/primo-explore/search?tab=default_tab&amp;search_scope=EVERYTHING&amp;vid=01CRU&amp;lang=en_US&amp;offset=0&amp;query=any,contains,991003707099702656","Catalog Record")</f>
        <v/>
      </c>
      <c r="AT1057">
        <f>HYPERLINK("http://www.worldcat.org/oclc/1345007","WorldCat Record")</f>
        <v/>
      </c>
      <c r="AU1057" t="inlineStr">
        <is>
          <t>1462888:eng</t>
        </is>
      </c>
      <c r="AV1057" t="inlineStr">
        <is>
          <t>1345007</t>
        </is>
      </c>
      <c r="AW1057" t="inlineStr">
        <is>
          <t>991003707099702656</t>
        </is>
      </c>
      <c r="AX1057" t="inlineStr">
        <is>
          <t>991003707099702656</t>
        </is>
      </c>
      <c r="AY1057" t="inlineStr">
        <is>
          <t>2260173350002656</t>
        </is>
      </c>
      <c r="AZ1057" t="inlineStr">
        <is>
          <t>BOOK</t>
        </is>
      </c>
      <c r="BB1057" t="inlineStr">
        <is>
          <t>9780823800957</t>
        </is>
      </c>
      <c r="BC1057" t="inlineStr">
        <is>
          <t>32285000170042</t>
        </is>
      </c>
      <c r="BD1057" t="inlineStr">
        <is>
          <t>893531505</t>
        </is>
      </c>
    </row>
    <row r="1058">
      <c r="A1058" t="inlineStr">
        <is>
          <t>No</t>
        </is>
      </c>
      <c r="B1058" t="inlineStr">
        <is>
          <t>GT1741 .J323 1993</t>
        </is>
      </c>
      <c r="C1058" t="inlineStr">
        <is>
          <t>0                      GT 1741000J  323         1993</t>
        </is>
      </c>
      <c r="D1058" t="inlineStr">
        <is>
          <t>More costumes for the stage / Shelia Jackson.</t>
        </is>
      </c>
      <c r="F1058" t="inlineStr">
        <is>
          <t>No</t>
        </is>
      </c>
      <c r="G1058" t="inlineStr">
        <is>
          <t>1</t>
        </is>
      </c>
      <c r="H1058" t="inlineStr">
        <is>
          <t>No</t>
        </is>
      </c>
      <c r="I1058" t="inlineStr">
        <is>
          <t>No</t>
        </is>
      </c>
      <c r="J1058" t="inlineStr">
        <is>
          <t>0</t>
        </is>
      </c>
      <c r="K1058" t="inlineStr">
        <is>
          <t>Jackson, Sheila.</t>
        </is>
      </c>
      <c r="L1058" t="inlineStr">
        <is>
          <t>London : Herbert Press, 1993.</t>
        </is>
      </c>
      <c r="M1058" t="inlineStr">
        <is>
          <t>1993</t>
        </is>
      </c>
      <c r="O1058" t="inlineStr">
        <is>
          <t>eng</t>
        </is>
      </c>
      <c r="P1058" t="inlineStr">
        <is>
          <t>enk</t>
        </is>
      </c>
      <c r="R1058" t="inlineStr">
        <is>
          <t xml:space="preserve">GT </t>
        </is>
      </c>
      <c r="S1058" t="n">
        <v>6</v>
      </c>
      <c r="T1058" t="n">
        <v>6</v>
      </c>
      <c r="U1058" t="inlineStr">
        <is>
          <t>2005-10-06</t>
        </is>
      </c>
      <c r="V1058" t="inlineStr">
        <is>
          <t>2005-10-06</t>
        </is>
      </c>
      <c r="W1058" t="inlineStr">
        <is>
          <t>1996-03-18</t>
        </is>
      </c>
      <c r="X1058" t="inlineStr">
        <is>
          <t>1996-03-18</t>
        </is>
      </c>
      <c r="Y1058" t="n">
        <v>209</v>
      </c>
      <c r="Z1058" t="n">
        <v>107</v>
      </c>
      <c r="AA1058" t="n">
        <v>205</v>
      </c>
      <c r="AB1058" t="n">
        <v>1</v>
      </c>
      <c r="AC1058" t="n">
        <v>3</v>
      </c>
      <c r="AD1058" t="n">
        <v>3</v>
      </c>
      <c r="AE1058" t="n">
        <v>9</v>
      </c>
      <c r="AF1058" t="n">
        <v>0</v>
      </c>
      <c r="AG1058" t="n">
        <v>1</v>
      </c>
      <c r="AH1058" t="n">
        <v>2</v>
      </c>
      <c r="AI1058" t="n">
        <v>4</v>
      </c>
      <c r="AJ1058" t="n">
        <v>1</v>
      </c>
      <c r="AK1058" t="n">
        <v>4</v>
      </c>
      <c r="AL1058" t="n">
        <v>0</v>
      </c>
      <c r="AM1058" t="n">
        <v>2</v>
      </c>
      <c r="AN1058" t="n">
        <v>0</v>
      </c>
      <c r="AO1058" t="n">
        <v>0</v>
      </c>
      <c r="AP1058" t="inlineStr">
        <is>
          <t>No</t>
        </is>
      </c>
      <c r="AQ1058" t="inlineStr">
        <is>
          <t>Yes</t>
        </is>
      </c>
      <c r="AR1058">
        <f>HYPERLINK("http://catalog.hathitrust.org/Record/007130381","HathiTrust Record")</f>
        <v/>
      </c>
      <c r="AS1058">
        <f>HYPERLINK("https://creighton-primo.hosted.exlibrisgroup.com/primo-explore/search?tab=default_tab&amp;search_scope=EVERYTHING&amp;vid=01CRU&amp;lang=en_US&amp;offset=0&amp;query=any,contains,991002189609702656","Catalog Record")</f>
        <v/>
      </c>
      <c r="AT1058">
        <f>HYPERLINK("http://www.worldcat.org/oclc/28181261","WorldCat Record")</f>
        <v/>
      </c>
      <c r="AU1058" t="inlineStr">
        <is>
          <t>3856502731:eng</t>
        </is>
      </c>
      <c r="AV1058" t="inlineStr">
        <is>
          <t>28181261</t>
        </is>
      </c>
      <c r="AW1058" t="inlineStr">
        <is>
          <t>991002189609702656</t>
        </is>
      </c>
      <c r="AX1058" t="inlineStr">
        <is>
          <t>991002189609702656</t>
        </is>
      </c>
      <c r="AY1058" t="inlineStr">
        <is>
          <t>2271006630002656</t>
        </is>
      </c>
      <c r="AZ1058" t="inlineStr">
        <is>
          <t>BOOK</t>
        </is>
      </c>
      <c r="BB1058" t="inlineStr">
        <is>
          <t>9781871569544</t>
        </is>
      </c>
      <c r="BC1058" t="inlineStr">
        <is>
          <t>32285002144383</t>
        </is>
      </c>
      <c r="BD1058" t="inlineStr">
        <is>
          <t>893439862</t>
        </is>
      </c>
    </row>
    <row r="1059">
      <c r="A1059" t="inlineStr">
        <is>
          <t>No</t>
        </is>
      </c>
      <c r="B1059" t="inlineStr">
        <is>
          <t>GT1741 .K4 1988</t>
        </is>
      </c>
      <c r="C1059" t="inlineStr">
        <is>
          <t>0                      GT 1741000K  4           1988</t>
        </is>
      </c>
      <c r="D1059" t="inlineStr">
        <is>
          <t>How to dress dancers : costuming techniques for dance / Mary Kent Harrison.</t>
        </is>
      </c>
      <c r="F1059" t="inlineStr">
        <is>
          <t>No</t>
        </is>
      </c>
      <c r="G1059" t="inlineStr">
        <is>
          <t>1</t>
        </is>
      </c>
      <c r="H1059" t="inlineStr">
        <is>
          <t>No</t>
        </is>
      </c>
      <c r="I1059" t="inlineStr">
        <is>
          <t>No</t>
        </is>
      </c>
      <c r="J1059" t="inlineStr">
        <is>
          <t>0</t>
        </is>
      </c>
      <c r="K1059" t="inlineStr">
        <is>
          <t>Kent Harrison, Mary, 1915-1983.</t>
        </is>
      </c>
      <c r="L1059" t="inlineStr">
        <is>
          <t>Princeton, N.J. : Princeton Book Co., 1988, c1978.</t>
        </is>
      </c>
      <c r="M1059" t="inlineStr">
        <is>
          <t>1988</t>
        </is>
      </c>
      <c r="O1059" t="inlineStr">
        <is>
          <t>eng</t>
        </is>
      </c>
      <c r="P1059" t="inlineStr">
        <is>
          <t>nju</t>
        </is>
      </c>
      <c r="R1059" t="inlineStr">
        <is>
          <t xml:space="preserve">GT </t>
        </is>
      </c>
      <c r="S1059" t="n">
        <v>5</v>
      </c>
      <c r="T1059" t="n">
        <v>5</v>
      </c>
      <c r="U1059" t="inlineStr">
        <is>
          <t>2006-03-22</t>
        </is>
      </c>
      <c r="V1059" t="inlineStr">
        <is>
          <t>2006-03-22</t>
        </is>
      </c>
      <c r="W1059" t="inlineStr">
        <is>
          <t>1990-10-02</t>
        </is>
      </c>
      <c r="X1059" t="inlineStr">
        <is>
          <t>1990-10-02</t>
        </is>
      </c>
      <c r="Y1059" t="n">
        <v>381</v>
      </c>
      <c r="Z1059" t="n">
        <v>346</v>
      </c>
      <c r="AA1059" t="n">
        <v>418</v>
      </c>
      <c r="AB1059" t="n">
        <v>3</v>
      </c>
      <c r="AC1059" t="n">
        <v>3</v>
      </c>
      <c r="AD1059" t="n">
        <v>12</v>
      </c>
      <c r="AE1059" t="n">
        <v>12</v>
      </c>
      <c r="AF1059" t="n">
        <v>7</v>
      </c>
      <c r="AG1059" t="n">
        <v>7</v>
      </c>
      <c r="AH1059" t="n">
        <v>4</v>
      </c>
      <c r="AI1059" t="n">
        <v>4</v>
      </c>
      <c r="AJ1059" t="n">
        <v>3</v>
      </c>
      <c r="AK1059" t="n">
        <v>3</v>
      </c>
      <c r="AL1059" t="n">
        <v>2</v>
      </c>
      <c r="AM1059" t="n">
        <v>2</v>
      </c>
      <c r="AN1059" t="n">
        <v>0</v>
      </c>
      <c r="AO1059" t="n">
        <v>0</v>
      </c>
      <c r="AP1059" t="inlineStr">
        <is>
          <t>No</t>
        </is>
      </c>
      <c r="AQ1059" t="inlineStr">
        <is>
          <t>Yes</t>
        </is>
      </c>
      <c r="AR1059">
        <f>HYPERLINK("http://catalog.hathitrust.org/Record/004043349","HathiTrust Record")</f>
        <v/>
      </c>
      <c r="AS1059">
        <f>HYPERLINK("https://creighton-primo.hosted.exlibrisgroup.com/primo-explore/search?tab=default_tab&amp;search_scope=EVERYTHING&amp;vid=01CRU&amp;lang=en_US&amp;offset=0&amp;query=any,contains,991001315769702656","Catalog Record")</f>
        <v/>
      </c>
      <c r="AT1059">
        <f>HYPERLINK("http://www.worldcat.org/oclc/18189288","WorldCat Record")</f>
        <v/>
      </c>
      <c r="AU1059" t="inlineStr">
        <is>
          <t>9595900:eng</t>
        </is>
      </c>
      <c r="AV1059" t="inlineStr">
        <is>
          <t>18189288</t>
        </is>
      </c>
      <c r="AW1059" t="inlineStr">
        <is>
          <t>991001315769702656</t>
        </is>
      </c>
      <c r="AX1059" t="inlineStr">
        <is>
          <t>991001315769702656</t>
        </is>
      </c>
      <c r="AY1059" t="inlineStr">
        <is>
          <t>2264645860002656</t>
        </is>
      </c>
      <c r="AZ1059" t="inlineStr">
        <is>
          <t>BOOK</t>
        </is>
      </c>
      <c r="BB1059" t="inlineStr">
        <is>
          <t>9780916622732</t>
        </is>
      </c>
      <c r="BC1059" t="inlineStr">
        <is>
          <t>32285000318542</t>
        </is>
      </c>
      <c r="BD1059" t="inlineStr">
        <is>
          <t>893696655</t>
        </is>
      </c>
    </row>
    <row r="1060">
      <c r="A1060" t="inlineStr">
        <is>
          <t>No</t>
        </is>
      </c>
      <c r="B1060" t="inlineStr">
        <is>
          <t>GT1747 .B3 1966</t>
        </is>
      </c>
      <c r="C1060" t="inlineStr">
        <is>
          <t>0                      GT 1747000B  3           1966</t>
        </is>
      </c>
      <c r="D1060" t="inlineStr">
        <is>
          <t>Mask making.</t>
        </is>
      </c>
      <c r="F1060" t="inlineStr">
        <is>
          <t>No</t>
        </is>
      </c>
      <c r="G1060" t="inlineStr">
        <is>
          <t>1</t>
        </is>
      </c>
      <c r="H1060" t="inlineStr">
        <is>
          <t>No</t>
        </is>
      </c>
      <c r="I1060" t="inlineStr">
        <is>
          <t>No</t>
        </is>
      </c>
      <c r="J1060" t="inlineStr">
        <is>
          <t>0</t>
        </is>
      </c>
      <c r="K1060" t="inlineStr">
        <is>
          <t>Baranski, Matthew.</t>
        </is>
      </c>
      <c r="L1060" t="inlineStr">
        <is>
          <t>Worcester, Mass., Davis Press, 1966, c1954.</t>
        </is>
      </c>
      <c r="M1060" t="inlineStr">
        <is>
          <t>1966</t>
        </is>
      </c>
      <c r="N1060" t="inlineStr">
        <is>
          <t>4th rev. ed.</t>
        </is>
      </c>
      <c r="O1060" t="inlineStr">
        <is>
          <t>eng</t>
        </is>
      </c>
      <c r="P1060" t="inlineStr">
        <is>
          <t>mau</t>
        </is>
      </c>
      <c r="R1060" t="inlineStr">
        <is>
          <t xml:space="preserve">GT </t>
        </is>
      </c>
      <c r="S1060" t="n">
        <v>3</v>
      </c>
      <c r="T1060" t="n">
        <v>3</v>
      </c>
      <c r="U1060" t="inlineStr">
        <is>
          <t>1999-09-29</t>
        </is>
      </c>
      <c r="V1060" t="inlineStr">
        <is>
          <t>1999-09-29</t>
        </is>
      </c>
      <c r="W1060" t="inlineStr">
        <is>
          <t>1997-05-29</t>
        </is>
      </c>
      <c r="X1060" t="inlineStr">
        <is>
          <t>1997-05-29</t>
        </is>
      </c>
      <c r="Y1060" t="n">
        <v>38</v>
      </c>
      <c r="Z1060" t="n">
        <v>37</v>
      </c>
      <c r="AA1060" t="n">
        <v>44</v>
      </c>
      <c r="AB1060" t="n">
        <v>1</v>
      </c>
      <c r="AC1060" t="n">
        <v>1</v>
      </c>
      <c r="AD1060" t="n">
        <v>0</v>
      </c>
      <c r="AE1060" t="n">
        <v>0</v>
      </c>
      <c r="AF1060" t="n">
        <v>0</v>
      </c>
      <c r="AG1060" t="n">
        <v>0</v>
      </c>
      <c r="AH1060" t="n">
        <v>0</v>
      </c>
      <c r="AI1060" t="n">
        <v>0</v>
      </c>
      <c r="AJ1060" t="n">
        <v>0</v>
      </c>
      <c r="AK1060" t="n">
        <v>0</v>
      </c>
      <c r="AL1060" t="n">
        <v>0</v>
      </c>
      <c r="AM1060" t="n">
        <v>0</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HYPERLINK("https://creighton-primo.hosted.exlibrisgroup.com/primo-explore/search?tab=default_tab&amp;search_scope=EVERYTHING&amp;vid=01CRU&amp;lang=en_US&amp;offset=0&amp;query=any,contains,991002859639702656","Catalog Record")</f>
        <v/>
      </c>
      <c r="AT1060">
        <f>HYPERLINK("http://www.worldcat.org/oclc/492113","WorldCat Record")</f>
        <v/>
      </c>
      <c r="AU1060" t="inlineStr">
        <is>
          <t>3859007300:eng</t>
        </is>
      </c>
      <c r="AV1060" t="inlineStr">
        <is>
          <t>492113</t>
        </is>
      </c>
      <c r="AW1060" t="inlineStr">
        <is>
          <t>991002859639702656</t>
        </is>
      </c>
      <c r="AX1060" t="inlineStr">
        <is>
          <t>991002859639702656</t>
        </is>
      </c>
      <c r="AY1060" t="inlineStr">
        <is>
          <t>2255254230002656</t>
        </is>
      </c>
      <c r="AZ1060" t="inlineStr">
        <is>
          <t>BOOK</t>
        </is>
      </c>
      <c r="BC1060" t="inlineStr">
        <is>
          <t>32285002699196</t>
        </is>
      </c>
      <c r="BD1060" t="inlineStr">
        <is>
          <t>893524132</t>
        </is>
      </c>
    </row>
    <row r="1061">
      <c r="A1061" t="inlineStr">
        <is>
          <t>No</t>
        </is>
      </c>
      <c r="B1061" t="inlineStr">
        <is>
          <t>GT175 .O25 2007</t>
        </is>
      </c>
      <c r="C1061" t="inlineStr">
        <is>
          <t>0                      GT 0175000O  25          2007</t>
        </is>
      </c>
      <c r="D1061" t="inlineStr">
        <is>
          <t>Objects in context, objects in use : material spatiality in late antiquity / edited by Luke Lavan, Ellen Swift and Toon Putzeys ; with the assistance of Adam Gutteridge.</t>
        </is>
      </c>
      <c r="F1061" t="inlineStr">
        <is>
          <t>No</t>
        </is>
      </c>
      <c r="G1061" t="inlineStr">
        <is>
          <t>1</t>
        </is>
      </c>
      <c r="H1061" t="inlineStr">
        <is>
          <t>No</t>
        </is>
      </c>
      <c r="I1061" t="inlineStr">
        <is>
          <t>No</t>
        </is>
      </c>
      <c r="J1061" t="inlineStr">
        <is>
          <t>0</t>
        </is>
      </c>
      <c r="L1061" t="inlineStr">
        <is>
          <t>Leiden ; Boston : Brill, 2007.</t>
        </is>
      </c>
      <c r="M1061" t="inlineStr">
        <is>
          <t>2007</t>
        </is>
      </c>
      <c r="O1061" t="inlineStr">
        <is>
          <t>eng</t>
        </is>
      </c>
      <c r="P1061" t="inlineStr">
        <is>
          <t xml:space="preserve">ne </t>
        </is>
      </c>
      <c r="Q1061" t="inlineStr">
        <is>
          <t>Late antique archaeology, 1570-6893 ; v. 5</t>
        </is>
      </c>
      <c r="R1061" t="inlineStr">
        <is>
          <t xml:space="preserve">GT </t>
        </is>
      </c>
      <c r="S1061" t="n">
        <v>1</v>
      </c>
      <c r="T1061" t="n">
        <v>1</v>
      </c>
      <c r="U1061" t="inlineStr">
        <is>
          <t>2009-04-16</t>
        </is>
      </c>
      <c r="V1061" t="inlineStr">
        <is>
          <t>2009-04-16</t>
        </is>
      </c>
      <c r="W1061" t="inlineStr">
        <is>
          <t>2009-04-16</t>
        </is>
      </c>
      <c r="X1061" t="inlineStr">
        <is>
          <t>2009-04-16</t>
        </is>
      </c>
      <c r="Y1061" t="n">
        <v>170</v>
      </c>
      <c r="Z1061" t="n">
        <v>105</v>
      </c>
      <c r="AA1061" t="n">
        <v>438</v>
      </c>
      <c r="AB1061" t="n">
        <v>1</v>
      </c>
      <c r="AC1061" t="n">
        <v>3</v>
      </c>
      <c r="AD1061" t="n">
        <v>7</v>
      </c>
      <c r="AE1061" t="n">
        <v>13</v>
      </c>
      <c r="AF1061" t="n">
        <v>2</v>
      </c>
      <c r="AG1061" t="n">
        <v>5</v>
      </c>
      <c r="AH1061" t="n">
        <v>2</v>
      </c>
      <c r="AI1061" t="n">
        <v>3</v>
      </c>
      <c r="AJ1061" t="n">
        <v>6</v>
      </c>
      <c r="AK1061" t="n">
        <v>8</v>
      </c>
      <c r="AL1061" t="n">
        <v>0</v>
      </c>
      <c r="AM1061" t="n">
        <v>2</v>
      </c>
      <c r="AN1061" t="n">
        <v>0</v>
      </c>
      <c r="AO1061" t="n">
        <v>0</v>
      </c>
      <c r="AP1061" t="inlineStr">
        <is>
          <t>No</t>
        </is>
      </c>
      <c r="AQ1061" t="inlineStr">
        <is>
          <t>Yes</t>
        </is>
      </c>
      <c r="AR1061">
        <f>HYPERLINK("http://catalog.hathitrust.org/Record/005668657","HathiTrust Record")</f>
        <v/>
      </c>
      <c r="AS1061">
        <f>HYPERLINK("https://creighton-primo.hosted.exlibrisgroup.com/primo-explore/search?tab=default_tab&amp;search_scope=EVERYTHING&amp;vid=01CRU&amp;lang=en_US&amp;offset=0&amp;query=any,contains,991005308099702656","Catalog Record")</f>
        <v/>
      </c>
      <c r="AT1061">
        <f>HYPERLINK("http://www.worldcat.org/oclc/183266522","WorldCat Record")</f>
        <v/>
      </c>
      <c r="AU1061" t="inlineStr">
        <is>
          <t>607282834:eng</t>
        </is>
      </c>
      <c r="AV1061" t="inlineStr">
        <is>
          <t>183266522</t>
        </is>
      </c>
      <c r="AW1061" t="inlineStr">
        <is>
          <t>991005308099702656</t>
        </is>
      </c>
      <c r="AX1061" t="inlineStr">
        <is>
          <t>991005308099702656</t>
        </is>
      </c>
      <c r="AY1061" t="inlineStr">
        <is>
          <t>2267334420002656</t>
        </is>
      </c>
      <c r="AZ1061" t="inlineStr">
        <is>
          <t>BOOK</t>
        </is>
      </c>
      <c r="BB1061" t="inlineStr">
        <is>
          <t>9789004165502</t>
        </is>
      </c>
      <c r="BC1061" t="inlineStr">
        <is>
          <t>32285005516090</t>
        </is>
      </c>
      <c r="BD1061" t="inlineStr">
        <is>
          <t>893320425</t>
        </is>
      </c>
    </row>
    <row r="1062">
      <c r="A1062" t="inlineStr">
        <is>
          <t>No</t>
        </is>
      </c>
      <c r="B1062" t="inlineStr">
        <is>
          <t>GT1860 .D4 1986b</t>
        </is>
      </c>
      <c r="C1062" t="inlineStr">
        <is>
          <t>0                      GT 1860000D  4           1986b</t>
        </is>
      </c>
      <c r="D1062" t="inlineStr">
        <is>
          <t>Working dress : a history of occupational clothing / Diana de Marly.</t>
        </is>
      </c>
      <c r="F1062" t="inlineStr">
        <is>
          <t>No</t>
        </is>
      </c>
      <c r="G1062" t="inlineStr">
        <is>
          <t>1</t>
        </is>
      </c>
      <c r="H1062" t="inlineStr">
        <is>
          <t>No</t>
        </is>
      </c>
      <c r="I1062" t="inlineStr">
        <is>
          <t>No</t>
        </is>
      </c>
      <c r="J1062" t="inlineStr">
        <is>
          <t>0</t>
        </is>
      </c>
      <c r="K1062" t="inlineStr">
        <is>
          <t>De Marly, Diana.</t>
        </is>
      </c>
      <c r="L1062" t="inlineStr">
        <is>
          <t>London : B.T. Batsford, 1986.</t>
        </is>
      </c>
      <c r="M1062" t="inlineStr">
        <is>
          <t>1986</t>
        </is>
      </c>
      <c r="O1062" t="inlineStr">
        <is>
          <t>eng</t>
        </is>
      </c>
      <c r="P1062" t="inlineStr">
        <is>
          <t>enk</t>
        </is>
      </c>
      <c r="R1062" t="inlineStr">
        <is>
          <t xml:space="preserve">GT </t>
        </is>
      </c>
      <c r="S1062" t="n">
        <v>10</v>
      </c>
      <c r="T1062" t="n">
        <v>10</v>
      </c>
      <c r="U1062" t="inlineStr">
        <is>
          <t>2001-09-24</t>
        </is>
      </c>
      <c r="V1062" t="inlineStr">
        <is>
          <t>2001-09-24</t>
        </is>
      </c>
      <c r="W1062" t="inlineStr">
        <is>
          <t>1990-02-27</t>
        </is>
      </c>
      <c r="X1062" t="inlineStr">
        <is>
          <t>1990-02-27</t>
        </is>
      </c>
      <c r="Y1062" t="n">
        <v>226</v>
      </c>
      <c r="Z1062" t="n">
        <v>65</v>
      </c>
      <c r="AA1062" t="n">
        <v>367</v>
      </c>
      <c r="AB1062" t="n">
        <v>1</v>
      </c>
      <c r="AC1062" t="n">
        <v>2</v>
      </c>
      <c r="AD1062" t="n">
        <v>1</v>
      </c>
      <c r="AE1062" t="n">
        <v>12</v>
      </c>
      <c r="AF1062" t="n">
        <v>0</v>
      </c>
      <c r="AG1062" t="n">
        <v>3</v>
      </c>
      <c r="AH1062" t="n">
        <v>0</v>
      </c>
      <c r="AI1062" t="n">
        <v>5</v>
      </c>
      <c r="AJ1062" t="n">
        <v>1</v>
      </c>
      <c r="AK1062" t="n">
        <v>5</v>
      </c>
      <c r="AL1062" t="n">
        <v>0</v>
      </c>
      <c r="AM1062" t="n">
        <v>1</v>
      </c>
      <c r="AN1062" t="n">
        <v>0</v>
      </c>
      <c r="AO1062" t="n">
        <v>0</v>
      </c>
      <c r="AP1062" t="inlineStr">
        <is>
          <t>No</t>
        </is>
      </c>
      <c r="AQ1062" t="inlineStr">
        <is>
          <t>Yes</t>
        </is>
      </c>
      <c r="AR1062">
        <f>HYPERLINK("http://catalog.hathitrust.org/Record/000815883","HathiTrust Record")</f>
        <v/>
      </c>
      <c r="AS1062">
        <f>HYPERLINK("https://creighton-primo.hosted.exlibrisgroup.com/primo-explore/search?tab=default_tab&amp;search_scope=EVERYTHING&amp;vid=01CRU&amp;lang=en_US&amp;offset=0&amp;query=any,contains,991000989769702656","Catalog Record")</f>
        <v/>
      </c>
      <c r="AT1062">
        <f>HYPERLINK("http://www.worldcat.org/oclc/15096831","WorldCat Record")</f>
        <v/>
      </c>
      <c r="AU1062" t="inlineStr">
        <is>
          <t>836703276:eng</t>
        </is>
      </c>
      <c r="AV1062" t="inlineStr">
        <is>
          <t>15096831</t>
        </is>
      </c>
      <c r="AW1062" t="inlineStr">
        <is>
          <t>991000989769702656</t>
        </is>
      </c>
      <c r="AX1062" t="inlineStr">
        <is>
          <t>991000989769702656</t>
        </is>
      </c>
      <c r="AY1062" t="inlineStr">
        <is>
          <t>2258742180002656</t>
        </is>
      </c>
      <c r="AZ1062" t="inlineStr">
        <is>
          <t>BOOK</t>
        </is>
      </c>
      <c r="BB1062" t="inlineStr">
        <is>
          <t>9780713450286</t>
        </is>
      </c>
      <c r="BC1062" t="inlineStr">
        <is>
          <t>32285000070945</t>
        </is>
      </c>
      <c r="BD1062" t="inlineStr">
        <is>
          <t>893237788</t>
        </is>
      </c>
    </row>
    <row r="1063">
      <c r="A1063" t="inlineStr">
        <is>
          <t>No</t>
        </is>
      </c>
      <c r="B1063" t="inlineStr">
        <is>
          <t>GT2050 .L4 1954</t>
        </is>
      </c>
      <c r="C1063" t="inlineStr">
        <is>
          <t>0                      GT 2050000L  4           1954</t>
        </is>
      </c>
      <c r="D1063" t="inlineStr">
        <is>
          <t>An illustrated history of those frills and furbelows of fashion which have come to be known as, accessories of dress / by Katherine Morris Lester and Bess Viola Oerke ; drawings by Helen Westermann.</t>
        </is>
      </c>
      <c r="F1063" t="inlineStr">
        <is>
          <t>No</t>
        </is>
      </c>
      <c r="G1063" t="inlineStr">
        <is>
          <t>1</t>
        </is>
      </c>
      <c r="H1063" t="inlineStr">
        <is>
          <t>No</t>
        </is>
      </c>
      <c r="I1063" t="inlineStr">
        <is>
          <t>No</t>
        </is>
      </c>
      <c r="J1063" t="inlineStr">
        <is>
          <t>0</t>
        </is>
      </c>
      <c r="K1063" t="inlineStr">
        <is>
          <t>Lester, Katherine Morris.</t>
        </is>
      </c>
      <c r="L1063" t="inlineStr">
        <is>
          <t>Peoria, Ill. : Chas. A. Bennett Co., [1954, c1940]</t>
        </is>
      </c>
      <c r="M1063" t="inlineStr">
        <is>
          <t>1954</t>
        </is>
      </c>
      <c r="O1063" t="inlineStr">
        <is>
          <t>eng</t>
        </is>
      </c>
      <c r="P1063" t="inlineStr">
        <is>
          <t>ilu</t>
        </is>
      </c>
      <c r="R1063" t="inlineStr">
        <is>
          <t xml:space="preserve">GT </t>
        </is>
      </c>
      <c r="S1063" t="n">
        <v>13</v>
      </c>
      <c r="T1063" t="n">
        <v>13</v>
      </c>
      <c r="U1063" t="inlineStr">
        <is>
          <t>2001-09-24</t>
        </is>
      </c>
      <c r="V1063" t="inlineStr">
        <is>
          <t>2001-09-24</t>
        </is>
      </c>
      <c r="W1063" t="inlineStr">
        <is>
          <t>1992-05-11</t>
        </is>
      </c>
      <c r="X1063" t="inlineStr">
        <is>
          <t>1992-05-11</t>
        </is>
      </c>
      <c r="Y1063" t="n">
        <v>228</v>
      </c>
      <c r="Z1063" t="n">
        <v>220</v>
      </c>
      <c r="AA1063" t="n">
        <v>735</v>
      </c>
      <c r="AB1063" t="n">
        <v>2</v>
      </c>
      <c r="AC1063" t="n">
        <v>9</v>
      </c>
      <c r="AD1063" t="n">
        <v>8</v>
      </c>
      <c r="AE1063" t="n">
        <v>21</v>
      </c>
      <c r="AF1063" t="n">
        <v>2</v>
      </c>
      <c r="AG1063" t="n">
        <v>7</v>
      </c>
      <c r="AH1063" t="n">
        <v>0</v>
      </c>
      <c r="AI1063" t="n">
        <v>3</v>
      </c>
      <c r="AJ1063" t="n">
        <v>5</v>
      </c>
      <c r="AK1063" t="n">
        <v>7</v>
      </c>
      <c r="AL1063" t="n">
        <v>1</v>
      </c>
      <c r="AM1063" t="n">
        <v>7</v>
      </c>
      <c r="AN1063" t="n">
        <v>0</v>
      </c>
      <c r="AO1063" t="n">
        <v>0</v>
      </c>
      <c r="AP1063" t="inlineStr">
        <is>
          <t>No</t>
        </is>
      </c>
      <c r="AQ1063" t="inlineStr">
        <is>
          <t>Yes</t>
        </is>
      </c>
      <c r="AR1063">
        <f>HYPERLINK("http://catalog.hathitrust.org/Record/006942626","HathiTrust Record")</f>
        <v/>
      </c>
      <c r="AS1063">
        <f>HYPERLINK("https://creighton-primo.hosted.exlibrisgroup.com/primo-explore/search?tab=default_tab&amp;search_scope=EVERYTHING&amp;vid=01CRU&amp;lang=en_US&amp;offset=0&amp;query=any,contains,991003752989702656","Catalog Record")</f>
        <v/>
      </c>
      <c r="AT1063">
        <f>HYPERLINK("http://www.worldcat.org/oclc/1431796","WorldCat Record")</f>
        <v/>
      </c>
      <c r="AU1063" t="inlineStr">
        <is>
          <t>1021240:eng</t>
        </is>
      </c>
      <c r="AV1063" t="inlineStr">
        <is>
          <t>1431796</t>
        </is>
      </c>
      <c r="AW1063" t="inlineStr">
        <is>
          <t>991003752989702656</t>
        </is>
      </c>
      <c r="AX1063" t="inlineStr">
        <is>
          <t>991003752989702656</t>
        </is>
      </c>
      <c r="AY1063" t="inlineStr">
        <is>
          <t>2256279590002656</t>
        </is>
      </c>
      <c r="AZ1063" t="inlineStr">
        <is>
          <t>BOOK</t>
        </is>
      </c>
      <c r="BC1063" t="inlineStr">
        <is>
          <t>32285001115285</t>
        </is>
      </c>
      <c r="BD1063" t="inlineStr">
        <is>
          <t>893330735</t>
        </is>
      </c>
    </row>
    <row r="1064">
      <c r="A1064" t="inlineStr">
        <is>
          <t>No</t>
        </is>
      </c>
      <c r="B1064" t="inlineStr">
        <is>
          <t>GT2075 .S54 1993</t>
        </is>
      </c>
      <c r="C1064" t="inlineStr">
        <is>
          <t>0                      GT 2075000S  54          1993</t>
        </is>
      </c>
      <c r="D1064" t="inlineStr">
        <is>
          <t>Corsets : a visual history / compiled by and notes by R.L. Shep.</t>
        </is>
      </c>
      <c r="F1064" t="inlineStr">
        <is>
          <t>No</t>
        </is>
      </c>
      <c r="G1064" t="inlineStr">
        <is>
          <t>1</t>
        </is>
      </c>
      <c r="H1064" t="inlineStr">
        <is>
          <t>No</t>
        </is>
      </c>
      <c r="I1064" t="inlineStr">
        <is>
          <t>No</t>
        </is>
      </c>
      <c r="J1064" t="inlineStr">
        <is>
          <t>0</t>
        </is>
      </c>
      <c r="K1064" t="inlineStr">
        <is>
          <t>Shep, R. L., 1933-</t>
        </is>
      </c>
      <c r="L1064" t="inlineStr">
        <is>
          <t>Mendocino. CA : R.L. Shep, c1993.</t>
        </is>
      </c>
      <c r="M1064" t="inlineStr">
        <is>
          <t>1993</t>
        </is>
      </c>
      <c r="O1064" t="inlineStr">
        <is>
          <t>eng</t>
        </is>
      </c>
      <c r="P1064" t="inlineStr">
        <is>
          <t>cau</t>
        </is>
      </c>
      <c r="R1064" t="inlineStr">
        <is>
          <t xml:space="preserve">GT </t>
        </is>
      </c>
      <c r="S1064" t="n">
        <v>15</v>
      </c>
      <c r="T1064" t="n">
        <v>15</v>
      </c>
      <c r="U1064" t="inlineStr">
        <is>
          <t>2000-04-05</t>
        </is>
      </c>
      <c r="V1064" t="inlineStr">
        <is>
          <t>2000-04-05</t>
        </is>
      </c>
      <c r="W1064" t="inlineStr">
        <is>
          <t>1996-05-09</t>
        </is>
      </c>
      <c r="X1064" t="inlineStr">
        <is>
          <t>1996-05-09</t>
        </is>
      </c>
      <c r="Y1064" t="n">
        <v>190</v>
      </c>
      <c r="Z1064" t="n">
        <v>156</v>
      </c>
      <c r="AA1064" t="n">
        <v>157</v>
      </c>
      <c r="AB1064" t="n">
        <v>2</v>
      </c>
      <c r="AC1064" t="n">
        <v>2</v>
      </c>
      <c r="AD1064" t="n">
        <v>9</v>
      </c>
      <c r="AE1064" t="n">
        <v>9</v>
      </c>
      <c r="AF1064" t="n">
        <v>5</v>
      </c>
      <c r="AG1064" t="n">
        <v>5</v>
      </c>
      <c r="AH1064" t="n">
        <v>2</v>
      </c>
      <c r="AI1064" t="n">
        <v>2</v>
      </c>
      <c r="AJ1064" t="n">
        <v>4</v>
      </c>
      <c r="AK1064" t="n">
        <v>4</v>
      </c>
      <c r="AL1064" t="n">
        <v>1</v>
      </c>
      <c r="AM1064" t="n">
        <v>1</v>
      </c>
      <c r="AN1064" t="n">
        <v>0</v>
      </c>
      <c r="AO1064" t="n">
        <v>0</v>
      </c>
      <c r="AP1064" t="inlineStr">
        <is>
          <t>No</t>
        </is>
      </c>
      <c r="AQ1064" t="inlineStr">
        <is>
          <t>Yes</t>
        </is>
      </c>
      <c r="AR1064">
        <f>HYPERLINK("http://catalog.hathitrust.org/Record/006944251","HathiTrust Record")</f>
        <v/>
      </c>
      <c r="AS1064">
        <f>HYPERLINK("https://creighton-primo.hosted.exlibrisgroup.com/primo-explore/search?tab=default_tab&amp;search_scope=EVERYTHING&amp;vid=01CRU&amp;lang=en_US&amp;offset=0&amp;query=any,contains,991002245139702656","Catalog Record")</f>
        <v/>
      </c>
      <c r="AT1064">
        <f>HYPERLINK("http://www.worldcat.org/oclc/28963641","WorldCat Record")</f>
        <v/>
      </c>
      <c r="AU1064" t="inlineStr">
        <is>
          <t>25034184:eng</t>
        </is>
      </c>
      <c r="AV1064" t="inlineStr">
        <is>
          <t>28963641</t>
        </is>
      </c>
      <c r="AW1064" t="inlineStr">
        <is>
          <t>991002245139702656</t>
        </is>
      </c>
      <c r="AX1064" t="inlineStr">
        <is>
          <t>991002245139702656</t>
        </is>
      </c>
      <c r="AY1064" t="inlineStr">
        <is>
          <t>2255080590002656</t>
        </is>
      </c>
      <c r="AZ1064" t="inlineStr">
        <is>
          <t>BOOK</t>
        </is>
      </c>
      <c r="BB1064" t="inlineStr">
        <is>
          <t>9780914046202</t>
        </is>
      </c>
      <c r="BC1064" t="inlineStr">
        <is>
          <t>32285002166105</t>
        </is>
      </c>
      <c r="BD1064" t="inlineStr">
        <is>
          <t>893609628</t>
        </is>
      </c>
    </row>
    <row r="1065">
      <c r="A1065" t="inlineStr">
        <is>
          <t>No</t>
        </is>
      </c>
      <c r="B1065" t="inlineStr">
        <is>
          <t>GT2075 .W3 1954a</t>
        </is>
      </c>
      <c r="C1065" t="inlineStr">
        <is>
          <t>0                      GT 2075000W  3           1954a</t>
        </is>
      </c>
      <c r="D1065" t="inlineStr">
        <is>
          <t>Corsets and crinolines / by Norah Waugh.</t>
        </is>
      </c>
      <c r="F1065" t="inlineStr">
        <is>
          <t>No</t>
        </is>
      </c>
      <c r="G1065" t="inlineStr">
        <is>
          <t>1</t>
        </is>
      </c>
      <c r="H1065" t="inlineStr">
        <is>
          <t>No</t>
        </is>
      </c>
      <c r="I1065" t="inlineStr">
        <is>
          <t>No</t>
        </is>
      </c>
      <c r="J1065" t="inlineStr">
        <is>
          <t>0</t>
        </is>
      </c>
      <c r="K1065" t="inlineStr">
        <is>
          <t>Waugh, Norah.</t>
        </is>
      </c>
      <c r="L1065" t="inlineStr">
        <is>
          <t>[New York] : Routledge/Theater Arts Books, c1954</t>
        </is>
      </c>
      <c r="M1065" t="inlineStr">
        <is>
          <t>1954</t>
        </is>
      </c>
      <c r="O1065" t="inlineStr">
        <is>
          <t>eng</t>
        </is>
      </c>
      <c r="P1065" t="inlineStr">
        <is>
          <t>nyu</t>
        </is>
      </c>
      <c r="R1065" t="inlineStr">
        <is>
          <t xml:space="preserve">GT </t>
        </is>
      </c>
      <c r="S1065" t="n">
        <v>2</v>
      </c>
      <c r="T1065" t="n">
        <v>2</v>
      </c>
      <c r="U1065" t="inlineStr">
        <is>
          <t>2001-02-05</t>
        </is>
      </c>
      <c r="V1065" t="inlineStr">
        <is>
          <t>2001-02-05</t>
        </is>
      </c>
      <c r="W1065" t="inlineStr">
        <is>
          <t>1996-05-14</t>
        </is>
      </c>
      <c r="X1065" t="inlineStr">
        <is>
          <t>1996-05-14</t>
        </is>
      </c>
      <c r="Y1065" t="n">
        <v>69</v>
      </c>
      <c r="Z1065" t="n">
        <v>54</v>
      </c>
      <c r="AA1065" t="n">
        <v>810</v>
      </c>
      <c r="AB1065" t="n">
        <v>2</v>
      </c>
      <c r="AC1065" t="n">
        <v>7</v>
      </c>
      <c r="AD1065" t="n">
        <v>3</v>
      </c>
      <c r="AE1065" t="n">
        <v>31</v>
      </c>
      <c r="AF1065" t="n">
        <v>0</v>
      </c>
      <c r="AG1065" t="n">
        <v>12</v>
      </c>
      <c r="AH1065" t="n">
        <v>1</v>
      </c>
      <c r="AI1065" t="n">
        <v>7</v>
      </c>
      <c r="AJ1065" t="n">
        <v>1</v>
      </c>
      <c r="AK1065" t="n">
        <v>12</v>
      </c>
      <c r="AL1065" t="n">
        <v>1</v>
      </c>
      <c r="AM1065" t="n">
        <v>6</v>
      </c>
      <c r="AN1065" t="n">
        <v>0</v>
      </c>
      <c r="AO1065" t="n">
        <v>0</v>
      </c>
      <c r="AP1065" t="inlineStr">
        <is>
          <t>No</t>
        </is>
      </c>
      <c r="AQ1065" t="inlineStr">
        <is>
          <t>Yes</t>
        </is>
      </c>
      <c r="AR1065">
        <f>HYPERLINK("http://catalog.hathitrust.org/Record/008312430","HathiTrust Record")</f>
        <v/>
      </c>
      <c r="AS1065">
        <f>HYPERLINK("https://creighton-primo.hosted.exlibrisgroup.com/primo-explore/search?tab=default_tab&amp;search_scope=EVERYTHING&amp;vid=01CRU&amp;lang=en_US&amp;offset=0&amp;query=any,contains,991003341659702656","Catalog Record")</f>
        <v/>
      </c>
      <c r="AT1065">
        <f>HYPERLINK("http://www.worldcat.org/oclc/873155","WorldCat Record")</f>
        <v/>
      </c>
      <c r="AU1065" t="inlineStr">
        <is>
          <t>583258:eng</t>
        </is>
      </c>
      <c r="AV1065" t="inlineStr">
        <is>
          <t>873155</t>
        </is>
      </c>
      <c r="AW1065" t="inlineStr">
        <is>
          <t>991003341659702656</t>
        </is>
      </c>
      <c r="AX1065" t="inlineStr">
        <is>
          <t>991003341659702656</t>
        </is>
      </c>
      <c r="AY1065" t="inlineStr">
        <is>
          <t>2261957800002656</t>
        </is>
      </c>
      <c r="AZ1065" t="inlineStr">
        <is>
          <t>BOOK</t>
        </is>
      </c>
      <c r="BC1065" t="inlineStr">
        <is>
          <t>32285002167517</t>
        </is>
      </c>
      <c r="BD1065" t="inlineStr">
        <is>
          <t>893887379</t>
        </is>
      </c>
    </row>
    <row r="1066">
      <c r="A1066" t="inlineStr">
        <is>
          <t>No</t>
        </is>
      </c>
      <c r="B1066" t="inlineStr">
        <is>
          <t>GT2112 .E43 1999</t>
        </is>
      </c>
      <c r="C1066" t="inlineStr">
        <is>
          <t>0                      GT 2112000E  43          1999</t>
        </is>
      </c>
      <c r="D1066" t="inlineStr">
        <is>
          <t>Veil : modesty, privacy and resistance / Fadwa El Guindi.</t>
        </is>
      </c>
      <c r="F1066" t="inlineStr">
        <is>
          <t>No</t>
        </is>
      </c>
      <c r="G1066" t="inlineStr">
        <is>
          <t>1</t>
        </is>
      </c>
      <c r="H1066" t="inlineStr">
        <is>
          <t>No</t>
        </is>
      </c>
      <c r="I1066" t="inlineStr">
        <is>
          <t>No</t>
        </is>
      </c>
      <c r="J1066" t="inlineStr">
        <is>
          <t>0</t>
        </is>
      </c>
      <c r="K1066" t="inlineStr">
        <is>
          <t>El Guindi, Fadwa.</t>
        </is>
      </c>
      <c r="L1066" t="inlineStr">
        <is>
          <t>Oxford, UK ; New York, NY : Berg, c1999.</t>
        </is>
      </c>
      <c r="M1066" t="inlineStr">
        <is>
          <t>1999</t>
        </is>
      </c>
      <c r="O1066" t="inlineStr">
        <is>
          <t>eng</t>
        </is>
      </c>
      <c r="P1066" t="inlineStr">
        <is>
          <t>enk</t>
        </is>
      </c>
      <c r="Q1066" t="inlineStr">
        <is>
          <t>Dress, body, culture, 1360-466X</t>
        </is>
      </c>
      <c r="R1066" t="inlineStr">
        <is>
          <t xml:space="preserve">GT </t>
        </is>
      </c>
      <c r="S1066" t="n">
        <v>5</v>
      </c>
      <c r="T1066" t="n">
        <v>5</v>
      </c>
      <c r="U1066" t="inlineStr">
        <is>
          <t>2006-10-16</t>
        </is>
      </c>
      <c r="V1066" t="inlineStr">
        <is>
          <t>2006-10-16</t>
        </is>
      </c>
      <c r="W1066" t="inlineStr">
        <is>
          <t>1999-11-02</t>
        </is>
      </c>
      <c r="X1066" t="inlineStr">
        <is>
          <t>1999-11-02</t>
        </is>
      </c>
      <c r="Y1066" t="n">
        <v>837</v>
      </c>
      <c r="Z1066" t="n">
        <v>637</v>
      </c>
      <c r="AA1066" t="n">
        <v>1239</v>
      </c>
      <c r="AB1066" t="n">
        <v>3</v>
      </c>
      <c r="AC1066" t="n">
        <v>29</v>
      </c>
      <c r="AD1066" t="n">
        <v>28</v>
      </c>
      <c r="AE1066" t="n">
        <v>48</v>
      </c>
      <c r="AF1066" t="n">
        <v>11</v>
      </c>
      <c r="AG1066" t="n">
        <v>16</v>
      </c>
      <c r="AH1066" t="n">
        <v>7</v>
      </c>
      <c r="AI1066" t="n">
        <v>9</v>
      </c>
      <c r="AJ1066" t="n">
        <v>12</v>
      </c>
      <c r="AK1066" t="n">
        <v>16</v>
      </c>
      <c r="AL1066" t="n">
        <v>2</v>
      </c>
      <c r="AM1066" t="n">
        <v>14</v>
      </c>
      <c r="AN1066" t="n">
        <v>1</v>
      </c>
      <c r="AO1066" t="n">
        <v>1</v>
      </c>
      <c r="AP1066" t="inlineStr">
        <is>
          <t>No</t>
        </is>
      </c>
      <c r="AQ1066" t="inlineStr">
        <is>
          <t>Yes</t>
        </is>
      </c>
      <c r="AR1066">
        <f>HYPERLINK("http://catalog.hathitrust.org/Record/004076612","HathiTrust Record")</f>
        <v/>
      </c>
      <c r="AS1066">
        <f>HYPERLINK("https://creighton-primo.hosted.exlibrisgroup.com/primo-explore/search?tab=default_tab&amp;search_scope=EVERYTHING&amp;vid=01CRU&amp;lang=en_US&amp;offset=0&amp;query=any,contains,991003045799702656","Catalog Record")</f>
        <v/>
      </c>
      <c r="AT1066">
        <f>HYPERLINK("http://www.worldcat.org/oclc/42540456","WorldCat Record")</f>
        <v/>
      </c>
      <c r="AU1066" t="inlineStr">
        <is>
          <t>793879999:eng</t>
        </is>
      </c>
      <c r="AV1066" t="inlineStr">
        <is>
          <t>42540456</t>
        </is>
      </c>
      <c r="AW1066" t="inlineStr">
        <is>
          <t>991003045799702656</t>
        </is>
      </c>
      <c r="AX1066" t="inlineStr">
        <is>
          <t>991003045799702656</t>
        </is>
      </c>
      <c r="AY1066" t="inlineStr">
        <is>
          <t>2257697230002656</t>
        </is>
      </c>
      <c r="AZ1066" t="inlineStr">
        <is>
          <t>BOOK</t>
        </is>
      </c>
      <c r="BB1066" t="inlineStr">
        <is>
          <t>9781859739242</t>
        </is>
      </c>
      <c r="BC1066" t="inlineStr">
        <is>
          <t>32285003617379</t>
        </is>
      </c>
      <c r="BD1066" t="inlineStr">
        <is>
          <t>893258026</t>
        </is>
      </c>
    </row>
    <row r="1067">
      <c r="A1067" t="inlineStr">
        <is>
          <t>No</t>
        </is>
      </c>
      <c r="B1067" t="inlineStr">
        <is>
          <t>GT2120 .C42 1994</t>
        </is>
      </c>
      <c r="C1067" t="inlineStr">
        <is>
          <t>0                      GT 2120000C  42          1994</t>
        </is>
      </c>
      <c r="D1067" t="inlineStr">
        <is>
          <t>The book of ties / François Chaille.</t>
        </is>
      </c>
      <c r="F1067" t="inlineStr">
        <is>
          <t>No</t>
        </is>
      </c>
      <c r="G1067" t="inlineStr">
        <is>
          <t>1</t>
        </is>
      </c>
      <c r="H1067" t="inlineStr">
        <is>
          <t>No</t>
        </is>
      </c>
      <c r="I1067" t="inlineStr">
        <is>
          <t>No</t>
        </is>
      </c>
      <c r="J1067" t="inlineStr">
        <is>
          <t>0</t>
        </is>
      </c>
      <c r="K1067" t="inlineStr">
        <is>
          <t>Chaille, François.</t>
        </is>
      </c>
      <c r="L1067" t="inlineStr">
        <is>
          <t>Paris ; New York : Flammarion, c1994.</t>
        </is>
      </c>
      <c r="M1067" t="inlineStr">
        <is>
          <t>1994</t>
        </is>
      </c>
      <c r="O1067" t="inlineStr">
        <is>
          <t>eng</t>
        </is>
      </c>
      <c r="P1067" t="inlineStr">
        <is>
          <t xml:space="preserve">fr </t>
        </is>
      </c>
      <c r="R1067" t="inlineStr">
        <is>
          <t xml:space="preserve">GT </t>
        </is>
      </c>
      <c r="S1067" t="n">
        <v>6</v>
      </c>
      <c r="T1067" t="n">
        <v>6</v>
      </c>
      <c r="U1067" t="inlineStr">
        <is>
          <t>2002-11-10</t>
        </is>
      </c>
      <c r="V1067" t="inlineStr">
        <is>
          <t>2002-11-10</t>
        </is>
      </c>
      <c r="W1067" t="inlineStr">
        <is>
          <t>1996-03-01</t>
        </is>
      </c>
      <c r="X1067" t="inlineStr">
        <is>
          <t>1996-03-01</t>
        </is>
      </c>
      <c r="Y1067" t="n">
        <v>213</v>
      </c>
      <c r="Z1067" t="n">
        <v>148</v>
      </c>
      <c r="AA1067" t="n">
        <v>148</v>
      </c>
      <c r="AB1067" t="n">
        <v>1</v>
      </c>
      <c r="AC1067" t="n">
        <v>1</v>
      </c>
      <c r="AD1067" t="n">
        <v>1</v>
      </c>
      <c r="AE1067" t="n">
        <v>1</v>
      </c>
      <c r="AF1067" t="n">
        <v>0</v>
      </c>
      <c r="AG1067" t="n">
        <v>0</v>
      </c>
      <c r="AH1067" t="n">
        <v>0</v>
      </c>
      <c r="AI1067" t="n">
        <v>0</v>
      </c>
      <c r="AJ1067" t="n">
        <v>1</v>
      </c>
      <c r="AK1067" t="n">
        <v>1</v>
      </c>
      <c r="AL1067" t="n">
        <v>0</v>
      </c>
      <c r="AM1067" t="n">
        <v>0</v>
      </c>
      <c r="AN1067" t="n">
        <v>0</v>
      </c>
      <c r="AO1067" t="n">
        <v>0</v>
      </c>
      <c r="AP1067" t="inlineStr">
        <is>
          <t>No</t>
        </is>
      </c>
      <c r="AQ1067" t="inlineStr">
        <is>
          <t>No</t>
        </is>
      </c>
      <c r="AS1067">
        <f>HYPERLINK("https://creighton-primo.hosted.exlibrisgroup.com/primo-explore/search?tab=default_tab&amp;search_scope=EVERYTHING&amp;vid=01CRU&amp;lang=en_US&amp;offset=0&amp;query=any,contains,991002428129702656","Catalog Record")</f>
        <v/>
      </c>
      <c r="AT1067">
        <f>HYPERLINK("http://www.worldcat.org/oclc/31640269","WorldCat Record")</f>
        <v/>
      </c>
      <c r="AU1067" t="inlineStr">
        <is>
          <t>34120114:eng</t>
        </is>
      </c>
      <c r="AV1067" t="inlineStr">
        <is>
          <t>31640269</t>
        </is>
      </c>
      <c r="AW1067" t="inlineStr">
        <is>
          <t>991002428129702656</t>
        </is>
      </c>
      <c r="AX1067" t="inlineStr">
        <is>
          <t>991002428129702656</t>
        </is>
      </c>
      <c r="AY1067" t="inlineStr">
        <is>
          <t>2266907150002656</t>
        </is>
      </c>
      <c r="AZ1067" t="inlineStr">
        <is>
          <t>BOOK</t>
        </is>
      </c>
      <c r="BB1067" t="inlineStr">
        <is>
          <t>9782080135681</t>
        </is>
      </c>
      <c r="BC1067" t="inlineStr">
        <is>
          <t>32285002139102</t>
        </is>
      </c>
      <c r="BD1067" t="inlineStr">
        <is>
          <t>893329063</t>
        </is>
      </c>
    </row>
    <row r="1068">
      <c r="A1068" t="inlineStr">
        <is>
          <t>No</t>
        </is>
      </c>
      <c r="B1068" t="inlineStr">
        <is>
          <t>GT2128 .F37 1992</t>
        </is>
      </c>
      <c r="C1068" t="inlineStr">
        <is>
          <t>0                      GT 2128000F  37          1992</t>
        </is>
      </c>
      <c r="D1068" t="inlineStr">
        <is>
          <t>Socks &amp; stockings / Jeremy Farrell.</t>
        </is>
      </c>
      <c r="F1068" t="inlineStr">
        <is>
          <t>No</t>
        </is>
      </c>
      <c r="G1068" t="inlineStr">
        <is>
          <t>1</t>
        </is>
      </c>
      <c r="H1068" t="inlineStr">
        <is>
          <t>No</t>
        </is>
      </c>
      <c r="I1068" t="inlineStr">
        <is>
          <t>No</t>
        </is>
      </c>
      <c r="J1068" t="inlineStr">
        <is>
          <t>0</t>
        </is>
      </c>
      <c r="K1068" t="inlineStr">
        <is>
          <t>Farrell, Jeremy.</t>
        </is>
      </c>
      <c r="L1068" t="inlineStr">
        <is>
          <t>London : Batsford, 1992.</t>
        </is>
      </c>
      <c r="M1068" t="inlineStr">
        <is>
          <t>1992</t>
        </is>
      </c>
      <c r="O1068" t="inlineStr">
        <is>
          <t>eng</t>
        </is>
      </c>
      <c r="P1068" t="inlineStr">
        <is>
          <t>enk</t>
        </is>
      </c>
      <c r="Q1068" t="inlineStr">
        <is>
          <t>The Costume accessories series</t>
        </is>
      </c>
      <c r="R1068" t="inlineStr">
        <is>
          <t xml:space="preserve">GT </t>
        </is>
      </c>
      <c r="S1068" t="n">
        <v>4</v>
      </c>
      <c r="T1068" t="n">
        <v>4</v>
      </c>
      <c r="U1068" t="inlineStr">
        <is>
          <t>1994-09-12</t>
        </is>
      </c>
      <c r="V1068" t="inlineStr">
        <is>
          <t>1994-09-12</t>
        </is>
      </c>
      <c r="W1068" t="inlineStr">
        <is>
          <t>1994-05-06</t>
        </is>
      </c>
      <c r="X1068" t="inlineStr">
        <is>
          <t>1994-05-06</t>
        </is>
      </c>
      <c r="Y1068" t="n">
        <v>330</v>
      </c>
      <c r="Z1068" t="n">
        <v>200</v>
      </c>
      <c r="AA1068" t="n">
        <v>207</v>
      </c>
      <c r="AB1068" t="n">
        <v>1</v>
      </c>
      <c r="AC1068" t="n">
        <v>1</v>
      </c>
      <c r="AD1068" t="n">
        <v>9</v>
      </c>
      <c r="AE1068" t="n">
        <v>9</v>
      </c>
      <c r="AF1068" t="n">
        <v>2</v>
      </c>
      <c r="AG1068" t="n">
        <v>2</v>
      </c>
      <c r="AH1068" t="n">
        <v>4</v>
      </c>
      <c r="AI1068" t="n">
        <v>4</v>
      </c>
      <c r="AJ1068" t="n">
        <v>5</v>
      </c>
      <c r="AK1068" t="n">
        <v>5</v>
      </c>
      <c r="AL1068" t="n">
        <v>0</v>
      </c>
      <c r="AM1068" t="n">
        <v>0</v>
      </c>
      <c r="AN1068" t="n">
        <v>0</v>
      </c>
      <c r="AO1068" t="n">
        <v>0</v>
      </c>
      <c r="AP1068" t="inlineStr">
        <is>
          <t>No</t>
        </is>
      </c>
      <c r="AQ1068" t="inlineStr">
        <is>
          <t>Yes</t>
        </is>
      </c>
      <c r="AR1068">
        <f>HYPERLINK("http://catalog.hathitrust.org/Record/002614187","HathiTrust Record")</f>
        <v/>
      </c>
      <c r="AS1068">
        <f>HYPERLINK("https://creighton-primo.hosted.exlibrisgroup.com/primo-explore/search?tab=default_tab&amp;search_scope=EVERYTHING&amp;vid=01CRU&amp;lang=en_US&amp;offset=0&amp;query=any,contains,991002149569702656","Catalog Record")</f>
        <v/>
      </c>
      <c r="AT1068">
        <f>HYPERLINK("http://www.worldcat.org/oclc/27686317","WorldCat Record")</f>
        <v/>
      </c>
      <c r="AU1068" t="inlineStr">
        <is>
          <t>348599:eng</t>
        </is>
      </c>
      <c r="AV1068" t="inlineStr">
        <is>
          <t>27686317</t>
        </is>
      </c>
      <c r="AW1068" t="inlineStr">
        <is>
          <t>991002149569702656</t>
        </is>
      </c>
      <c r="AX1068" t="inlineStr">
        <is>
          <t>991002149569702656</t>
        </is>
      </c>
      <c r="AY1068" t="inlineStr">
        <is>
          <t>2257480330002656</t>
        </is>
      </c>
      <c r="AZ1068" t="inlineStr">
        <is>
          <t>BOOK</t>
        </is>
      </c>
      <c r="BB1068" t="inlineStr">
        <is>
          <t>9780713466652</t>
        </is>
      </c>
      <c r="BC1068" t="inlineStr">
        <is>
          <t>32285001878627</t>
        </is>
      </c>
      <c r="BD1068" t="inlineStr">
        <is>
          <t>893685018</t>
        </is>
      </c>
    </row>
    <row r="1069">
      <c r="A1069" t="inlineStr">
        <is>
          <t>No</t>
        </is>
      </c>
      <c r="B1069" t="inlineStr">
        <is>
          <t>GT2130 .F55 2001</t>
        </is>
      </c>
      <c r="C1069" t="inlineStr">
        <is>
          <t>0                      GT 2130000F  55          2001</t>
        </is>
      </c>
      <c r="D1069" t="inlineStr">
        <is>
          <t>Footnotes : on shoes / edited by Shari Benstock and Suzanne Ferriss.</t>
        </is>
      </c>
      <c r="F1069" t="inlineStr">
        <is>
          <t>No</t>
        </is>
      </c>
      <c r="G1069" t="inlineStr">
        <is>
          <t>1</t>
        </is>
      </c>
      <c r="H1069" t="inlineStr">
        <is>
          <t>No</t>
        </is>
      </c>
      <c r="I1069" t="inlineStr">
        <is>
          <t>No</t>
        </is>
      </c>
      <c r="J1069" t="inlineStr">
        <is>
          <t>0</t>
        </is>
      </c>
      <c r="L1069" t="inlineStr">
        <is>
          <t>New Brunswick, N.J. : Rutgers University Press, c2001.</t>
        </is>
      </c>
      <c r="M1069" t="inlineStr">
        <is>
          <t>2001</t>
        </is>
      </c>
      <c r="O1069" t="inlineStr">
        <is>
          <t>eng</t>
        </is>
      </c>
      <c r="P1069" t="inlineStr">
        <is>
          <t>nju</t>
        </is>
      </c>
      <c r="R1069" t="inlineStr">
        <is>
          <t xml:space="preserve">GT </t>
        </is>
      </c>
      <c r="S1069" t="n">
        <v>5</v>
      </c>
      <c r="T1069" t="n">
        <v>5</v>
      </c>
      <c r="U1069" t="inlineStr">
        <is>
          <t>2007-02-13</t>
        </is>
      </c>
      <c r="V1069" t="inlineStr">
        <is>
          <t>2007-02-13</t>
        </is>
      </c>
      <c r="W1069" t="inlineStr">
        <is>
          <t>2002-04-01</t>
        </is>
      </c>
      <c r="X1069" t="inlineStr">
        <is>
          <t>2002-04-01</t>
        </is>
      </c>
      <c r="Y1069" t="n">
        <v>422</v>
      </c>
      <c r="Z1069" t="n">
        <v>346</v>
      </c>
      <c r="AA1069" t="n">
        <v>351</v>
      </c>
      <c r="AB1069" t="n">
        <v>5</v>
      </c>
      <c r="AC1069" t="n">
        <v>5</v>
      </c>
      <c r="AD1069" t="n">
        <v>20</v>
      </c>
      <c r="AE1069" t="n">
        <v>20</v>
      </c>
      <c r="AF1069" t="n">
        <v>7</v>
      </c>
      <c r="AG1069" t="n">
        <v>7</v>
      </c>
      <c r="AH1069" t="n">
        <v>7</v>
      </c>
      <c r="AI1069" t="n">
        <v>7</v>
      </c>
      <c r="AJ1069" t="n">
        <v>8</v>
      </c>
      <c r="AK1069" t="n">
        <v>8</v>
      </c>
      <c r="AL1069" t="n">
        <v>4</v>
      </c>
      <c r="AM1069" t="n">
        <v>4</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HYPERLINK("https://creighton-primo.hosted.exlibrisgroup.com/primo-explore/search?tab=default_tab&amp;search_scope=EVERYTHING&amp;vid=01CRU&amp;lang=en_US&amp;offset=0&amp;query=any,contains,991003750899702656","Catalog Record")</f>
        <v/>
      </c>
      <c r="AT1069">
        <f>HYPERLINK("http://www.worldcat.org/oclc/44026380","WorldCat Record")</f>
        <v/>
      </c>
      <c r="AU1069" t="inlineStr">
        <is>
          <t>351515751:eng</t>
        </is>
      </c>
      <c r="AV1069" t="inlineStr">
        <is>
          <t>44026380</t>
        </is>
      </c>
      <c r="AW1069" t="inlineStr">
        <is>
          <t>991003750899702656</t>
        </is>
      </c>
      <c r="AX1069" t="inlineStr">
        <is>
          <t>991003750899702656</t>
        </is>
      </c>
      <c r="AY1069" t="inlineStr">
        <is>
          <t>2266979880002656</t>
        </is>
      </c>
      <c r="AZ1069" t="inlineStr">
        <is>
          <t>BOOK</t>
        </is>
      </c>
      <c r="BB1069" t="inlineStr">
        <is>
          <t>9780813528700</t>
        </is>
      </c>
      <c r="BC1069" t="inlineStr">
        <is>
          <t>32285004476205</t>
        </is>
      </c>
      <c r="BD1069" t="inlineStr">
        <is>
          <t>893525173</t>
        </is>
      </c>
    </row>
    <row r="1070">
      <c r="A1070" t="inlineStr">
        <is>
          <t>No</t>
        </is>
      </c>
      <c r="B1070" t="inlineStr">
        <is>
          <t>GT2130 .W55 2008</t>
        </is>
      </c>
      <c r="C1070" t="inlineStr">
        <is>
          <t>0                      GT 2130000W  55          2008</t>
        </is>
      </c>
      <c r="D1070" t="inlineStr">
        <is>
          <t>The mode in footwear : a historical survey with 53 plates / R. Turner Wilcox.</t>
        </is>
      </c>
      <c r="F1070" t="inlineStr">
        <is>
          <t>No</t>
        </is>
      </c>
      <c r="G1070" t="inlineStr">
        <is>
          <t>1</t>
        </is>
      </c>
      <c r="H1070" t="inlineStr">
        <is>
          <t>No</t>
        </is>
      </c>
      <c r="I1070" t="inlineStr">
        <is>
          <t>No</t>
        </is>
      </c>
      <c r="J1070" t="inlineStr">
        <is>
          <t>0</t>
        </is>
      </c>
      <c r="K1070" t="inlineStr">
        <is>
          <t>Wilcox, R. Turner (Ruth Turner), 1888-1970.</t>
        </is>
      </c>
      <c r="L1070" t="inlineStr">
        <is>
          <t>Mineola, N.Y. : Dover Publications, 2008.</t>
        </is>
      </c>
      <c r="M1070" t="inlineStr">
        <is>
          <t>2008</t>
        </is>
      </c>
      <c r="N1070" t="inlineStr">
        <is>
          <t>Dover ed.</t>
        </is>
      </c>
      <c r="O1070" t="inlineStr">
        <is>
          <t>eng</t>
        </is>
      </c>
      <c r="P1070" t="inlineStr">
        <is>
          <t>nyu</t>
        </is>
      </c>
      <c r="Q1070" t="inlineStr">
        <is>
          <t>Dover books on fashion</t>
        </is>
      </c>
      <c r="R1070" t="inlineStr">
        <is>
          <t xml:space="preserve">GT </t>
        </is>
      </c>
      <c r="S1070" t="n">
        <v>1</v>
      </c>
      <c r="T1070" t="n">
        <v>1</v>
      </c>
      <c r="U1070" t="inlineStr">
        <is>
          <t>2009-07-16</t>
        </is>
      </c>
      <c r="V1070" t="inlineStr">
        <is>
          <t>2009-07-16</t>
        </is>
      </c>
      <c r="W1070" t="inlineStr">
        <is>
          <t>2009-07-16</t>
        </is>
      </c>
      <c r="X1070" t="inlineStr">
        <is>
          <t>2009-07-16</t>
        </is>
      </c>
      <c r="Y1070" t="n">
        <v>95</v>
      </c>
      <c r="Z1070" t="n">
        <v>68</v>
      </c>
      <c r="AA1070" t="n">
        <v>548</v>
      </c>
      <c r="AB1070" t="n">
        <v>2</v>
      </c>
      <c r="AC1070" t="n">
        <v>7</v>
      </c>
      <c r="AD1070" t="n">
        <v>3</v>
      </c>
      <c r="AE1070" t="n">
        <v>20</v>
      </c>
      <c r="AF1070" t="n">
        <v>1</v>
      </c>
      <c r="AG1070" t="n">
        <v>9</v>
      </c>
      <c r="AH1070" t="n">
        <v>1</v>
      </c>
      <c r="AI1070" t="n">
        <v>3</v>
      </c>
      <c r="AJ1070" t="n">
        <v>2</v>
      </c>
      <c r="AK1070" t="n">
        <v>6</v>
      </c>
      <c r="AL1070" t="n">
        <v>1</v>
      </c>
      <c r="AM1070" t="n">
        <v>5</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HYPERLINK("https://creighton-primo.hosted.exlibrisgroup.com/primo-explore/search?tab=default_tab&amp;search_scope=EVERYTHING&amp;vid=01CRU&amp;lang=en_US&amp;offset=0&amp;query=any,contains,991005326209702656","Catalog Record")</f>
        <v/>
      </c>
      <c r="AT1070">
        <f>HYPERLINK("http://www.worldcat.org/oclc/229021215","WorldCat Record")</f>
        <v/>
      </c>
      <c r="AU1070" t="inlineStr">
        <is>
          <t>355030031:eng</t>
        </is>
      </c>
      <c r="AV1070" t="inlineStr">
        <is>
          <t>229021215</t>
        </is>
      </c>
      <c r="AW1070" t="inlineStr">
        <is>
          <t>991005326209702656</t>
        </is>
      </c>
      <c r="AX1070" t="inlineStr">
        <is>
          <t>991005326209702656</t>
        </is>
      </c>
      <c r="AY1070" t="inlineStr">
        <is>
          <t>2267854470002656</t>
        </is>
      </c>
      <c r="AZ1070" t="inlineStr">
        <is>
          <t>BOOK</t>
        </is>
      </c>
      <c r="BB1070" t="inlineStr">
        <is>
          <t>9780486467610</t>
        </is>
      </c>
      <c r="BC1070" t="inlineStr">
        <is>
          <t>32285005538011</t>
        </is>
      </c>
      <c r="BD1070" t="inlineStr">
        <is>
          <t>893783401</t>
        </is>
      </c>
    </row>
    <row r="1071">
      <c r="A1071" t="inlineStr">
        <is>
          <t>No</t>
        </is>
      </c>
      <c r="B1071" t="inlineStr">
        <is>
          <t>GT2290 .H25 2008</t>
        </is>
      </c>
      <c r="C1071" t="inlineStr">
        <is>
          <t>0                      GT 2290000H  25          2008</t>
        </is>
      </c>
      <c r="D1071" t="inlineStr">
        <is>
          <t>Hair : styling, culture and fashion / Geraldine Biddle-Perry and Sarah Cheang.</t>
        </is>
      </c>
      <c r="F1071" t="inlineStr">
        <is>
          <t>No</t>
        </is>
      </c>
      <c r="G1071" t="inlineStr">
        <is>
          <t>1</t>
        </is>
      </c>
      <c r="H1071" t="inlineStr">
        <is>
          <t>No</t>
        </is>
      </c>
      <c r="I1071" t="inlineStr">
        <is>
          <t>No</t>
        </is>
      </c>
      <c r="J1071" t="inlineStr">
        <is>
          <t>0</t>
        </is>
      </c>
      <c r="L1071" t="inlineStr">
        <is>
          <t>Oxford ; New York : Berg, 2008.</t>
        </is>
      </c>
      <c r="M1071" t="inlineStr">
        <is>
          <t>2008</t>
        </is>
      </c>
      <c r="N1071" t="inlineStr">
        <is>
          <t>English ed.</t>
        </is>
      </c>
      <c r="O1071" t="inlineStr">
        <is>
          <t>eng</t>
        </is>
      </c>
      <c r="P1071" t="inlineStr">
        <is>
          <t>enk</t>
        </is>
      </c>
      <c r="R1071" t="inlineStr">
        <is>
          <t xml:space="preserve">GT </t>
        </is>
      </c>
      <c r="S1071" t="n">
        <v>2</v>
      </c>
      <c r="T1071" t="n">
        <v>2</v>
      </c>
      <c r="U1071" t="inlineStr">
        <is>
          <t>2010-04-05</t>
        </is>
      </c>
      <c r="V1071" t="inlineStr">
        <is>
          <t>2010-04-05</t>
        </is>
      </c>
      <c r="W1071" t="inlineStr">
        <is>
          <t>2010-04-05</t>
        </is>
      </c>
      <c r="X1071" t="inlineStr">
        <is>
          <t>2010-04-05</t>
        </is>
      </c>
      <c r="Y1071" t="n">
        <v>460</v>
      </c>
      <c r="Z1071" t="n">
        <v>365</v>
      </c>
      <c r="AA1071" t="n">
        <v>389</v>
      </c>
      <c r="AB1071" t="n">
        <v>3</v>
      </c>
      <c r="AC1071" t="n">
        <v>3</v>
      </c>
      <c r="AD1071" t="n">
        <v>16</v>
      </c>
      <c r="AE1071" t="n">
        <v>16</v>
      </c>
      <c r="AF1071" t="n">
        <v>6</v>
      </c>
      <c r="AG1071" t="n">
        <v>6</v>
      </c>
      <c r="AH1071" t="n">
        <v>3</v>
      </c>
      <c r="AI1071" t="n">
        <v>3</v>
      </c>
      <c r="AJ1071" t="n">
        <v>9</v>
      </c>
      <c r="AK1071" t="n">
        <v>9</v>
      </c>
      <c r="AL1071" t="n">
        <v>2</v>
      </c>
      <c r="AM1071" t="n">
        <v>2</v>
      </c>
      <c r="AN1071" t="n">
        <v>0</v>
      </c>
      <c r="AO1071" t="n">
        <v>0</v>
      </c>
      <c r="AP1071" t="inlineStr">
        <is>
          <t>No</t>
        </is>
      </c>
      <c r="AQ1071" t="inlineStr">
        <is>
          <t>Yes</t>
        </is>
      </c>
      <c r="AR1071">
        <f>HYPERLINK("http://catalog.hathitrust.org/Record/005927149","HathiTrust Record")</f>
        <v/>
      </c>
      <c r="AS1071">
        <f>HYPERLINK("https://creighton-primo.hosted.exlibrisgroup.com/primo-explore/search?tab=default_tab&amp;search_scope=EVERYTHING&amp;vid=01CRU&amp;lang=en_US&amp;offset=0&amp;query=any,contains,991005375779702656","Catalog Record")</f>
        <v/>
      </c>
      <c r="AT1071">
        <f>HYPERLINK("http://www.worldcat.org/oclc/232131140","WorldCat Record")</f>
        <v/>
      </c>
      <c r="AU1071" t="inlineStr">
        <is>
          <t>836964944:eng</t>
        </is>
      </c>
      <c r="AV1071" t="inlineStr">
        <is>
          <t>232131140</t>
        </is>
      </c>
      <c r="AW1071" t="inlineStr">
        <is>
          <t>991005375779702656</t>
        </is>
      </c>
      <c r="AX1071" t="inlineStr">
        <is>
          <t>991005375779702656</t>
        </is>
      </c>
      <c r="AY1071" t="inlineStr">
        <is>
          <t>2267704770002656</t>
        </is>
      </c>
      <c r="AZ1071" t="inlineStr">
        <is>
          <t>BOOK</t>
        </is>
      </c>
      <c r="BB1071" t="inlineStr">
        <is>
          <t>9781845207915</t>
        </is>
      </c>
      <c r="BC1071" t="inlineStr">
        <is>
          <t>32285005561476</t>
        </is>
      </c>
      <c r="BD1071" t="inlineStr">
        <is>
          <t>893871090</t>
        </is>
      </c>
    </row>
    <row r="1072">
      <c r="A1072" t="inlineStr">
        <is>
          <t>No</t>
        </is>
      </c>
      <c r="B1072" t="inlineStr">
        <is>
          <t>GT2465.G7 M35 1984</t>
        </is>
      </c>
      <c r="C1072" t="inlineStr">
        <is>
          <t>0                      GT 2465000G  7                  M  35          1984</t>
        </is>
      </c>
      <c r="D1072" t="inlineStr">
        <is>
          <t>Reproductive rituals : the perception of fertility in England from the sixteenth century to the nineteenth century / Angus McLaren.</t>
        </is>
      </c>
      <c r="F1072" t="inlineStr">
        <is>
          <t>No</t>
        </is>
      </c>
      <c r="G1072" t="inlineStr">
        <is>
          <t>1</t>
        </is>
      </c>
      <c r="H1072" t="inlineStr">
        <is>
          <t>No</t>
        </is>
      </c>
      <c r="I1072" t="inlineStr">
        <is>
          <t>No</t>
        </is>
      </c>
      <c r="J1072" t="inlineStr">
        <is>
          <t>0</t>
        </is>
      </c>
      <c r="K1072" t="inlineStr">
        <is>
          <t>McLaren, Angus.</t>
        </is>
      </c>
      <c r="L1072" t="inlineStr">
        <is>
          <t>London ; New York, NY : Methuen, 1984.</t>
        </is>
      </c>
      <c r="M1072" t="inlineStr">
        <is>
          <t>1984</t>
        </is>
      </c>
      <c r="O1072" t="inlineStr">
        <is>
          <t>eng</t>
        </is>
      </c>
      <c r="P1072" t="inlineStr">
        <is>
          <t>enk</t>
        </is>
      </c>
      <c r="R1072" t="inlineStr">
        <is>
          <t xml:space="preserve">GT </t>
        </is>
      </c>
      <c r="S1072" t="n">
        <v>7</v>
      </c>
      <c r="T1072" t="n">
        <v>7</v>
      </c>
      <c r="U1072" t="inlineStr">
        <is>
          <t>1995-03-24</t>
        </is>
      </c>
      <c r="V1072" t="inlineStr">
        <is>
          <t>1995-03-24</t>
        </is>
      </c>
      <c r="W1072" t="inlineStr">
        <is>
          <t>1990-10-02</t>
        </is>
      </c>
      <c r="X1072" t="inlineStr">
        <is>
          <t>1990-10-02</t>
        </is>
      </c>
      <c r="Y1072" t="n">
        <v>605</v>
      </c>
      <c r="Z1072" t="n">
        <v>478</v>
      </c>
      <c r="AA1072" t="n">
        <v>504</v>
      </c>
      <c r="AB1072" t="n">
        <v>5</v>
      </c>
      <c r="AC1072" t="n">
        <v>5</v>
      </c>
      <c r="AD1072" t="n">
        <v>25</v>
      </c>
      <c r="AE1072" t="n">
        <v>27</v>
      </c>
      <c r="AF1072" t="n">
        <v>8</v>
      </c>
      <c r="AG1072" t="n">
        <v>9</v>
      </c>
      <c r="AH1072" t="n">
        <v>6</v>
      </c>
      <c r="AI1072" t="n">
        <v>7</v>
      </c>
      <c r="AJ1072" t="n">
        <v>13</v>
      </c>
      <c r="AK1072" t="n">
        <v>15</v>
      </c>
      <c r="AL1072" t="n">
        <v>4</v>
      </c>
      <c r="AM1072" t="n">
        <v>4</v>
      </c>
      <c r="AN1072" t="n">
        <v>0</v>
      </c>
      <c r="AO1072" t="n">
        <v>0</v>
      </c>
      <c r="AP1072" t="inlineStr">
        <is>
          <t>No</t>
        </is>
      </c>
      <c r="AQ1072" t="inlineStr">
        <is>
          <t>Yes</t>
        </is>
      </c>
      <c r="AR1072">
        <f>HYPERLINK("http://catalog.hathitrust.org/Record/000363278","HathiTrust Record")</f>
        <v/>
      </c>
      <c r="AS1072">
        <f>HYPERLINK("https://creighton-primo.hosted.exlibrisgroup.com/primo-explore/search?tab=default_tab&amp;search_scope=EVERYTHING&amp;vid=01CRU&amp;lang=en_US&amp;offset=0&amp;query=any,contains,991000455729702656","Catalog Record")</f>
        <v/>
      </c>
      <c r="AT1072">
        <f>HYPERLINK("http://www.worldcat.org/oclc/10913734","WorldCat Record")</f>
        <v/>
      </c>
      <c r="AU1072" t="inlineStr">
        <is>
          <t>815116115:eng</t>
        </is>
      </c>
      <c r="AV1072" t="inlineStr">
        <is>
          <t>10913734</t>
        </is>
      </c>
      <c r="AW1072" t="inlineStr">
        <is>
          <t>991000455729702656</t>
        </is>
      </c>
      <c r="AX1072" t="inlineStr">
        <is>
          <t>991000455729702656</t>
        </is>
      </c>
      <c r="AY1072" t="inlineStr">
        <is>
          <t>2258609500002656</t>
        </is>
      </c>
      <c r="AZ1072" t="inlineStr">
        <is>
          <t>BOOK</t>
        </is>
      </c>
      <c r="BB1072" t="inlineStr">
        <is>
          <t>9780416374605</t>
        </is>
      </c>
      <c r="BC1072" t="inlineStr">
        <is>
          <t>32285000318617</t>
        </is>
      </c>
      <c r="BD1072" t="inlineStr">
        <is>
          <t>893314937</t>
        </is>
      </c>
    </row>
    <row r="1073">
      <c r="A1073" t="inlineStr">
        <is>
          <t>No</t>
        </is>
      </c>
      <c r="B1073" t="inlineStr">
        <is>
          <t>GT2470 .B7913 1974</t>
        </is>
      </c>
      <c r="C1073" t="inlineStr">
        <is>
          <t>0                      GT 2470000B  7913        1974</t>
        </is>
      </c>
      <c r="D1073" t="inlineStr">
        <is>
          <t>Circumcision in man and woman : its history, psychology, and ethnology / Translated by David Berger. New York, American Ethnological Press, 1934.</t>
        </is>
      </c>
      <c r="F1073" t="inlineStr">
        <is>
          <t>No</t>
        </is>
      </c>
      <c r="G1073" t="inlineStr">
        <is>
          <t>1</t>
        </is>
      </c>
      <c r="H1073" t="inlineStr">
        <is>
          <t>No</t>
        </is>
      </c>
      <c r="I1073" t="inlineStr">
        <is>
          <t>No</t>
        </is>
      </c>
      <c r="J1073" t="inlineStr">
        <is>
          <t>0</t>
        </is>
      </c>
      <c r="K1073" t="inlineStr">
        <is>
          <t>Bryk, Felix, 1882-1957.</t>
        </is>
      </c>
      <c r="L1073" t="inlineStr">
        <is>
          <t>[New York : AMS Press, 1974]</t>
        </is>
      </c>
      <c r="M1073" t="inlineStr">
        <is>
          <t>1974</t>
        </is>
      </c>
      <c r="O1073" t="inlineStr">
        <is>
          <t>eng</t>
        </is>
      </c>
      <c r="P1073" t="inlineStr">
        <is>
          <t>nyu</t>
        </is>
      </c>
      <c r="R1073" t="inlineStr">
        <is>
          <t xml:space="preserve">GT </t>
        </is>
      </c>
      <c r="S1073" t="n">
        <v>10</v>
      </c>
      <c r="T1073" t="n">
        <v>10</v>
      </c>
      <c r="U1073" t="inlineStr">
        <is>
          <t>2003-04-06</t>
        </is>
      </c>
      <c r="V1073" t="inlineStr">
        <is>
          <t>2003-04-06</t>
        </is>
      </c>
      <c r="W1073" t="inlineStr">
        <is>
          <t>1992-04-11</t>
        </is>
      </c>
      <c r="X1073" t="inlineStr">
        <is>
          <t>1992-04-11</t>
        </is>
      </c>
      <c r="Y1073" t="n">
        <v>96</v>
      </c>
      <c r="Z1073" t="n">
        <v>78</v>
      </c>
      <c r="AA1073" t="n">
        <v>130</v>
      </c>
      <c r="AB1073" t="n">
        <v>1</v>
      </c>
      <c r="AC1073" t="n">
        <v>1</v>
      </c>
      <c r="AD1073" t="n">
        <v>0</v>
      </c>
      <c r="AE1073" t="n">
        <v>0</v>
      </c>
      <c r="AF1073" t="n">
        <v>0</v>
      </c>
      <c r="AG1073" t="n">
        <v>0</v>
      </c>
      <c r="AH1073" t="n">
        <v>0</v>
      </c>
      <c r="AI1073" t="n">
        <v>0</v>
      </c>
      <c r="AJ1073" t="n">
        <v>0</v>
      </c>
      <c r="AK1073" t="n">
        <v>0</v>
      </c>
      <c r="AL1073" t="n">
        <v>0</v>
      </c>
      <c r="AM1073" t="n">
        <v>0</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HYPERLINK("https://creighton-primo.hosted.exlibrisgroup.com/primo-explore/search?tab=default_tab&amp;search_scope=EVERYTHING&amp;vid=01CRU&amp;lang=en_US&amp;offset=0&amp;query=any,contains,991003484329702656","Catalog Record")</f>
        <v/>
      </c>
      <c r="AT1073">
        <f>HYPERLINK("http://www.worldcat.org/oclc/1032033","WorldCat Record")</f>
        <v/>
      </c>
      <c r="AU1073" t="inlineStr">
        <is>
          <t>7145779:eng</t>
        </is>
      </c>
      <c r="AV1073" t="inlineStr">
        <is>
          <t>1032033</t>
        </is>
      </c>
      <c r="AW1073" t="inlineStr">
        <is>
          <t>991003484329702656</t>
        </is>
      </c>
      <c r="AX1073" t="inlineStr">
        <is>
          <t>991003484329702656</t>
        </is>
      </c>
      <c r="AY1073" t="inlineStr">
        <is>
          <t>2268111130002656</t>
        </is>
      </c>
      <c r="AZ1073" t="inlineStr">
        <is>
          <t>BOOK</t>
        </is>
      </c>
      <c r="BB1073" t="inlineStr">
        <is>
          <t>9780404574208</t>
        </is>
      </c>
      <c r="BC1073" t="inlineStr">
        <is>
          <t>32285001057743</t>
        </is>
      </c>
      <c r="BD1073" t="inlineStr">
        <is>
          <t>893604839</t>
        </is>
      </c>
    </row>
    <row r="1074">
      <c r="A1074" t="inlineStr">
        <is>
          <t>No</t>
        </is>
      </c>
      <c r="B1074" t="inlineStr">
        <is>
          <t>GT2470 .R44 1974</t>
        </is>
      </c>
      <c r="C1074" t="inlineStr">
        <is>
          <t>0                      GT 2470000R  44          1974</t>
        </is>
      </c>
      <c r="D1074" t="inlineStr">
        <is>
          <t>History of circumcision, from the earliest times to the present : moral and physical reasons for its performance, with a history of eunuchism, hermaphrodism, etc., and of the different operations practiced upon the prepuce / by P. C. Remondino.</t>
        </is>
      </c>
      <c r="F1074" t="inlineStr">
        <is>
          <t>No</t>
        </is>
      </c>
      <c r="G1074" t="inlineStr">
        <is>
          <t>1</t>
        </is>
      </c>
      <c r="H1074" t="inlineStr">
        <is>
          <t>No</t>
        </is>
      </c>
      <c r="I1074" t="inlineStr">
        <is>
          <t>No</t>
        </is>
      </c>
      <c r="J1074" t="inlineStr">
        <is>
          <t>0</t>
        </is>
      </c>
      <c r="K1074" t="inlineStr">
        <is>
          <t>Remondino, P. C. (Peter Charles), 1846-1926.</t>
        </is>
      </c>
      <c r="L1074" t="inlineStr">
        <is>
          <t>New York : AMS Press, 1974.</t>
        </is>
      </c>
      <c r="M1074" t="inlineStr">
        <is>
          <t>1974</t>
        </is>
      </c>
      <c r="O1074" t="inlineStr">
        <is>
          <t>eng</t>
        </is>
      </c>
      <c r="P1074" t="inlineStr">
        <is>
          <t>nyu</t>
        </is>
      </c>
      <c r="R1074" t="inlineStr">
        <is>
          <t xml:space="preserve">GT </t>
        </is>
      </c>
      <c r="S1074" t="n">
        <v>12</v>
      </c>
      <c r="T1074" t="n">
        <v>12</v>
      </c>
      <c r="U1074" t="inlineStr">
        <is>
          <t>2006-06-18</t>
        </is>
      </c>
      <c r="V1074" t="inlineStr">
        <is>
          <t>2006-06-18</t>
        </is>
      </c>
      <c r="W1074" t="inlineStr">
        <is>
          <t>1992-04-11</t>
        </is>
      </c>
      <c r="X1074" t="inlineStr">
        <is>
          <t>1992-04-11</t>
        </is>
      </c>
      <c r="Y1074" t="n">
        <v>52</v>
      </c>
      <c r="Z1074" t="n">
        <v>43</v>
      </c>
      <c r="AA1074" t="n">
        <v>217</v>
      </c>
      <c r="AB1074" t="n">
        <v>1</v>
      </c>
      <c r="AC1074" t="n">
        <v>2</v>
      </c>
      <c r="AD1074" t="n">
        <v>0</v>
      </c>
      <c r="AE1074" t="n">
        <v>6</v>
      </c>
      <c r="AF1074" t="n">
        <v>0</v>
      </c>
      <c r="AG1074" t="n">
        <v>0</v>
      </c>
      <c r="AH1074" t="n">
        <v>0</v>
      </c>
      <c r="AI1074" t="n">
        <v>4</v>
      </c>
      <c r="AJ1074" t="n">
        <v>0</v>
      </c>
      <c r="AK1074" t="n">
        <v>2</v>
      </c>
      <c r="AL1074" t="n">
        <v>0</v>
      </c>
      <c r="AM1074" t="n">
        <v>1</v>
      </c>
      <c r="AN1074" t="n">
        <v>0</v>
      </c>
      <c r="AO1074" t="n">
        <v>0</v>
      </c>
      <c r="AP1074" t="inlineStr">
        <is>
          <t>No</t>
        </is>
      </c>
      <c r="AQ1074" t="inlineStr">
        <is>
          <t>Yes</t>
        </is>
      </c>
      <c r="AR1074">
        <f>HYPERLINK("http://catalog.hathitrust.org/Record/100604610","HathiTrust Record")</f>
        <v/>
      </c>
      <c r="AS1074">
        <f>HYPERLINK("https://creighton-primo.hosted.exlibrisgroup.com/primo-explore/search?tab=default_tab&amp;search_scope=EVERYTHING&amp;vid=01CRU&amp;lang=en_US&amp;offset=0&amp;query=any,contains,991003502969702656","Catalog Record")</f>
        <v/>
      </c>
      <c r="AT1074">
        <f>HYPERLINK("http://www.worldcat.org/oclc/1055227","WorldCat Record")</f>
        <v/>
      </c>
      <c r="AU1074" t="inlineStr">
        <is>
          <t>1102848061:eng</t>
        </is>
      </c>
      <c r="AV1074" t="inlineStr">
        <is>
          <t>1055227</t>
        </is>
      </c>
      <c r="AW1074" t="inlineStr">
        <is>
          <t>991003502969702656</t>
        </is>
      </c>
      <c r="AX1074" t="inlineStr">
        <is>
          <t>991003502969702656</t>
        </is>
      </c>
      <c r="AY1074" t="inlineStr">
        <is>
          <t>2271737960002656</t>
        </is>
      </c>
      <c r="AZ1074" t="inlineStr">
        <is>
          <t>BOOK</t>
        </is>
      </c>
      <c r="BB1074" t="inlineStr">
        <is>
          <t>9780404574925</t>
        </is>
      </c>
      <c r="BC1074" t="inlineStr">
        <is>
          <t>32285001057735</t>
        </is>
      </c>
      <c r="BD1074" t="inlineStr">
        <is>
          <t>893881231</t>
        </is>
      </c>
    </row>
    <row r="1075">
      <c r="A1075" t="inlineStr">
        <is>
          <t>No</t>
        </is>
      </c>
      <c r="B1075" t="inlineStr">
        <is>
          <t>GT2620 .M6</t>
        </is>
      </c>
      <c r="C1075" t="inlineStr">
        <is>
          <t>0                      GT 2620000M  6</t>
        </is>
      </c>
      <c r="D1075" t="inlineStr">
        <is>
          <t>Love in twelfth-century France [by] John C. Moore.</t>
        </is>
      </c>
      <c r="F1075" t="inlineStr">
        <is>
          <t>No</t>
        </is>
      </c>
      <c r="G1075" t="inlineStr">
        <is>
          <t>1</t>
        </is>
      </c>
      <c r="H1075" t="inlineStr">
        <is>
          <t>No</t>
        </is>
      </c>
      <c r="I1075" t="inlineStr">
        <is>
          <t>No</t>
        </is>
      </c>
      <c r="J1075" t="inlineStr">
        <is>
          <t>0</t>
        </is>
      </c>
      <c r="K1075" t="inlineStr">
        <is>
          <t>Moore, John C. (John Clare), 1933-</t>
        </is>
      </c>
      <c r="L1075" t="inlineStr">
        <is>
          <t>Philadelphia, University of Pennsylvania Press [1972]</t>
        </is>
      </c>
      <c r="M1075" t="inlineStr">
        <is>
          <t>1972</t>
        </is>
      </c>
      <c r="O1075" t="inlineStr">
        <is>
          <t>eng</t>
        </is>
      </c>
      <c r="P1075" t="inlineStr">
        <is>
          <t>pau</t>
        </is>
      </c>
      <c r="R1075" t="inlineStr">
        <is>
          <t xml:space="preserve">GT </t>
        </is>
      </c>
      <c r="S1075" t="n">
        <v>2</v>
      </c>
      <c r="T1075" t="n">
        <v>2</v>
      </c>
      <c r="U1075" t="inlineStr">
        <is>
          <t>2009-11-11</t>
        </is>
      </c>
      <c r="V1075" t="inlineStr">
        <is>
          <t>2009-11-11</t>
        </is>
      </c>
      <c r="W1075" t="inlineStr">
        <is>
          <t>1997-05-29</t>
        </is>
      </c>
      <c r="X1075" t="inlineStr">
        <is>
          <t>1997-05-29</t>
        </is>
      </c>
      <c r="Y1075" t="n">
        <v>669</v>
      </c>
      <c r="Z1075" t="n">
        <v>605</v>
      </c>
      <c r="AA1075" t="n">
        <v>761</v>
      </c>
      <c r="AB1075" t="n">
        <v>5</v>
      </c>
      <c r="AC1075" t="n">
        <v>5</v>
      </c>
      <c r="AD1075" t="n">
        <v>24</v>
      </c>
      <c r="AE1075" t="n">
        <v>34</v>
      </c>
      <c r="AF1075" t="n">
        <v>5</v>
      </c>
      <c r="AG1075" t="n">
        <v>12</v>
      </c>
      <c r="AH1075" t="n">
        <v>6</v>
      </c>
      <c r="AI1075" t="n">
        <v>9</v>
      </c>
      <c r="AJ1075" t="n">
        <v>13</v>
      </c>
      <c r="AK1075" t="n">
        <v>18</v>
      </c>
      <c r="AL1075" t="n">
        <v>4</v>
      </c>
      <c r="AM1075" t="n">
        <v>4</v>
      </c>
      <c r="AN1075" t="n">
        <v>0</v>
      </c>
      <c r="AO1075" t="n">
        <v>0</v>
      </c>
      <c r="AP1075" t="inlineStr">
        <is>
          <t>No</t>
        </is>
      </c>
      <c r="AQ1075" t="inlineStr">
        <is>
          <t>Yes</t>
        </is>
      </c>
      <c r="AR1075">
        <f>HYPERLINK("http://catalog.hathitrust.org/Record/001277583","HathiTrust Record")</f>
        <v/>
      </c>
      <c r="AS1075">
        <f>HYPERLINK("https://creighton-primo.hosted.exlibrisgroup.com/primo-explore/search?tab=default_tab&amp;search_scope=EVERYTHING&amp;vid=01CRU&amp;lang=en_US&amp;offset=0&amp;query=any,contains,991002328599702656","Catalog Record")</f>
        <v/>
      </c>
      <c r="AT1075">
        <f>HYPERLINK("http://www.worldcat.org/oclc/321720","WorldCat Record")</f>
        <v/>
      </c>
      <c r="AU1075" t="inlineStr">
        <is>
          <t>1402694:eng</t>
        </is>
      </c>
      <c r="AV1075" t="inlineStr">
        <is>
          <t>321720</t>
        </is>
      </c>
      <c r="AW1075" t="inlineStr">
        <is>
          <t>991002328599702656</t>
        </is>
      </c>
      <c r="AX1075" t="inlineStr">
        <is>
          <t>991002328599702656</t>
        </is>
      </c>
      <c r="AY1075" t="inlineStr">
        <is>
          <t>2257058480002656</t>
        </is>
      </c>
      <c r="AZ1075" t="inlineStr">
        <is>
          <t>BOOK</t>
        </is>
      </c>
      <c r="BB1075" t="inlineStr">
        <is>
          <t>9780812276480</t>
        </is>
      </c>
      <c r="BC1075" t="inlineStr">
        <is>
          <t>32285002699253</t>
        </is>
      </c>
      <c r="BD1075" t="inlineStr">
        <is>
          <t>893257158</t>
        </is>
      </c>
    </row>
    <row r="1076">
      <c r="A1076" t="inlineStr">
        <is>
          <t>No</t>
        </is>
      </c>
      <c r="B1076" t="inlineStr">
        <is>
          <t>GT2620 .O9</t>
        </is>
      </c>
      <c r="C1076" t="inlineStr">
        <is>
          <t>0                      GT 2620000O  9</t>
        </is>
      </c>
      <c r="D1076" t="inlineStr">
        <is>
          <t>Noble lovers / D. D. R. Owen.</t>
        </is>
      </c>
      <c r="F1076" t="inlineStr">
        <is>
          <t>No</t>
        </is>
      </c>
      <c r="G1076" t="inlineStr">
        <is>
          <t>1</t>
        </is>
      </c>
      <c r="H1076" t="inlineStr">
        <is>
          <t>No</t>
        </is>
      </c>
      <c r="I1076" t="inlineStr">
        <is>
          <t>No</t>
        </is>
      </c>
      <c r="J1076" t="inlineStr">
        <is>
          <t>0</t>
        </is>
      </c>
      <c r="K1076" t="inlineStr">
        <is>
          <t>Owen, D. D. R. (Douglas David Roy)</t>
        </is>
      </c>
      <c r="L1076" t="inlineStr">
        <is>
          <t>New York : New York University Press, 1975.</t>
        </is>
      </c>
      <c r="M1076" t="inlineStr">
        <is>
          <t>1975</t>
        </is>
      </c>
      <c r="O1076" t="inlineStr">
        <is>
          <t>eng</t>
        </is>
      </c>
      <c r="P1076" t="inlineStr">
        <is>
          <t>nyu</t>
        </is>
      </c>
      <c r="R1076" t="inlineStr">
        <is>
          <t xml:space="preserve">GT </t>
        </is>
      </c>
      <c r="S1076" t="n">
        <v>2</v>
      </c>
      <c r="T1076" t="n">
        <v>2</v>
      </c>
      <c r="U1076" t="inlineStr">
        <is>
          <t>1996-12-02</t>
        </is>
      </c>
      <c r="V1076" t="inlineStr">
        <is>
          <t>1996-12-02</t>
        </is>
      </c>
      <c r="W1076" t="inlineStr">
        <is>
          <t>1990-10-02</t>
        </is>
      </c>
      <c r="X1076" t="inlineStr">
        <is>
          <t>1990-10-02</t>
        </is>
      </c>
      <c r="Y1076" t="n">
        <v>485</v>
      </c>
      <c r="Z1076" t="n">
        <v>456</v>
      </c>
      <c r="AA1076" t="n">
        <v>605</v>
      </c>
      <c r="AB1076" t="n">
        <v>3</v>
      </c>
      <c r="AC1076" t="n">
        <v>5</v>
      </c>
      <c r="AD1076" t="n">
        <v>21</v>
      </c>
      <c r="AE1076" t="n">
        <v>26</v>
      </c>
      <c r="AF1076" t="n">
        <v>8</v>
      </c>
      <c r="AG1076" t="n">
        <v>9</v>
      </c>
      <c r="AH1076" t="n">
        <v>6</v>
      </c>
      <c r="AI1076" t="n">
        <v>6</v>
      </c>
      <c r="AJ1076" t="n">
        <v>10</v>
      </c>
      <c r="AK1076" t="n">
        <v>13</v>
      </c>
      <c r="AL1076" t="n">
        <v>2</v>
      </c>
      <c r="AM1076" t="n">
        <v>4</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HYPERLINK("https://creighton-primo.hosted.exlibrisgroup.com/primo-explore/search?tab=default_tab&amp;search_scope=EVERYTHING&amp;vid=01CRU&amp;lang=en_US&amp;offset=0&amp;query=any,contains,991003940189702656","Catalog Record")</f>
        <v/>
      </c>
      <c r="AT1076">
        <f>HYPERLINK("http://www.worldcat.org/oclc/1927949","WorldCat Record")</f>
        <v/>
      </c>
      <c r="AU1076" t="inlineStr">
        <is>
          <t>2729591:eng</t>
        </is>
      </c>
      <c r="AV1076" t="inlineStr">
        <is>
          <t>1927949</t>
        </is>
      </c>
      <c r="AW1076" t="inlineStr">
        <is>
          <t>991003940189702656</t>
        </is>
      </c>
      <c r="AX1076" t="inlineStr">
        <is>
          <t>991003940189702656</t>
        </is>
      </c>
      <c r="AY1076" t="inlineStr">
        <is>
          <t>2257110390002656</t>
        </is>
      </c>
      <c r="AZ1076" t="inlineStr">
        <is>
          <t>BOOK</t>
        </is>
      </c>
      <c r="BC1076" t="inlineStr">
        <is>
          <t>32285000318625</t>
        </is>
      </c>
      <c r="BD1076" t="inlineStr">
        <is>
          <t>893624154</t>
        </is>
      </c>
    </row>
    <row r="1077">
      <c r="A1077" t="inlineStr">
        <is>
          <t>No</t>
        </is>
      </c>
      <c r="B1077" t="inlineStr">
        <is>
          <t>GT2651 .S7 1974</t>
        </is>
      </c>
      <c r="C1077" t="inlineStr">
        <is>
          <t>0                      GT 2651000S  7           1974</t>
        </is>
      </c>
      <c r="D1077" t="inlineStr">
        <is>
          <t>Bundling; its origin, progress and decline in America. Albany, Knickerbocker Pub. Co., 1871.</t>
        </is>
      </c>
      <c r="F1077" t="inlineStr">
        <is>
          <t>No</t>
        </is>
      </c>
      <c r="G1077" t="inlineStr">
        <is>
          <t>1</t>
        </is>
      </c>
      <c r="H1077" t="inlineStr">
        <is>
          <t>No</t>
        </is>
      </c>
      <c r="I1077" t="inlineStr">
        <is>
          <t>No</t>
        </is>
      </c>
      <c r="J1077" t="inlineStr">
        <is>
          <t>0</t>
        </is>
      </c>
      <c r="K1077" t="inlineStr">
        <is>
          <t>Stiles, Henry Reed, 1832-1909.</t>
        </is>
      </c>
      <c r="L1077" t="inlineStr">
        <is>
          <t>[New York, AMS Press, 1974]</t>
        </is>
      </c>
      <c r="M1077" t="inlineStr">
        <is>
          <t>1974</t>
        </is>
      </c>
      <c r="O1077" t="inlineStr">
        <is>
          <t>eng</t>
        </is>
      </c>
      <c r="P1077" t="inlineStr">
        <is>
          <t>nyu</t>
        </is>
      </c>
      <c r="R1077" t="inlineStr">
        <is>
          <t xml:space="preserve">GT </t>
        </is>
      </c>
      <c r="S1077" t="n">
        <v>1</v>
      </c>
      <c r="T1077" t="n">
        <v>1</v>
      </c>
      <c r="U1077" t="inlineStr">
        <is>
          <t>2002-02-09</t>
        </is>
      </c>
      <c r="V1077" t="inlineStr">
        <is>
          <t>2002-02-09</t>
        </is>
      </c>
      <c r="W1077" t="inlineStr">
        <is>
          <t>1997-05-29</t>
        </is>
      </c>
      <c r="X1077" t="inlineStr">
        <is>
          <t>1997-05-29</t>
        </is>
      </c>
      <c r="Y1077" t="n">
        <v>41</v>
      </c>
      <c r="Z1077" t="n">
        <v>35</v>
      </c>
      <c r="AA1077" t="n">
        <v>925</v>
      </c>
      <c r="AB1077" t="n">
        <v>1</v>
      </c>
      <c r="AC1077" t="n">
        <v>6</v>
      </c>
      <c r="AD1077" t="n">
        <v>1</v>
      </c>
      <c r="AE1077" t="n">
        <v>35</v>
      </c>
      <c r="AF1077" t="n">
        <v>0</v>
      </c>
      <c r="AG1077" t="n">
        <v>15</v>
      </c>
      <c r="AH1077" t="n">
        <v>0</v>
      </c>
      <c r="AI1077" t="n">
        <v>7</v>
      </c>
      <c r="AJ1077" t="n">
        <v>1</v>
      </c>
      <c r="AK1077" t="n">
        <v>13</v>
      </c>
      <c r="AL1077" t="n">
        <v>0</v>
      </c>
      <c r="AM1077" t="n">
        <v>5</v>
      </c>
      <c r="AN1077" t="n">
        <v>0</v>
      </c>
      <c r="AO1077" t="n">
        <v>1</v>
      </c>
      <c r="AP1077" t="inlineStr">
        <is>
          <t>No</t>
        </is>
      </c>
      <c r="AQ1077" t="inlineStr">
        <is>
          <t>No</t>
        </is>
      </c>
      <c r="AS1077">
        <f>HYPERLINK("https://creighton-primo.hosted.exlibrisgroup.com/primo-explore/search?tab=default_tab&amp;search_scope=EVERYTHING&amp;vid=01CRU&amp;lang=en_US&amp;offset=0&amp;query=any,contains,991004192339702656","Catalog Record")</f>
        <v/>
      </c>
      <c r="AT1077">
        <f>HYPERLINK("http://www.worldcat.org/oclc/2634037","WorldCat Record")</f>
        <v/>
      </c>
      <c r="AU1077" t="inlineStr">
        <is>
          <t>1584149:eng</t>
        </is>
      </c>
      <c r="AV1077" t="inlineStr">
        <is>
          <t>2634037</t>
        </is>
      </c>
      <c r="AW1077" t="inlineStr">
        <is>
          <t>991004192339702656</t>
        </is>
      </c>
      <c r="AX1077" t="inlineStr">
        <is>
          <t>991004192339702656</t>
        </is>
      </c>
      <c r="AY1077" t="inlineStr">
        <is>
          <t>2271838610002656</t>
        </is>
      </c>
      <c r="AZ1077" t="inlineStr">
        <is>
          <t>BOOK</t>
        </is>
      </c>
      <c r="BB1077" t="inlineStr">
        <is>
          <t>9780404574994</t>
        </is>
      </c>
      <c r="BC1077" t="inlineStr">
        <is>
          <t>32285002699279</t>
        </is>
      </c>
      <c r="BD1077" t="inlineStr">
        <is>
          <t>893235172</t>
        </is>
      </c>
    </row>
    <row r="1078">
      <c r="A1078" t="inlineStr">
        <is>
          <t>No</t>
        </is>
      </c>
      <c r="B1078" t="inlineStr">
        <is>
          <t>GT2846.J3 G74 1985</t>
        </is>
      </c>
      <c r="C1078" t="inlineStr">
        <is>
          <t>0                      GT 2846000J  3                  G  74          1985</t>
        </is>
      </c>
      <c r="D1078" t="inlineStr">
        <is>
          <t>Furo, the Japanese bath = [Furo] / text by Peter Grilli ; photographs and design by Dana Levy ; foreword by Isamu Noguchi.</t>
        </is>
      </c>
      <c r="F1078" t="inlineStr">
        <is>
          <t>No</t>
        </is>
      </c>
      <c r="G1078" t="inlineStr">
        <is>
          <t>1</t>
        </is>
      </c>
      <c r="H1078" t="inlineStr">
        <is>
          <t>No</t>
        </is>
      </c>
      <c r="I1078" t="inlineStr">
        <is>
          <t>No</t>
        </is>
      </c>
      <c r="J1078" t="inlineStr">
        <is>
          <t>0</t>
        </is>
      </c>
      <c r="K1078" t="inlineStr">
        <is>
          <t>Grilli, Peter.</t>
        </is>
      </c>
      <c r="L1078" t="inlineStr">
        <is>
          <t>Tokyo ; New York : Kodansha International, 1985.</t>
        </is>
      </c>
      <c r="M1078" t="inlineStr">
        <is>
          <t>1985</t>
        </is>
      </c>
      <c r="N1078" t="inlineStr">
        <is>
          <t>1st ed.</t>
        </is>
      </c>
      <c r="O1078" t="inlineStr">
        <is>
          <t>eng</t>
        </is>
      </c>
      <c r="P1078" t="inlineStr">
        <is>
          <t xml:space="preserve">ja </t>
        </is>
      </c>
      <c r="R1078" t="inlineStr">
        <is>
          <t xml:space="preserve">GT </t>
        </is>
      </c>
      <c r="S1078" t="n">
        <v>12</v>
      </c>
      <c r="T1078" t="n">
        <v>12</v>
      </c>
      <c r="U1078" t="inlineStr">
        <is>
          <t>1999-10-24</t>
        </is>
      </c>
      <c r="V1078" t="inlineStr">
        <is>
          <t>1999-10-24</t>
        </is>
      </c>
      <c r="W1078" t="inlineStr">
        <is>
          <t>1990-10-02</t>
        </is>
      </c>
      <c r="X1078" t="inlineStr">
        <is>
          <t>1990-10-02</t>
        </is>
      </c>
      <c r="Y1078" t="n">
        <v>205</v>
      </c>
      <c r="Z1078" t="n">
        <v>153</v>
      </c>
      <c r="AA1078" t="n">
        <v>154</v>
      </c>
      <c r="AB1078" t="n">
        <v>1</v>
      </c>
      <c r="AC1078" t="n">
        <v>1</v>
      </c>
      <c r="AD1078" t="n">
        <v>1</v>
      </c>
      <c r="AE1078" t="n">
        <v>1</v>
      </c>
      <c r="AF1078" t="n">
        <v>0</v>
      </c>
      <c r="AG1078" t="n">
        <v>0</v>
      </c>
      <c r="AH1078" t="n">
        <v>1</v>
      </c>
      <c r="AI1078" t="n">
        <v>1</v>
      </c>
      <c r="AJ1078" t="n">
        <v>1</v>
      </c>
      <c r="AK1078" t="n">
        <v>1</v>
      </c>
      <c r="AL1078" t="n">
        <v>0</v>
      </c>
      <c r="AM1078" t="n">
        <v>0</v>
      </c>
      <c r="AN1078" t="n">
        <v>0</v>
      </c>
      <c r="AO1078" t="n">
        <v>0</v>
      </c>
      <c r="AP1078" t="inlineStr">
        <is>
          <t>No</t>
        </is>
      </c>
      <c r="AQ1078" t="inlineStr">
        <is>
          <t>No</t>
        </is>
      </c>
      <c r="AS1078">
        <f>HYPERLINK("https://creighton-primo.hosted.exlibrisgroup.com/primo-explore/search?tab=default_tab&amp;search_scope=EVERYTHING&amp;vid=01CRU&amp;lang=en_US&amp;offset=0&amp;query=any,contains,991000621079702656","Catalog Record")</f>
        <v/>
      </c>
      <c r="AT1078">
        <f>HYPERLINK("http://www.worldcat.org/oclc/11971886","WorldCat Record")</f>
        <v/>
      </c>
      <c r="AU1078" t="inlineStr">
        <is>
          <t>350942715:eng</t>
        </is>
      </c>
      <c r="AV1078" t="inlineStr">
        <is>
          <t>11971886</t>
        </is>
      </c>
      <c r="AW1078" t="inlineStr">
        <is>
          <t>991000621079702656</t>
        </is>
      </c>
      <c r="AX1078" t="inlineStr">
        <is>
          <t>991000621079702656</t>
        </is>
      </c>
      <c r="AY1078" t="inlineStr">
        <is>
          <t>2257168100002656</t>
        </is>
      </c>
      <c r="AZ1078" t="inlineStr">
        <is>
          <t>BOOK</t>
        </is>
      </c>
      <c r="BB1078" t="inlineStr">
        <is>
          <t>9780870116018</t>
        </is>
      </c>
      <c r="BC1078" t="inlineStr">
        <is>
          <t>32285000318658</t>
        </is>
      </c>
      <c r="BD1078" t="inlineStr">
        <is>
          <t>893413523</t>
        </is>
      </c>
    </row>
    <row r="1079">
      <c r="A1079" t="inlineStr">
        <is>
          <t>No</t>
        </is>
      </c>
      <c r="B1079" t="inlineStr">
        <is>
          <t>GT2850 .H36 1985</t>
        </is>
      </c>
      <c r="C1079" t="inlineStr">
        <is>
          <t>0                      GT 2850000H  36          1985</t>
        </is>
      </c>
      <c r="D1079" t="inlineStr">
        <is>
          <t>Good to eat : riddles of food and culture / Marvin Harris.</t>
        </is>
      </c>
      <c r="F1079" t="inlineStr">
        <is>
          <t>No</t>
        </is>
      </c>
      <c r="G1079" t="inlineStr">
        <is>
          <t>1</t>
        </is>
      </c>
      <c r="H1079" t="inlineStr">
        <is>
          <t>No</t>
        </is>
      </c>
      <c r="I1079" t="inlineStr">
        <is>
          <t>No</t>
        </is>
      </c>
      <c r="J1079" t="inlineStr">
        <is>
          <t>0</t>
        </is>
      </c>
      <c r="K1079" t="inlineStr">
        <is>
          <t>Harris, Marvin, 1927-2001.</t>
        </is>
      </c>
      <c r="L1079" t="inlineStr">
        <is>
          <t>Illinois : Waveland Press, c1985.</t>
        </is>
      </c>
      <c r="M1079" t="inlineStr">
        <is>
          <t>1985</t>
        </is>
      </c>
      <c r="O1079" t="inlineStr">
        <is>
          <t>eng</t>
        </is>
      </c>
      <c r="P1079" t="inlineStr">
        <is>
          <t>ilu</t>
        </is>
      </c>
      <c r="R1079" t="inlineStr">
        <is>
          <t xml:space="preserve">GT </t>
        </is>
      </c>
      <c r="S1079" t="n">
        <v>14</v>
      </c>
      <c r="T1079" t="n">
        <v>14</v>
      </c>
      <c r="U1079" t="inlineStr">
        <is>
          <t>2006-09-28</t>
        </is>
      </c>
      <c r="V1079" t="inlineStr">
        <is>
          <t>2006-09-28</t>
        </is>
      </c>
      <c r="W1079" t="inlineStr">
        <is>
          <t>2000-12-04</t>
        </is>
      </c>
      <c r="X1079" t="inlineStr">
        <is>
          <t>2000-12-04</t>
        </is>
      </c>
      <c r="Y1079" t="n">
        <v>32</v>
      </c>
      <c r="Z1079" t="n">
        <v>29</v>
      </c>
      <c r="AA1079" t="n">
        <v>941</v>
      </c>
      <c r="AB1079" t="n">
        <v>2</v>
      </c>
      <c r="AC1079" t="n">
        <v>4</v>
      </c>
      <c r="AD1079" t="n">
        <v>1</v>
      </c>
      <c r="AE1079" t="n">
        <v>22</v>
      </c>
      <c r="AF1079" t="n">
        <v>0</v>
      </c>
      <c r="AG1079" t="n">
        <v>8</v>
      </c>
      <c r="AH1079" t="n">
        <v>0</v>
      </c>
      <c r="AI1079" t="n">
        <v>6</v>
      </c>
      <c r="AJ1079" t="n">
        <v>0</v>
      </c>
      <c r="AK1079" t="n">
        <v>10</v>
      </c>
      <c r="AL1079" t="n">
        <v>1</v>
      </c>
      <c r="AM1079" t="n">
        <v>2</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HYPERLINK("https://creighton-primo.hosted.exlibrisgroup.com/primo-explore/search?tab=default_tab&amp;search_scope=EVERYTHING&amp;vid=01CRU&amp;lang=en_US&amp;offset=0&amp;query=any,contains,991003313819702656","Catalog Record")</f>
        <v/>
      </c>
      <c r="AT1079">
        <f>HYPERLINK("http://www.worldcat.org/oclc/40897314","WorldCat Record")</f>
        <v/>
      </c>
      <c r="AU1079" t="inlineStr">
        <is>
          <t>189549424:eng</t>
        </is>
      </c>
      <c r="AV1079" t="inlineStr">
        <is>
          <t>40897314</t>
        </is>
      </c>
      <c r="AW1079" t="inlineStr">
        <is>
          <t>991003313819702656</t>
        </is>
      </c>
      <c r="AX1079" t="inlineStr">
        <is>
          <t>991003313819702656</t>
        </is>
      </c>
      <c r="AY1079" t="inlineStr">
        <is>
          <t>2271493490002656</t>
        </is>
      </c>
      <c r="AZ1079" t="inlineStr">
        <is>
          <t>BOOK</t>
        </is>
      </c>
      <c r="BB1079" t="inlineStr">
        <is>
          <t>9781577660156</t>
        </is>
      </c>
      <c r="BC1079" t="inlineStr">
        <is>
          <t>32285004268818</t>
        </is>
      </c>
      <c r="BD1079" t="inlineStr">
        <is>
          <t>893774612</t>
        </is>
      </c>
    </row>
    <row r="1080">
      <c r="A1080" t="inlineStr">
        <is>
          <t>No</t>
        </is>
      </c>
      <c r="B1080" t="inlineStr">
        <is>
          <t>GT2850 .S57 1981</t>
        </is>
      </c>
      <c r="C1080" t="inlineStr">
        <is>
          <t>0                      GT 2850000S  57          1981</t>
        </is>
      </c>
      <c r="D1080" t="inlineStr">
        <is>
          <t>Eat not this flesh : food avoidances in the Old World / Frederick J. Simoons.</t>
        </is>
      </c>
      <c r="F1080" t="inlineStr">
        <is>
          <t>No</t>
        </is>
      </c>
      <c r="G1080" t="inlineStr">
        <is>
          <t>1</t>
        </is>
      </c>
      <c r="H1080" t="inlineStr">
        <is>
          <t>No</t>
        </is>
      </c>
      <c r="I1080" t="inlineStr">
        <is>
          <t>No</t>
        </is>
      </c>
      <c r="J1080" t="inlineStr">
        <is>
          <t>0</t>
        </is>
      </c>
      <c r="K1080" t="inlineStr">
        <is>
          <t>Simoons, Frederick J.</t>
        </is>
      </c>
      <c r="L1080" t="inlineStr">
        <is>
          <t>Westport, Conn. : Greenwood Press, 1981, c1961.</t>
        </is>
      </c>
      <c r="M1080" t="inlineStr">
        <is>
          <t>1980</t>
        </is>
      </c>
      <c r="O1080" t="inlineStr">
        <is>
          <t>eng</t>
        </is>
      </c>
      <c r="P1080" t="inlineStr">
        <is>
          <t>ctu</t>
        </is>
      </c>
      <c r="R1080" t="inlineStr">
        <is>
          <t xml:space="preserve">GT </t>
        </is>
      </c>
      <c r="S1080" t="n">
        <v>7</v>
      </c>
      <c r="T1080" t="n">
        <v>7</v>
      </c>
      <c r="U1080" t="inlineStr">
        <is>
          <t>2002-04-05</t>
        </is>
      </c>
      <c r="V1080" t="inlineStr">
        <is>
          <t>2002-04-05</t>
        </is>
      </c>
      <c r="W1080" t="inlineStr">
        <is>
          <t>1990-10-02</t>
        </is>
      </c>
      <c r="X1080" t="inlineStr">
        <is>
          <t>1990-10-02</t>
        </is>
      </c>
      <c r="Y1080" t="n">
        <v>61</v>
      </c>
      <c r="Z1080" t="n">
        <v>47</v>
      </c>
      <c r="AA1080" t="n">
        <v>684</v>
      </c>
      <c r="AB1080" t="n">
        <v>1</v>
      </c>
      <c r="AC1080" t="n">
        <v>9</v>
      </c>
      <c r="AD1080" t="n">
        <v>0</v>
      </c>
      <c r="AE1080" t="n">
        <v>32</v>
      </c>
      <c r="AF1080" t="n">
        <v>0</v>
      </c>
      <c r="AG1080" t="n">
        <v>10</v>
      </c>
      <c r="AH1080" t="n">
        <v>0</v>
      </c>
      <c r="AI1080" t="n">
        <v>6</v>
      </c>
      <c r="AJ1080" t="n">
        <v>0</v>
      </c>
      <c r="AK1080" t="n">
        <v>13</v>
      </c>
      <c r="AL1080" t="n">
        <v>0</v>
      </c>
      <c r="AM1080" t="n">
        <v>8</v>
      </c>
      <c r="AN1080" t="n">
        <v>0</v>
      </c>
      <c r="AO1080" t="n">
        <v>0</v>
      </c>
      <c r="AP1080" t="inlineStr">
        <is>
          <t>No</t>
        </is>
      </c>
      <c r="AQ1080" t="inlineStr">
        <is>
          <t>Yes</t>
        </is>
      </c>
      <c r="AR1080">
        <f>HYPERLINK("http://catalog.hathitrust.org/Record/000140923","HathiTrust Record")</f>
        <v/>
      </c>
      <c r="AS1080">
        <f>HYPERLINK("https://creighton-primo.hosted.exlibrisgroup.com/primo-explore/search?tab=default_tab&amp;search_scope=EVERYTHING&amp;vid=01CRU&amp;lang=en_US&amp;offset=0&amp;query=any,contains,991005033689702656","Catalog Record")</f>
        <v/>
      </c>
      <c r="AT1080">
        <f>HYPERLINK("http://www.worldcat.org/oclc/6735645","WorldCat Record")</f>
        <v/>
      </c>
      <c r="AU1080" t="inlineStr">
        <is>
          <t>572175:eng</t>
        </is>
      </c>
      <c r="AV1080" t="inlineStr">
        <is>
          <t>6735645</t>
        </is>
      </c>
      <c r="AW1080" t="inlineStr">
        <is>
          <t>991005033689702656</t>
        </is>
      </c>
      <c r="AX1080" t="inlineStr">
        <is>
          <t>991005033689702656</t>
        </is>
      </c>
      <c r="AY1080" t="inlineStr">
        <is>
          <t>2267944630002656</t>
        </is>
      </c>
      <c r="AZ1080" t="inlineStr">
        <is>
          <t>BOOK</t>
        </is>
      </c>
      <c r="BB1080" t="inlineStr">
        <is>
          <t>9780313227721</t>
        </is>
      </c>
      <c r="BC1080" t="inlineStr">
        <is>
          <t>32285000318674</t>
        </is>
      </c>
      <c r="BD1080" t="inlineStr">
        <is>
          <t>893719678</t>
        </is>
      </c>
    </row>
    <row r="1081">
      <c r="A1081" t="inlineStr">
        <is>
          <t>No</t>
        </is>
      </c>
      <c r="B1081" t="inlineStr">
        <is>
          <t>GT2853.A36 I67 2008</t>
        </is>
      </c>
      <c r="C1081" t="inlineStr">
        <is>
          <t>0                      GT 2853000A  36                 I  67          2008</t>
        </is>
      </c>
      <c r="D1081" t="inlineStr">
        <is>
          <t>Dais : the Aegean feast : proceedings of the 12th International Aegean Conference,12e Rencontre égéenne internationale, University of Melbourne, Centre for Classics and Archaeology, 25-29 March 2008 / edited by Louise A. Hitchcock, Robert Laffineur and Janice Crowley.</t>
        </is>
      </c>
      <c r="F1081" t="inlineStr">
        <is>
          <t>No</t>
        </is>
      </c>
      <c r="G1081" t="inlineStr">
        <is>
          <t>1</t>
        </is>
      </c>
      <c r="H1081" t="inlineStr">
        <is>
          <t>No</t>
        </is>
      </c>
      <c r="I1081" t="inlineStr">
        <is>
          <t>No</t>
        </is>
      </c>
      <c r="J1081" t="inlineStr">
        <is>
          <t>0</t>
        </is>
      </c>
      <c r="K1081" t="inlineStr">
        <is>
          <t>International Aegean Conference (12th : 2008 : University of Melbourne)</t>
        </is>
      </c>
      <c r="L1081" t="inlineStr">
        <is>
          <t>Liège : Université de Liège, Histoire de l'art et archéologie de la Grèce antique ; Austin, Tex. : University of Texas at Austin, Program in Aegean Scripts and Prehistory, 2008.</t>
        </is>
      </c>
      <c r="M1081" t="inlineStr">
        <is>
          <t>2008</t>
        </is>
      </c>
      <c r="O1081" t="inlineStr">
        <is>
          <t>eng</t>
        </is>
      </c>
      <c r="P1081" t="inlineStr">
        <is>
          <t xml:space="preserve">be </t>
        </is>
      </c>
      <c r="Q1081" t="inlineStr">
        <is>
          <t>Aegaeum ; 29</t>
        </is>
      </c>
      <c r="R1081" t="inlineStr">
        <is>
          <t xml:space="preserve">GT </t>
        </is>
      </c>
      <c r="S1081" t="n">
        <v>1</v>
      </c>
      <c r="T1081" t="n">
        <v>1</v>
      </c>
      <c r="U1081" t="inlineStr">
        <is>
          <t>2010-06-15</t>
        </is>
      </c>
      <c r="V1081" t="inlineStr">
        <is>
          <t>2010-06-15</t>
        </is>
      </c>
      <c r="W1081" t="inlineStr">
        <is>
          <t>2010-05-13</t>
        </is>
      </c>
      <c r="X1081" t="inlineStr">
        <is>
          <t>2010-05-13</t>
        </is>
      </c>
      <c r="Y1081" t="n">
        <v>98</v>
      </c>
      <c r="Z1081" t="n">
        <v>57</v>
      </c>
      <c r="AA1081" t="n">
        <v>57</v>
      </c>
      <c r="AB1081" t="n">
        <v>1</v>
      </c>
      <c r="AC1081" t="n">
        <v>1</v>
      </c>
      <c r="AD1081" t="n">
        <v>2</v>
      </c>
      <c r="AE1081" t="n">
        <v>2</v>
      </c>
      <c r="AF1081" t="n">
        <v>1</v>
      </c>
      <c r="AG1081" t="n">
        <v>1</v>
      </c>
      <c r="AH1081" t="n">
        <v>1</v>
      </c>
      <c r="AI1081" t="n">
        <v>1</v>
      </c>
      <c r="AJ1081" t="n">
        <v>1</v>
      </c>
      <c r="AK1081" t="n">
        <v>1</v>
      </c>
      <c r="AL1081" t="n">
        <v>0</v>
      </c>
      <c r="AM1081" t="n">
        <v>0</v>
      </c>
      <c r="AN1081" t="n">
        <v>0</v>
      </c>
      <c r="AO1081" t="n">
        <v>0</v>
      </c>
      <c r="AP1081" t="inlineStr">
        <is>
          <t>No</t>
        </is>
      </c>
      <c r="AQ1081" t="inlineStr">
        <is>
          <t>Yes</t>
        </is>
      </c>
      <c r="AR1081">
        <f>HYPERLINK("http://catalog.hathitrust.org/Record/005960606","HathiTrust Record")</f>
        <v/>
      </c>
      <c r="AS1081">
        <f>HYPERLINK("https://creighton-primo.hosted.exlibrisgroup.com/primo-explore/search?tab=default_tab&amp;search_scope=EVERYTHING&amp;vid=01CRU&amp;lang=en_US&amp;offset=0&amp;query=any,contains,991005392019702656","Catalog Record")</f>
        <v/>
      </c>
      <c r="AT1081">
        <f>HYPERLINK("http://www.worldcat.org/oclc/290438925","WorldCat Record")</f>
        <v/>
      </c>
      <c r="AU1081" t="inlineStr">
        <is>
          <t>356195579:eng</t>
        </is>
      </c>
      <c r="AV1081" t="inlineStr">
        <is>
          <t>290438925</t>
        </is>
      </c>
      <c r="AW1081" t="inlineStr">
        <is>
          <t>991005392019702656</t>
        </is>
      </c>
      <c r="AX1081" t="inlineStr">
        <is>
          <t>991005392019702656</t>
        </is>
      </c>
      <c r="AY1081" t="inlineStr">
        <is>
          <t>2270340620002656</t>
        </is>
      </c>
      <c r="AZ1081" t="inlineStr">
        <is>
          <t>BOOK</t>
        </is>
      </c>
      <c r="BC1081" t="inlineStr">
        <is>
          <t>32285005582902</t>
        </is>
      </c>
      <c r="BD1081" t="inlineStr">
        <is>
          <t>893351211</t>
        </is>
      </c>
    </row>
    <row r="1082">
      <c r="A1082" t="inlineStr">
        <is>
          <t>No</t>
        </is>
      </c>
      <c r="B1082" t="inlineStr">
        <is>
          <t>GT2853.E8 H46</t>
        </is>
      </c>
      <c r="C1082" t="inlineStr">
        <is>
          <t>0                      GT 2853000E  8                  H  46</t>
        </is>
      </c>
      <c r="D1082" t="inlineStr">
        <is>
          <t>Fast and feast : food in medieval society / Bridget Ann Henisch.</t>
        </is>
      </c>
      <c r="F1082" t="inlineStr">
        <is>
          <t>No</t>
        </is>
      </c>
      <c r="G1082" t="inlineStr">
        <is>
          <t>1</t>
        </is>
      </c>
      <c r="H1082" t="inlineStr">
        <is>
          <t>No</t>
        </is>
      </c>
      <c r="I1082" t="inlineStr">
        <is>
          <t>No</t>
        </is>
      </c>
      <c r="J1082" t="inlineStr">
        <is>
          <t>0</t>
        </is>
      </c>
      <c r="K1082" t="inlineStr">
        <is>
          <t>Henisch, Bridget Ann.</t>
        </is>
      </c>
      <c r="L1082" t="inlineStr">
        <is>
          <t>University Park : Pennsylvania State University Press, c1976.</t>
        </is>
      </c>
      <c r="M1082" t="inlineStr">
        <is>
          <t>1976</t>
        </is>
      </c>
      <c r="O1082" t="inlineStr">
        <is>
          <t>eng</t>
        </is>
      </c>
      <c r="P1082" t="inlineStr">
        <is>
          <t>pau</t>
        </is>
      </c>
      <c r="R1082" t="inlineStr">
        <is>
          <t xml:space="preserve">GT </t>
        </is>
      </c>
      <c r="S1082" t="n">
        <v>8</v>
      </c>
      <c r="T1082" t="n">
        <v>8</v>
      </c>
      <c r="U1082" t="inlineStr">
        <is>
          <t>2000-09-28</t>
        </is>
      </c>
      <c r="V1082" t="inlineStr">
        <is>
          <t>2000-09-28</t>
        </is>
      </c>
      <c r="W1082" t="inlineStr">
        <is>
          <t>1991-01-22</t>
        </is>
      </c>
      <c r="X1082" t="inlineStr">
        <is>
          <t>1991-01-22</t>
        </is>
      </c>
      <c r="Y1082" t="n">
        <v>921</v>
      </c>
      <c r="Z1082" t="n">
        <v>774</v>
      </c>
      <c r="AA1082" t="n">
        <v>798</v>
      </c>
      <c r="AB1082" t="n">
        <v>4</v>
      </c>
      <c r="AC1082" t="n">
        <v>4</v>
      </c>
      <c r="AD1082" t="n">
        <v>29</v>
      </c>
      <c r="AE1082" t="n">
        <v>29</v>
      </c>
      <c r="AF1082" t="n">
        <v>9</v>
      </c>
      <c r="AG1082" t="n">
        <v>9</v>
      </c>
      <c r="AH1082" t="n">
        <v>10</v>
      </c>
      <c r="AI1082" t="n">
        <v>10</v>
      </c>
      <c r="AJ1082" t="n">
        <v>16</v>
      </c>
      <c r="AK1082" t="n">
        <v>16</v>
      </c>
      <c r="AL1082" t="n">
        <v>3</v>
      </c>
      <c r="AM1082" t="n">
        <v>3</v>
      </c>
      <c r="AN1082" t="n">
        <v>0</v>
      </c>
      <c r="AO1082" t="n">
        <v>0</v>
      </c>
      <c r="AP1082" t="inlineStr">
        <is>
          <t>No</t>
        </is>
      </c>
      <c r="AQ1082" t="inlineStr">
        <is>
          <t>Yes</t>
        </is>
      </c>
      <c r="AR1082">
        <f>HYPERLINK("http://catalog.hathitrust.org/Record/002709522","HathiTrust Record")</f>
        <v/>
      </c>
      <c r="AS1082">
        <f>HYPERLINK("https://creighton-primo.hosted.exlibrisgroup.com/primo-explore/search?tab=default_tab&amp;search_scope=EVERYTHING&amp;vid=01CRU&amp;lang=en_US&amp;offset=0&amp;query=any,contains,991004051569702656","Catalog Record")</f>
        <v/>
      </c>
      <c r="AT1082">
        <f>HYPERLINK("http://www.worldcat.org/oclc/2213221","WorldCat Record")</f>
        <v/>
      </c>
      <c r="AU1082" t="inlineStr">
        <is>
          <t>318707034:eng</t>
        </is>
      </c>
      <c r="AV1082" t="inlineStr">
        <is>
          <t>2213221</t>
        </is>
      </c>
      <c r="AW1082" t="inlineStr">
        <is>
          <t>991004051569702656</t>
        </is>
      </c>
      <c r="AX1082" t="inlineStr">
        <is>
          <t>991004051569702656</t>
        </is>
      </c>
      <c r="AY1082" t="inlineStr">
        <is>
          <t>2256021410002656</t>
        </is>
      </c>
      <c r="AZ1082" t="inlineStr">
        <is>
          <t>BOOK</t>
        </is>
      </c>
      <c r="BB1082" t="inlineStr">
        <is>
          <t>9780271012308</t>
        </is>
      </c>
      <c r="BC1082" t="inlineStr">
        <is>
          <t>32285000430867</t>
        </is>
      </c>
      <c r="BD1082" t="inlineStr">
        <is>
          <t>893712094</t>
        </is>
      </c>
    </row>
    <row r="1083">
      <c r="A1083" t="inlineStr">
        <is>
          <t>No</t>
        </is>
      </c>
      <c r="B1083" t="inlineStr">
        <is>
          <t>GT2853.G7 B36 2004</t>
        </is>
      </c>
      <c r="C1083" t="inlineStr">
        <is>
          <t>0                      GT 2853000G  7                  B  36          2004</t>
        </is>
      </c>
      <c r="D1083" t="inlineStr">
        <is>
          <t>Food and drink in Anglo-Saxon England / Debby Banham.</t>
        </is>
      </c>
      <c r="F1083" t="inlineStr">
        <is>
          <t>No</t>
        </is>
      </c>
      <c r="G1083" t="inlineStr">
        <is>
          <t>1</t>
        </is>
      </c>
      <c r="H1083" t="inlineStr">
        <is>
          <t>No</t>
        </is>
      </c>
      <c r="I1083" t="inlineStr">
        <is>
          <t>No</t>
        </is>
      </c>
      <c r="J1083" t="inlineStr">
        <is>
          <t>0</t>
        </is>
      </c>
      <c r="K1083" t="inlineStr">
        <is>
          <t>Banham, Debby, 1953-</t>
        </is>
      </c>
      <c r="L1083" t="inlineStr">
        <is>
          <t>Stroud, Gloucestershire : Tempus, 2004.</t>
        </is>
      </c>
      <c r="M1083" t="inlineStr">
        <is>
          <t>2004</t>
        </is>
      </c>
      <c r="O1083" t="inlineStr">
        <is>
          <t>eng</t>
        </is>
      </c>
      <c r="P1083" t="inlineStr">
        <is>
          <t>enk</t>
        </is>
      </c>
      <c r="R1083" t="inlineStr">
        <is>
          <t xml:space="preserve">GT </t>
        </is>
      </c>
      <c r="S1083" t="n">
        <v>1</v>
      </c>
      <c r="T1083" t="n">
        <v>1</v>
      </c>
      <c r="U1083" t="inlineStr">
        <is>
          <t>2009-11-12</t>
        </is>
      </c>
      <c r="V1083" t="inlineStr">
        <is>
          <t>2009-11-12</t>
        </is>
      </c>
      <c r="W1083" t="inlineStr">
        <is>
          <t>2006-03-08</t>
        </is>
      </c>
      <c r="X1083" t="inlineStr">
        <is>
          <t>2006-03-08</t>
        </is>
      </c>
      <c r="Y1083" t="n">
        <v>160</v>
      </c>
      <c r="Z1083" t="n">
        <v>122</v>
      </c>
      <c r="AA1083" t="n">
        <v>124</v>
      </c>
      <c r="AB1083" t="n">
        <v>1</v>
      </c>
      <c r="AC1083" t="n">
        <v>1</v>
      </c>
      <c r="AD1083" t="n">
        <v>3</v>
      </c>
      <c r="AE1083" t="n">
        <v>3</v>
      </c>
      <c r="AF1083" t="n">
        <v>2</v>
      </c>
      <c r="AG1083" t="n">
        <v>2</v>
      </c>
      <c r="AH1083" t="n">
        <v>1</v>
      </c>
      <c r="AI1083" t="n">
        <v>1</v>
      </c>
      <c r="AJ1083" t="n">
        <v>1</v>
      </c>
      <c r="AK1083" t="n">
        <v>1</v>
      </c>
      <c r="AL1083" t="n">
        <v>0</v>
      </c>
      <c r="AM1083" t="n">
        <v>0</v>
      </c>
      <c r="AN1083" t="n">
        <v>0</v>
      </c>
      <c r="AO1083" t="n">
        <v>0</v>
      </c>
      <c r="AP1083" t="inlineStr">
        <is>
          <t>No</t>
        </is>
      </c>
      <c r="AQ1083" t="inlineStr">
        <is>
          <t>Yes</t>
        </is>
      </c>
      <c r="AR1083">
        <f>HYPERLINK("http://catalog.hathitrust.org/Record/004377559","HathiTrust Record")</f>
        <v/>
      </c>
      <c r="AS1083">
        <f>HYPERLINK("https://creighton-primo.hosted.exlibrisgroup.com/primo-explore/search?tab=default_tab&amp;search_scope=EVERYTHING&amp;vid=01CRU&amp;lang=en_US&amp;offset=0&amp;query=any,contains,991004763359702656","Catalog Record")</f>
        <v/>
      </c>
      <c r="AT1083">
        <f>HYPERLINK("http://www.worldcat.org/oclc/55522072","WorldCat Record")</f>
        <v/>
      </c>
      <c r="AU1083" t="inlineStr">
        <is>
          <t>3857983356:eng</t>
        </is>
      </c>
      <c r="AV1083" t="inlineStr">
        <is>
          <t>55522072</t>
        </is>
      </c>
      <c r="AW1083" t="inlineStr">
        <is>
          <t>991004763359702656</t>
        </is>
      </c>
      <c r="AX1083" t="inlineStr">
        <is>
          <t>991004763359702656</t>
        </is>
      </c>
      <c r="AY1083" t="inlineStr">
        <is>
          <t>2262403740002656</t>
        </is>
      </c>
      <c r="AZ1083" t="inlineStr">
        <is>
          <t>BOOK</t>
        </is>
      </c>
      <c r="BB1083" t="inlineStr">
        <is>
          <t>9780752429090</t>
        </is>
      </c>
      <c r="BC1083" t="inlineStr">
        <is>
          <t>32285005185284</t>
        </is>
      </c>
      <c r="BD1083" t="inlineStr">
        <is>
          <t>893507207</t>
        </is>
      </c>
    </row>
    <row r="1084">
      <c r="A1084" t="inlineStr">
        <is>
          <t>No</t>
        </is>
      </c>
      <c r="B1084" t="inlineStr">
        <is>
          <t>GT2853.U5 L35 1995</t>
        </is>
      </c>
      <c r="C1084" t="inlineStr">
        <is>
          <t>0                      GT 2853000U  5                  L  35          1995</t>
        </is>
      </c>
      <c r="D1084" t="inlineStr">
        <is>
          <t>The cocktail : the influence of spirits on the American psyche / Joseph Lanza.</t>
        </is>
      </c>
      <c r="F1084" t="inlineStr">
        <is>
          <t>No</t>
        </is>
      </c>
      <c r="G1084" t="inlineStr">
        <is>
          <t>1</t>
        </is>
      </c>
      <c r="H1084" t="inlineStr">
        <is>
          <t>No</t>
        </is>
      </c>
      <c r="I1084" t="inlineStr">
        <is>
          <t>No</t>
        </is>
      </c>
      <c r="J1084" t="inlineStr">
        <is>
          <t>0</t>
        </is>
      </c>
      <c r="K1084" t="inlineStr">
        <is>
          <t>Lanza, Joseph.</t>
        </is>
      </c>
      <c r="L1084" t="inlineStr">
        <is>
          <t>New York : St. Martin's Press, 1995.</t>
        </is>
      </c>
      <c r="M1084" t="inlineStr">
        <is>
          <t>1995</t>
        </is>
      </c>
      <c r="N1084" t="inlineStr">
        <is>
          <t>1st ed.</t>
        </is>
      </c>
      <c r="O1084" t="inlineStr">
        <is>
          <t>eng</t>
        </is>
      </c>
      <c r="P1084" t="inlineStr">
        <is>
          <t>nyu</t>
        </is>
      </c>
      <c r="R1084" t="inlineStr">
        <is>
          <t xml:space="preserve">GT </t>
        </is>
      </c>
      <c r="S1084" t="n">
        <v>3</v>
      </c>
      <c r="T1084" t="n">
        <v>3</v>
      </c>
      <c r="U1084" t="inlineStr">
        <is>
          <t>2001-07-02</t>
        </is>
      </c>
      <c r="V1084" t="inlineStr">
        <is>
          <t>2001-07-02</t>
        </is>
      </c>
      <c r="W1084" t="inlineStr">
        <is>
          <t>1996-02-26</t>
        </is>
      </c>
      <c r="X1084" t="inlineStr">
        <is>
          <t>1996-02-26</t>
        </is>
      </c>
      <c r="Y1084" t="n">
        <v>192</v>
      </c>
      <c r="Z1084" t="n">
        <v>177</v>
      </c>
      <c r="AA1084" t="n">
        <v>188</v>
      </c>
      <c r="AB1084" t="n">
        <v>1</v>
      </c>
      <c r="AC1084" t="n">
        <v>1</v>
      </c>
      <c r="AD1084" t="n">
        <v>9</v>
      </c>
      <c r="AE1084" t="n">
        <v>9</v>
      </c>
      <c r="AF1084" t="n">
        <v>3</v>
      </c>
      <c r="AG1084" t="n">
        <v>3</v>
      </c>
      <c r="AH1084" t="n">
        <v>2</v>
      </c>
      <c r="AI1084" t="n">
        <v>2</v>
      </c>
      <c r="AJ1084" t="n">
        <v>7</v>
      </c>
      <c r="AK1084" t="n">
        <v>7</v>
      </c>
      <c r="AL1084" t="n">
        <v>0</v>
      </c>
      <c r="AM1084" t="n">
        <v>0</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HYPERLINK("https://creighton-primo.hosted.exlibrisgroup.com/primo-explore/search?tab=default_tab&amp;search_scope=EVERYTHING&amp;vid=01CRU&amp;lang=en_US&amp;offset=0&amp;query=any,contains,991002526259702656","Catalog Record")</f>
        <v/>
      </c>
      <c r="AT1084">
        <f>HYPERLINK("http://www.worldcat.org/oclc/32853744","WorldCat Record")</f>
        <v/>
      </c>
      <c r="AU1084" t="inlineStr">
        <is>
          <t>37159999:eng</t>
        </is>
      </c>
      <c r="AV1084" t="inlineStr">
        <is>
          <t>32853744</t>
        </is>
      </c>
      <c r="AW1084" t="inlineStr">
        <is>
          <t>991002526259702656</t>
        </is>
      </c>
      <c r="AX1084" t="inlineStr">
        <is>
          <t>991002526259702656</t>
        </is>
      </c>
      <c r="AY1084" t="inlineStr">
        <is>
          <t>2270893530002656</t>
        </is>
      </c>
      <c r="AZ1084" t="inlineStr">
        <is>
          <t>BOOK</t>
        </is>
      </c>
      <c r="BB1084" t="inlineStr">
        <is>
          <t>9780312134501</t>
        </is>
      </c>
      <c r="BC1084" t="inlineStr">
        <is>
          <t>32285002137965</t>
        </is>
      </c>
      <c r="BD1084" t="inlineStr">
        <is>
          <t>893427688</t>
        </is>
      </c>
    </row>
    <row r="1085">
      <c r="A1085" t="inlineStr">
        <is>
          <t>No</t>
        </is>
      </c>
      <c r="B1085" t="inlineStr">
        <is>
          <t>GT2853.U5 L38 2006</t>
        </is>
      </c>
      <c r="C1085" t="inlineStr">
        <is>
          <t>0                      GT 2853000U  5                  L  38          2006</t>
        </is>
      </c>
      <c r="D1085" t="inlineStr">
        <is>
          <t>Food fight! : the battle over the American lunch in schools and the workplace / Julie L. Lautenschlager.</t>
        </is>
      </c>
      <c r="F1085" t="inlineStr">
        <is>
          <t>No</t>
        </is>
      </c>
      <c r="G1085" t="inlineStr">
        <is>
          <t>1</t>
        </is>
      </c>
      <c r="H1085" t="inlineStr">
        <is>
          <t>No</t>
        </is>
      </c>
      <c r="I1085" t="inlineStr">
        <is>
          <t>No</t>
        </is>
      </c>
      <c r="J1085" t="inlineStr">
        <is>
          <t>0</t>
        </is>
      </c>
      <c r="K1085" t="inlineStr">
        <is>
          <t>Lautenschlager, Julie L., 1973-</t>
        </is>
      </c>
      <c r="L1085" t="inlineStr">
        <is>
          <t>Jefferson, N.C. : McFarland &amp; Co., c2006.</t>
        </is>
      </c>
      <c r="M1085" t="inlineStr">
        <is>
          <t>2006</t>
        </is>
      </c>
      <c r="O1085" t="inlineStr">
        <is>
          <t>eng</t>
        </is>
      </c>
      <c r="P1085" t="inlineStr">
        <is>
          <t>ncu</t>
        </is>
      </c>
      <c r="R1085" t="inlineStr">
        <is>
          <t xml:space="preserve">GT </t>
        </is>
      </c>
      <c r="S1085" t="n">
        <v>3</v>
      </c>
      <c r="T1085" t="n">
        <v>3</v>
      </c>
      <c r="U1085" t="inlineStr">
        <is>
          <t>2007-11-07</t>
        </is>
      </c>
      <c r="V1085" t="inlineStr">
        <is>
          <t>2007-11-07</t>
        </is>
      </c>
      <c r="W1085" t="inlineStr">
        <is>
          <t>2007-11-07</t>
        </is>
      </c>
      <c r="X1085" t="inlineStr">
        <is>
          <t>2007-11-07</t>
        </is>
      </c>
      <c r="Y1085" t="n">
        <v>407</v>
      </c>
      <c r="Z1085" t="n">
        <v>376</v>
      </c>
      <c r="AA1085" t="n">
        <v>385</v>
      </c>
      <c r="AB1085" t="n">
        <v>5</v>
      </c>
      <c r="AC1085" t="n">
        <v>5</v>
      </c>
      <c r="AD1085" t="n">
        <v>14</v>
      </c>
      <c r="AE1085" t="n">
        <v>14</v>
      </c>
      <c r="AF1085" t="n">
        <v>4</v>
      </c>
      <c r="AG1085" t="n">
        <v>4</v>
      </c>
      <c r="AH1085" t="n">
        <v>2</v>
      </c>
      <c r="AI1085" t="n">
        <v>2</v>
      </c>
      <c r="AJ1085" t="n">
        <v>8</v>
      </c>
      <c r="AK1085" t="n">
        <v>8</v>
      </c>
      <c r="AL1085" t="n">
        <v>4</v>
      </c>
      <c r="AM1085" t="n">
        <v>4</v>
      </c>
      <c r="AN1085" t="n">
        <v>0</v>
      </c>
      <c r="AO1085" t="n">
        <v>0</v>
      </c>
      <c r="AP1085" t="inlineStr">
        <is>
          <t>No</t>
        </is>
      </c>
      <c r="AQ1085" t="inlineStr">
        <is>
          <t>Yes</t>
        </is>
      </c>
      <c r="AR1085">
        <f>HYPERLINK("http://catalog.hathitrust.org/Record/007147614","HathiTrust Record")</f>
        <v/>
      </c>
      <c r="AS1085">
        <f>HYPERLINK("https://creighton-primo.hosted.exlibrisgroup.com/primo-explore/search?tab=default_tab&amp;search_scope=EVERYTHING&amp;vid=01CRU&amp;lang=en_US&amp;offset=0&amp;query=any,contains,991005134339702656","Catalog Record")</f>
        <v/>
      </c>
      <c r="AT1085">
        <f>HYPERLINK("http://www.worldcat.org/oclc/70866952","WorldCat Record")</f>
        <v/>
      </c>
      <c r="AU1085" t="inlineStr">
        <is>
          <t>290353637:eng</t>
        </is>
      </c>
      <c r="AV1085" t="inlineStr">
        <is>
          <t>70866952</t>
        </is>
      </c>
      <c r="AW1085" t="inlineStr">
        <is>
          <t>991005134339702656</t>
        </is>
      </c>
      <c r="AX1085" t="inlineStr">
        <is>
          <t>991005134339702656</t>
        </is>
      </c>
      <c r="AY1085" t="inlineStr">
        <is>
          <t>2266965200002656</t>
        </is>
      </c>
      <c r="AZ1085" t="inlineStr">
        <is>
          <t>BOOK</t>
        </is>
      </c>
      <c r="BB1085" t="inlineStr">
        <is>
          <t>9780786426706</t>
        </is>
      </c>
      <c r="BC1085" t="inlineStr">
        <is>
          <t>32285005365852</t>
        </is>
      </c>
      <c r="BD1085" t="inlineStr">
        <is>
          <t>893260607</t>
        </is>
      </c>
    </row>
    <row r="1086">
      <c r="A1086" t="inlineStr">
        <is>
          <t>No</t>
        </is>
      </c>
      <c r="B1086" t="inlineStr">
        <is>
          <t>GT2853.U5 R47 2007</t>
        </is>
      </c>
      <c r="C1086" t="inlineStr">
        <is>
          <t>0                      GT 2853000U  5                  R  47          2007</t>
        </is>
      </c>
      <c r="D1086" t="inlineStr">
        <is>
          <t>The restaurants book : ethnographies of where we eat / edited by David Beriss and David Sutton.</t>
        </is>
      </c>
      <c r="F1086" t="inlineStr">
        <is>
          <t>No</t>
        </is>
      </c>
      <c r="G1086" t="inlineStr">
        <is>
          <t>1</t>
        </is>
      </c>
      <c r="H1086" t="inlineStr">
        <is>
          <t>No</t>
        </is>
      </c>
      <c r="I1086" t="inlineStr">
        <is>
          <t>No</t>
        </is>
      </c>
      <c r="J1086" t="inlineStr">
        <is>
          <t>0</t>
        </is>
      </c>
      <c r="L1086" t="inlineStr">
        <is>
          <t>Oxford ; New York : Berg, 2007.</t>
        </is>
      </c>
      <c r="M1086" t="inlineStr">
        <is>
          <t>2007</t>
        </is>
      </c>
      <c r="N1086" t="inlineStr">
        <is>
          <t>English ed.</t>
        </is>
      </c>
      <c r="O1086" t="inlineStr">
        <is>
          <t>eng</t>
        </is>
      </c>
      <c r="P1086" t="inlineStr">
        <is>
          <t>enk</t>
        </is>
      </c>
      <c r="R1086" t="inlineStr">
        <is>
          <t xml:space="preserve">GT </t>
        </is>
      </c>
      <c r="S1086" t="n">
        <v>2</v>
      </c>
      <c r="T1086" t="n">
        <v>2</v>
      </c>
      <c r="U1086" t="inlineStr">
        <is>
          <t>2010-05-28</t>
        </is>
      </c>
      <c r="V1086" t="inlineStr">
        <is>
          <t>2010-05-28</t>
        </is>
      </c>
      <c r="W1086" t="inlineStr">
        <is>
          <t>2009-03-03</t>
        </is>
      </c>
      <c r="X1086" t="inlineStr">
        <is>
          <t>2009-03-03</t>
        </is>
      </c>
      <c r="Y1086" t="n">
        <v>374</v>
      </c>
      <c r="Z1086" t="n">
        <v>327</v>
      </c>
      <c r="AA1086" t="n">
        <v>656</v>
      </c>
      <c r="AB1086" t="n">
        <v>2</v>
      </c>
      <c r="AC1086" t="n">
        <v>4</v>
      </c>
      <c r="AD1086" t="n">
        <v>11</v>
      </c>
      <c r="AE1086" t="n">
        <v>20</v>
      </c>
      <c r="AF1086" t="n">
        <v>5</v>
      </c>
      <c r="AG1086" t="n">
        <v>9</v>
      </c>
      <c r="AH1086" t="n">
        <v>1</v>
      </c>
      <c r="AI1086" t="n">
        <v>4</v>
      </c>
      <c r="AJ1086" t="n">
        <v>6</v>
      </c>
      <c r="AK1086" t="n">
        <v>9</v>
      </c>
      <c r="AL1086" t="n">
        <v>1</v>
      </c>
      <c r="AM1086" t="n">
        <v>3</v>
      </c>
      <c r="AN1086" t="n">
        <v>0</v>
      </c>
      <c r="AO1086" t="n">
        <v>0</v>
      </c>
      <c r="AP1086" t="inlineStr">
        <is>
          <t>No</t>
        </is>
      </c>
      <c r="AQ1086" t="inlineStr">
        <is>
          <t>Yes</t>
        </is>
      </c>
      <c r="AR1086">
        <f>HYPERLINK("http://catalog.hathitrust.org/Record/005654064","HathiTrust Record")</f>
        <v/>
      </c>
      <c r="AS1086">
        <f>HYPERLINK("https://creighton-primo.hosted.exlibrisgroup.com/primo-explore/search?tab=default_tab&amp;search_scope=EVERYTHING&amp;vid=01CRU&amp;lang=en_US&amp;offset=0&amp;query=any,contains,991005296239702656","Catalog Record")</f>
        <v/>
      </c>
      <c r="AT1086">
        <f>HYPERLINK("http://www.worldcat.org/oclc/173480610","WorldCat Record")</f>
        <v/>
      </c>
      <c r="AU1086" t="inlineStr">
        <is>
          <t>802320977:eng</t>
        </is>
      </c>
      <c r="AV1086" t="inlineStr">
        <is>
          <t>173480610</t>
        </is>
      </c>
      <c r="AW1086" t="inlineStr">
        <is>
          <t>991005296239702656</t>
        </is>
      </c>
      <c r="AX1086" t="inlineStr">
        <is>
          <t>991005296239702656</t>
        </is>
      </c>
      <c r="AY1086" t="inlineStr">
        <is>
          <t>2260719990002656</t>
        </is>
      </c>
      <c r="AZ1086" t="inlineStr">
        <is>
          <t>BOOK</t>
        </is>
      </c>
      <c r="BB1086" t="inlineStr">
        <is>
          <t>9781845207540</t>
        </is>
      </c>
      <c r="BC1086" t="inlineStr">
        <is>
          <t>32285005507081</t>
        </is>
      </c>
      <c r="BD1086" t="inlineStr">
        <is>
          <t>893332735</t>
        </is>
      </c>
    </row>
    <row r="1087">
      <c r="A1087" t="inlineStr">
        <is>
          <t>No</t>
        </is>
      </c>
      <c r="B1087" t="inlineStr">
        <is>
          <t>GT2853.U5 T39</t>
        </is>
      </c>
      <c r="C1087" t="inlineStr">
        <is>
          <t>0                      GT 2853000U  5                  T  39</t>
        </is>
      </c>
      <c r="D1087" t="inlineStr">
        <is>
          <t>Eating, drinking, and visiting in the South : an informal history / Joe Gray Taylor. Illustrations by Charles Shaw.</t>
        </is>
      </c>
      <c r="F1087" t="inlineStr">
        <is>
          <t>No</t>
        </is>
      </c>
      <c r="G1087" t="inlineStr">
        <is>
          <t>1</t>
        </is>
      </c>
      <c r="H1087" t="inlineStr">
        <is>
          <t>No</t>
        </is>
      </c>
      <c r="I1087" t="inlineStr">
        <is>
          <t>No</t>
        </is>
      </c>
      <c r="J1087" t="inlineStr">
        <is>
          <t>0</t>
        </is>
      </c>
      <c r="K1087" t="inlineStr">
        <is>
          <t>Taylor, Joe Gray.</t>
        </is>
      </c>
      <c r="L1087" t="inlineStr">
        <is>
          <t>Baton Rouge : Louisiana State University Press, c1982.</t>
        </is>
      </c>
      <c r="M1087" t="inlineStr">
        <is>
          <t>1982</t>
        </is>
      </c>
      <c r="O1087" t="inlineStr">
        <is>
          <t>eng</t>
        </is>
      </c>
      <c r="P1087" t="inlineStr">
        <is>
          <t>lau</t>
        </is>
      </c>
      <c r="R1087" t="inlineStr">
        <is>
          <t xml:space="preserve">GT </t>
        </is>
      </c>
      <c r="S1087" t="n">
        <v>9</v>
      </c>
      <c r="T1087" t="n">
        <v>9</v>
      </c>
      <c r="U1087" t="inlineStr">
        <is>
          <t>2005-04-14</t>
        </is>
      </c>
      <c r="V1087" t="inlineStr">
        <is>
          <t>2005-04-14</t>
        </is>
      </c>
      <c r="W1087" t="inlineStr">
        <is>
          <t>1990-10-02</t>
        </is>
      </c>
      <c r="X1087" t="inlineStr">
        <is>
          <t>1990-10-02</t>
        </is>
      </c>
      <c r="Y1087" t="n">
        <v>433</v>
      </c>
      <c r="Z1087" t="n">
        <v>409</v>
      </c>
      <c r="AA1087" t="n">
        <v>441</v>
      </c>
      <c r="AB1087" t="n">
        <v>2</v>
      </c>
      <c r="AC1087" t="n">
        <v>2</v>
      </c>
      <c r="AD1087" t="n">
        <v>12</v>
      </c>
      <c r="AE1087" t="n">
        <v>13</v>
      </c>
      <c r="AF1087" t="n">
        <v>5</v>
      </c>
      <c r="AG1087" t="n">
        <v>6</v>
      </c>
      <c r="AH1087" t="n">
        <v>3</v>
      </c>
      <c r="AI1087" t="n">
        <v>3</v>
      </c>
      <c r="AJ1087" t="n">
        <v>6</v>
      </c>
      <c r="AK1087" t="n">
        <v>6</v>
      </c>
      <c r="AL1087" t="n">
        <v>1</v>
      </c>
      <c r="AM1087" t="n">
        <v>1</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HYPERLINK("https://creighton-primo.hosted.exlibrisgroup.com/primo-explore/search?tab=default_tab&amp;search_scope=EVERYTHING&amp;vid=01CRU&amp;lang=en_US&amp;offset=0&amp;query=any,contains,991005187419702656","Catalog Record")</f>
        <v/>
      </c>
      <c r="AT1087">
        <f>HYPERLINK("http://www.worldcat.org/oclc/7977296","WorldCat Record")</f>
        <v/>
      </c>
      <c r="AU1087" t="inlineStr">
        <is>
          <t>427743818:eng</t>
        </is>
      </c>
      <c r="AV1087" t="inlineStr">
        <is>
          <t>7977296</t>
        </is>
      </c>
      <c r="AW1087" t="inlineStr">
        <is>
          <t>991005187419702656</t>
        </is>
      </c>
      <c r="AX1087" t="inlineStr">
        <is>
          <t>991005187419702656</t>
        </is>
      </c>
      <c r="AY1087" t="inlineStr">
        <is>
          <t>2272373130002656</t>
        </is>
      </c>
      <c r="AZ1087" t="inlineStr">
        <is>
          <t>BOOK</t>
        </is>
      </c>
      <c r="BB1087" t="inlineStr">
        <is>
          <t>9780807108956</t>
        </is>
      </c>
      <c r="BC1087" t="inlineStr">
        <is>
          <t>32285000318716</t>
        </is>
      </c>
      <c r="BD1087" t="inlineStr">
        <is>
          <t>893719946</t>
        </is>
      </c>
    </row>
    <row r="1088">
      <c r="A1088" t="inlineStr">
        <is>
          <t>No</t>
        </is>
      </c>
      <c r="B1088" t="inlineStr">
        <is>
          <t>GT2855 .F74</t>
        </is>
      </c>
      <c r="C1088" t="inlineStr">
        <is>
          <t>0                      GT 2855000F  74</t>
        </is>
      </c>
      <c r="D1088" t="inlineStr">
        <is>
          <t>Human food uses : a cross-cultural, comprehensive annotated bibliography / compiled by Robert L. Freedman.</t>
        </is>
      </c>
      <c r="F1088" t="inlineStr">
        <is>
          <t>No</t>
        </is>
      </c>
      <c r="G1088" t="inlineStr">
        <is>
          <t>1</t>
        </is>
      </c>
      <c r="H1088" t="inlineStr">
        <is>
          <t>No</t>
        </is>
      </c>
      <c r="I1088" t="inlineStr">
        <is>
          <t>No</t>
        </is>
      </c>
      <c r="J1088" t="inlineStr">
        <is>
          <t>0</t>
        </is>
      </c>
      <c r="K1088" t="inlineStr">
        <is>
          <t>Freedman, Robert L., 1941-</t>
        </is>
      </c>
      <c r="L1088" t="inlineStr">
        <is>
          <t>Westport, Conn. : Greenwood Press, c1981.</t>
        </is>
      </c>
      <c r="M1088" t="inlineStr">
        <is>
          <t>1981</t>
        </is>
      </c>
      <c r="O1088" t="inlineStr">
        <is>
          <t>eng</t>
        </is>
      </c>
      <c r="P1088" t="inlineStr">
        <is>
          <t>ctu</t>
        </is>
      </c>
      <c r="R1088" t="inlineStr">
        <is>
          <t xml:space="preserve">GT </t>
        </is>
      </c>
      <c r="S1088" t="n">
        <v>3</v>
      </c>
      <c r="T1088" t="n">
        <v>3</v>
      </c>
      <c r="U1088" t="inlineStr">
        <is>
          <t>1998-03-15</t>
        </is>
      </c>
      <c r="V1088" t="inlineStr">
        <is>
          <t>1998-03-15</t>
        </is>
      </c>
      <c r="W1088" t="inlineStr">
        <is>
          <t>1990-10-02</t>
        </is>
      </c>
      <c r="X1088" t="inlineStr">
        <is>
          <t>1990-10-02</t>
        </is>
      </c>
      <c r="Y1088" t="n">
        <v>393</v>
      </c>
      <c r="Z1088" t="n">
        <v>310</v>
      </c>
      <c r="AA1088" t="n">
        <v>338</v>
      </c>
      <c r="AB1088" t="n">
        <v>2</v>
      </c>
      <c r="AC1088" t="n">
        <v>2</v>
      </c>
      <c r="AD1088" t="n">
        <v>9</v>
      </c>
      <c r="AE1088" t="n">
        <v>12</v>
      </c>
      <c r="AF1088" t="n">
        <v>4</v>
      </c>
      <c r="AG1088" t="n">
        <v>5</v>
      </c>
      <c r="AH1088" t="n">
        <v>2</v>
      </c>
      <c r="AI1088" t="n">
        <v>3</v>
      </c>
      <c r="AJ1088" t="n">
        <v>3</v>
      </c>
      <c r="AK1088" t="n">
        <v>4</v>
      </c>
      <c r="AL1088" t="n">
        <v>1</v>
      </c>
      <c r="AM1088" t="n">
        <v>1</v>
      </c>
      <c r="AN1088" t="n">
        <v>0</v>
      </c>
      <c r="AO1088" t="n">
        <v>0</v>
      </c>
      <c r="AP1088" t="inlineStr">
        <is>
          <t>No</t>
        </is>
      </c>
      <c r="AQ1088" t="inlineStr">
        <is>
          <t>Yes</t>
        </is>
      </c>
      <c r="AR1088">
        <f>HYPERLINK("http://catalog.hathitrust.org/Record/000262551","HathiTrust Record")</f>
        <v/>
      </c>
      <c r="AS1088">
        <f>HYPERLINK("https://creighton-primo.hosted.exlibrisgroup.com/primo-explore/search?tab=default_tab&amp;search_scope=EVERYTHING&amp;vid=01CRU&amp;lang=en_US&amp;offset=0&amp;query=any,contains,991005088969702656","Catalog Record")</f>
        <v/>
      </c>
      <c r="AT1088">
        <f>HYPERLINK("http://www.worldcat.org/oclc/7204968","WorldCat Record")</f>
        <v/>
      </c>
      <c r="AU1088" t="inlineStr">
        <is>
          <t>4417382178:eng</t>
        </is>
      </c>
      <c r="AV1088" t="inlineStr">
        <is>
          <t>7204968</t>
        </is>
      </c>
      <c r="AW1088" t="inlineStr">
        <is>
          <t>991005088969702656</t>
        </is>
      </c>
      <c r="AX1088" t="inlineStr">
        <is>
          <t>991005088969702656</t>
        </is>
      </c>
      <c r="AY1088" t="inlineStr">
        <is>
          <t>2265037070002656</t>
        </is>
      </c>
      <c r="AZ1088" t="inlineStr">
        <is>
          <t>BOOK</t>
        </is>
      </c>
      <c r="BB1088" t="inlineStr">
        <is>
          <t>9780313229015</t>
        </is>
      </c>
      <c r="BC1088" t="inlineStr">
        <is>
          <t>32285000318724</t>
        </is>
      </c>
      <c r="BD1088" t="inlineStr">
        <is>
          <t>893533142</t>
        </is>
      </c>
    </row>
    <row r="1089">
      <c r="A1089" t="inlineStr">
        <is>
          <t>No</t>
        </is>
      </c>
      <c r="B1089" t="inlineStr">
        <is>
          <t>GT3180 .B6 1972</t>
        </is>
      </c>
      <c r="C1089" t="inlineStr">
        <is>
          <t>0                      GT 3180000B  6           1972</t>
        </is>
      </c>
      <c r="D1089" t="inlineStr">
        <is>
          <t>Death in the Middle Ages : mortality, judgment, and remembrance / [by] T. S. R. Boase.</t>
        </is>
      </c>
      <c r="F1089" t="inlineStr">
        <is>
          <t>No</t>
        </is>
      </c>
      <c r="G1089" t="inlineStr">
        <is>
          <t>1</t>
        </is>
      </c>
      <c r="H1089" t="inlineStr">
        <is>
          <t>No</t>
        </is>
      </c>
      <c r="I1089" t="inlineStr">
        <is>
          <t>No</t>
        </is>
      </c>
      <c r="J1089" t="inlineStr">
        <is>
          <t>0</t>
        </is>
      </c>
      <c r="K1089" t="inlineStr">
        <is>
          <t>Boase, T. S. R. (Thomas Sherrer Ross), 1898-1974.</t>
        </is>
      </c>
      <c r="L1089" t="inlineStr">
        <is>
          <t>New York : McGraw-Hill, [1972]</t>
        </is>
      </c>
      <c r="M1089" t="inlineStr">
        <is>
          <t>1972</t>
        </is>
      </c>
      <c r="O1089" t="inlineStr">
        <is>
          <t>eng</t>
        </is>
      </c>
      <c r="P1089" t="inlineStr">
        <is>
          <t>nyu</t>
        </is>
      </c>
      <c r="Q1089" t="inlineStr">
        <is>
          <t>Library of medieval civilization</t>
        </is>
      </c>
      <c r="R1089" t="inlineStr">
        <is>
          <t xml:space="preserve">GT </t>
        </is>
      </c>
      <c r="S1089" t="n">
        <v>3</v>
      </c>
      <c r="T1089" t="n">
        <v>3</v>
      </c>
      <c r="U1089" t="inlineStr">
        <is>
          <t>1999-03-22</t>
        </is>
      </c>
      <c r="V1089" t="inlineStr">
        <is>
          <t>1999-03-22</t>
        </is>
      </c>
      <c r="W1089" t="inlineStr">
        <is>
          <t>1991-04-08</t>
        </is>
      </c>
      <c r="X1089" t="inlineStr">
        <is>
          <t>1991-04-08</t>
        </is>
      </c>
      <c r="Y1089" t="n">
        <v>867</v>
      </c>
      <c r="Z1089" t="n">
        <v>790</v>
      </c>
      <c r="AA1089" t="n">
        <v>847</v>
      </c>
      <c r="AB1089" t="n">
        <v>6</v>
      </c>
      <c r="AC1089" t="n">
        <v>6</v>
      </c>
      <c r="AD1089" t="n">
        <v>38</v>
      </c>
      <c r="AE1089" t="n">
        <v>38</v>
      </c>
      <c r="AF1089" t="n">
        <v>13</v>
      </c>
      <c r="AG1089" t="n">
        <v>13</v>
      </c>
      <c r="AH1089" t="n">
        <v>9</v>
      </c>
      <c r="AI1089" t="n">
        <v>9</v>
      </c>
      <c r="AJ1089" t="n">
        <v>20</v>
      </c>
      <c r="AK1089" t="n">
        <v>20</v>
      </c>
      <c r="AL1089" t="n">
        <v>5</v>
      </c>
      <c r="AM1089" t="n">
        <v>5</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HYPERLINK("https://creighton-primo.hosted.exlibrisgroup.com/primo-explore/search?tab=default_tab&amp;search_scope=EVERYTHING&amp;vid=01CRU&amp;lang=en_US&amp;offset=0&amp;query=any,contains,991002732679702656","Catalog Record")</f>
        <v/>
      </c>
      <c r="AT1089">
        <f>HYPERLINK("http://www.worldcat.org/oclc/417847","WorldCat Record")</f>
        <v/>
      </c>
      <c r="AU1089" t="inlineStr">
        <is>
          <t>808327814:eng</t>
        </is>
      </c>
      <c r="AV1089" t="inlineStr">
        <is>
          <t>417847</t>
        </is>
      </c>
      <c r="AW1089" t="inlineStr">
        <is>
          <t>991002732679702656</t>
        </is>
      </c>
      <c r="AX1089" t="inlineStr">
        <is>
          <t>991002732679702656</t>
        </is>
      </c>
      <c r="AY1089" t="inlineStr">
        <is>
          <t>2258296970002656</t>
        </is>
      </c>
      <c r="AZ1089" t="inlineStr">
        <is>
          <t>BOOK</t>
        </is>
      </c>
      <c r="BB1089" t="inlineStr">
        <is>
          <t>9780070062030</t>
        </is>
      </c>
      <c r="BC1089" t="inlineStr">
        <is>
          <t>32285000550565</t>
        </is>
      </c>
      <c r="BD1089" t="inlineStr">
        <is>
          <t>893880335</t>
        </is>
      </c>
    </row>
    <row r="1090">
      <c r="A1090" t="inlineStr">
        <is>
          <t>No</t>
        </is>
      </c>
      <c r="B1090" t="inlineStr">
        <is>
          <t>GT3203 .B6 1973</t>
        </is>
      </c>
      <c r="C1090" t="inlineStr">
        <is>
          <t>0                      GT 3203000B  6           1973</t>
        </is>
      </c>
      <c r="D1090" t="inlineStr">
        <is>
          <t>The American funeral : a study in guilt, extravagance, and sublimity / by LeRoy Bowman. Introd. by Harry A. Overstreet.</t>
        </is>
      </c>
      <c r="F1090" t="inlineStr">
        <is>
          <t>No</t>
        </is>
      </c>
      <c r="G1090" t="inlineStr">
        <is>
          <t>1</t>
        </is>
      </c>
      <c r="H1090" t="inlineStr">
        <is>
          <t>No</t>
        </is>
      </c>
      <c r="I1090" t="inlineStr">
        <is>
          <t>No</t>
        </is>
      </c>
      <c r="J1090" t="inlineStr">
        <is>
          <t>0</t>
        </is>
      </c>
      <c r="K1090" t="inlineStr">
        <is>
          <t>Bowman, LeRoy, 1887-1971.</t>
        </is>
      </c>
      <c r="L1090" t="inlineStr">
        <is>
          <t>Westport, Conn. : Greenwood Press, [1973, c1959]</t>
        </is>
      </c>
      <c r="M1090" t="inlineStr">
        <is>
          <t>1973</t>
        </is>
      </c>
      <c r="O1090" t="inlineStr">
        <is>
          <t>eng</t>
        </is>
      </c>
      <c r="P1090" t="inlineStr">
        <is>
          <t>ctu</t>
        </is>
      </c>
      <c r="R1090" t="inlineStr">
        <is>
          <t xml:space="preserve">GT </t>
        </is>
      </c>
      <c r="S1090" t="n">
        <v>2</v>
      </c>
      <c r="T1090" t="n">
        <v>2</v>
      </c>
      <c r="U1090" t="inlineStr">
        <is>
          <t>1999-02-04</t>
        </is>
      </c>
      <c r="V1090" t="inlineStr">
        <is>
          <t>1999-02-04</t>
        </is>
      </c>
      <c r="W1090" t="inlineStr">
        <is>
          <t>1994-12-08</t>
        </is>
      </c>
      <c r="X1090" t="inlineStr">
        <is>
          <t>1994-12-08</t>
        </is>
      </c>
      <c r="Y1090" t="n">
        <v>252</v>
      </c>
      <c r="Z1090" t="n">
        <v>234</v>
      </c>
      <c r="AA1090" t="n">
        <v>710</v>
      </c>
      <c r="AB1090" t="n">
        <v>4</v>
      </c>
      <c r="AC1090" t="n">
        <v>6</v>
      </c>
      <c r="AD1090" t="n">
        <v>6</v>
      </c>
      <c r="AE1090" t="n">
        <v>19</v>
      </c>
      <c r="AF1090" t="n">
        <v>1</v>
      </c>
      <c r="AG1090" t="n">
        <v>7</v>
      </c>
      <c r="AH1090" t="n">
        <v>0</v>
      </c>
      <c r="AI1090" t="n">
        <v>2</v>
      </c>
      <c r="AJ1090" t="n">
        <v>4</v>
      </c>
      <c r="AK1090" t="n">
        <v>10</v>
      </c>
      <c r="AL1090" t="n">
        <v>1</v>
      </c>
      <c r="AM1090" t="n">
        <v>2</v>
      </c>
      <c r="AN1090" t="n">
        <v>0</v>
      </c>
      <c r="AO1090" t="n">
        <v>0</v>
      </c>
      <c r="AP1090" t="inlineStr">
        <is>
          <t>No</t>
        </is>
      </c>
      <c r="AQ1090" t="inlineStr">
        <is>
          <t>Yes</t>
        </is>
      </c>
      <c r="AR1090">
        <f>HYPERLINK("http://catalog.hathitrust.org/Record/001277653","HathiTrust Record")</f>
        <v/>
      </c>
      <c r="AS1090">
        <f>HYPERLINK("https://creighton-primo.hosted.exlibrisgroup.com/primo-explore/search?tab=default_tab&amp;search_scope=EVERYTHING&amp;vid=01CRU&amp;lang=en_US&amp;offset=0&amp;query=any,contains,991003004599702656","Catalog Record")</f>
        <v/>
      </c>
      <c r="AT1090">
        <f>HYPERLINK("http://www.worldcat.org/oclc/572051","WorldCat Record")</f>
        <v/>
      </c>
      <c r="AU1090" t="inlineStr">
        <is>
          <t>500688:eng</t>
        </is>
      </c>
      <c r="AV1090" t="inlineStr">
        <is>
          <t>572051</t>
        </is>
      </c>
      <c r="AW1090" t="inlineStr">
        <is>
          <t>991003004599702656</t>
        </is>
      </c>
      <c r="AX1090" t="inlineStr">
        <is>
          <t>991003004599702656</t>
        </is>
      </c>
      <c r="AY1090" t="inlineStr">
        <is>
          <t>2272460240002656</t>
        </is>
      </c>
      <c r="AZ1090" t="inlineStr">
        <is>
          <t>BOOK</t>
        </is>
      </c>
      <c r="BB1090" t="inlineStr">
        <is>
          <t>9780837167497</t>
        </is>
      </c>
      <c r="BC1090" t="inlineStr">
        <is>
          <t>32285001981017</t>
        </is>
      </c>
      <c r="BD1090" t="inlineStr">
        <is>
          <t>893530757</t>
        </is>
      </c>
    </row>
    <row r="1091">
      <c r="A1091" t="inlineStr">
        <is>
          <t>No</t>
        </is>
      </c>
      <c r="B1091" t="inlineStr">
        <is>
          <t>GT3203 .E44 2010</t>
        </is>
      </c>
      <c r="C1091" t="inlineStr">
        <is>
          <t>0                      GT 3203000E  44          2010</t>
        </is>
      </c>
      <c r="D1091" t="inlineStr">
        <is>
          <t>Cemeteries / Keith Eggener.</t>
        </is>
      </c>
      <c r="F1091" t="inlineStr">
        <is>
          <t>No</t>
        </is>
      </c>
      <c r="G1091" t="inlineStr">
        <is>
          <t>1</t>
        </is>
      </c>
      <c r="H1091" t="inlineStr">
        <is>
          <t>No</t>
        </is>
      </c>
      <c r="I1091" t="inlineStr">
        <is>
          <t>No</t>
        </is>
      </c>
      <c r="J1091" t="inlineStr">
        <is>
          <t>0</t>
        </is>
      </c>
      <c r="K1091" t="inlineStr">
        <is>
          <t>Eggener, Keith.</t>
        </is>
      </c>
      <c r="L1091" t="inlineStr">
        <is>
          <t>New York : W.W. Norton &amp; Co. ; Washington, D.C. : Library of Congress, c2010.</t>
        </is>
      </c>
      <c r="M1091" t="inlineStr">
        <is>
          <t>2010</t>
        </is>
      </c>
      <c r="N1091" t="inlineStr">
        <is>
          <t>1st ed.</t>
        </is>
      </c>
      <c r="O1091" t="inlineStr">
        <is>
          <t>eng</t>
        </is>
      </c>
      <c r="P1091" t="inlineStr">
        <is>
          <t>nyu</t>
        </is>
      </c>
      <c r="Q1091" t="inlineStr">
        <is>
          <t>Norton/Library of Congress visual sourcebooks in architecture, design, and engineering</t>
        </is>
      </c>
      <c r="R1091" t="inlineStr">
        <is>
          <t xml:space="preserve">GT </t>
        </is>
      </c>
      <c r="S1091" t="n">
        <v>1</v>
      </c>
      <c r="T1091" t="n">
        <v>1</v>
      </c>
      <c r="U1091" t="inlineStr">
        <is>
          <t>2010-12-06</t>
        </is>
      </c>
      <c r="V1091" t="inlineStr">
        <is>
          <t>2010-12-06</t>
        </is>
      </c>
      <c r="W1091" t="inlineStr">
        <is>
          <t>2010-12-06</t>
        </is>
      </c>
      <c r="X1091" t="inlineStr">
        <is>
          <t>2010-12-06</t>
        </is>
      </c>
      <c r="Y1091" t="n">
        <v>311</v>
      </c>
      <c r="Z1091" t="n">
        <v>272</v>
      </c>
      <c r="AA1091" t="n">
        <v>272</v>
      </c>
      <c r="AB1091" t="n">
        <v>3</v>
      </c>
      <c r="AC1091" t="n">
        <v>3</v>
      </c>
      <c r="AD1091" t="n">
        <v>4</v>
      </c>
      <c r="AE1091" t="n">
        <v>4</v>
      </c>
      <c r="AF1091" t="n">
        <v>2</v>
      </c>
      <c r="AG1091" t="n">
        <v>2</v>
      </c>
      <c r="AH1091" t="n">
        <v>1</v>
      </c>
      <c r="AI1091" t="n">
        <v>1</v>
      </c>
      <c r="AJ1091" t="n">
        <v>3</v>
      </c>
      <c r="AK1091" t="n">
        <v>3</v>
      </c>
      <c r="AL1091" t="n">
        <v>0</v>
      </c>
      <c r="AM1091" t="n">
        <v>0</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HYPERLINK("https://creighton-primo.hosted.exlibrisgroup.com/primo-explore/search?tab=default_tab&amp;search_scope=EVERYTHING&amp;vid=01CRU&amp;lang=en_US&amp;offset=0&amp;query=any,contains,991000183059702656","Catalog Record")</f>
        <v/>
      </c>
      <c r="AT1091">
        <f>HYPERLINK("http://www.worldcat.org/oclc/495597251","WorldCat Record")</f>
        <v/>
      </c>
      <c r="AU1091" t="inlineStr">
        <is>
          <t>369601352:eng</t>
        </is>
      </c>
      <c r="AV1091" t="inlineStr">
        <is>
          <t>495597251</t>
        </is>
      </c>
      <c r="AW1091" t="inlineStr">
        <is>
          <t>991000183059702656</t>
        </is>
      </c>
      <c r="AX1091" t="inlineStr">
        <is>
          <t>991000183059702656</t>
        </is>
      </c>
      <c r="AY1091" t="inlineStr">
        <is>
          <t>2260693840002656</t>
        </is>
      </c>
      <c r="AZ1091" t="inlineStr">
        <is>
          <t>BOOK</t>
        </is>
      </c>
      <c r="BB1091" t="inlineStr">
        <is>
          <t>9780393731699</t>
        </is>
      </c>
      <c r="BC1091" t="inlineStr">
        <is>
          <t>32285005608400</t>
        </is>
      </c>
      <c r="BD1091" t="inlineStr">
        <is>
          <t>893327107</t>
        </is>
      </c>
    </row>
    <row r="1092">
      <c r="A1092" t="inlineStr">
        <is>
          <t>No</t>
        </is>
      </c>
      <c r="B1092" t="inlineStr">
        <is>
          <t>GT3203 .F37</t>
        </is>
      </c>
      <c r="C1092" t="inlineStr">
        <is>
          <t>0                      GT 3203000F  37</t>
        </is>
      </c>
      <c r="D1092" t="inlineStr">
        <is>
          <t>Inventing the American way of death, 1830-1920 / James J. Farrell.</t>
        </is>
      </c>
      <c r="F1092" t="inlineStr">
        <is>
          <t>No</t>
        </is>
      </c>
      <c r="G1092" t="inlineStr">
        <is>
          <t>1</t>
        </is>
      </c>
      <c r="H1092" t="inlineStr">
        <is>
          <t>No</t>
        </is>
      </c>
      <c r="I1092" t="inlineStr">
        <is>
          <t>No</t>
        </is>
      </c>
      <c r="J1092" t="inlineStr">
        <is>
          <t>0</t>
        </is>
      </c>
      <c r="K1092" t="inlineStr">
        <is>
          <t>Farrell, James J., 1949-2013.</t>
        </is>
      </c>
      <c r="L1092" t="inlineStr">
        <is>
          <t>Philadelphia : Temple University Press, 1980.</t>
        </is>
      </c>
      <c r="M1092" t="inlineStr">
        <is>
          <t>1980</t>
        </is>
      </c>
      <c r="O1092" t="inlineStr">
        <is>
          <t>eng</t>
        </is>
      </c>
      <c r="P1092" t="inlineStr">
        <is>
          <t>pau</t>
        </is>
      </c>
      <c r="Q1092" t="inlineStr">
        <is>
          <t>American civilization</t>
        </is>
      </c>
      <c r="R1092" t="inlineStr">
        <is>
          <t xml:space="preserve">GT </t>
        </is>
      </c>
      <c r="S1092" t="n">
        <v>2</v>
      </c>
      <c r="T1092" t="n">
        <v>2</v>
      </c>
      <c r="U1092" t="inlineStr">
        <is>
          <t>1999-02-04</t>
        </is>
      </c>
      <c r="V1092" t="inlineStr">
        <is>
          <t>1999-02-04</t>
        </is>
      </c>
      <c r="W1092" t="inlineStr">
        <is>
          <t>1990-10-02</t>
        </is>
      </c>
      <c r="X1092" t="inlineStr">
        <is>
          <t>1990-10-02</t>
        </is>
      </c>
      <c r="Y1092" t="n">
        <v>595</v>
      </c>
      <c r="Z1092" t="n">
        <v>532</v>
      </c>
      <c r="AA1092" t="n">
        <v>534</v>
      </c>
      <c r="AB1092" t="n">
        <v>5</v>
      </c>
      <c r="AC1092" t="n">
        <v>5</v>
      </c>
      <c r="AD1092" t="n">
        <v>26</v>
      </c>
      <c r="AE1092" t="n">
        <v>26</v>
      </c>
      <c r="AF1092" t="n">
        <v>11</v>
      </c>
      <c r="AG1092" t="n">
        <v>11</v>
      </c>
      <c r="AH1092" t="n">
        <v>7</v>
      </c>
      <c r="AI1092" t="n">
        <v>7</v>
      </c>
      <c r="AJ1092" t="n">
        <v>10</v>
      </c>
      <c r="AK1092" t="n">
        <v>10</v>
      </c>
      <c r="AL1092" t="n">
        <v>4</v>
      </c>
      <c r="AM1092" t="n">
        <v>4</v>
      </c>
      <c r="AN1092" t="n">
        <v>0</v>
      </c>
      <c r="AO1092" t="n">
        <v>0</v>
      </c>
      <c r="AP1092" t="inlineStr">
        <is>
          <t>No</t>
        </is>
      </c>
      <c r="AQ1092" t="inlineStr">
        <is>
          <t>Yes</t>
        </is>
      </c>
      <c r="AR1092">
        <f>HYPERLINK("http://catalog.hathitrust.org/Record/000701822","HathiTrust Record")</f>
        <v/>
      </c>
      <c r="AS1092">
        <f>HYPERLINK("https://creighton-primo.hosted.exlibrisgroup.com/primo-explore/search?tab=default_tab&amp;search_scope=EVERYTHING&amp;vid=01CRU&amp;lang=en_US&amp;offset=0&amp;query=any,contains,991004954809702656","Catalog Record")</f>
        <v/>
      </c>
      <c r="AT1092">
        <f>HYPERLINK("http://www.worldcat.org/oclc/6277406","WorldCat Record")</f>
        <v/>
      </c>
      <c r="AU1092" t="inlineStr">
        <is>
          <t>535718:eng</t>
        </is>
      </c>
      <c r="AV1092" t="inlineStr">
        <is>
          <t>6277406</t>
        </is>
      </c>
      <c r="AW1092" t="inlineStr">
        <is>
          <t>991004954809702656</t>
        </is>
      </c>
      <c r="AX1092" t="inlineStr">
        <is>
          <t>991004954809702656</t>
        </is>
      </c>
      <c r="AY1092" t="inlineStr">
        <is>
          <t>2268644100002656</t>
        </is>
      </c>
      <c r="AZ1092" t="inlineStr">
        <is>
          <t>BOOK</t>
        </is>
      </c>
      <c r="BB1092" t="inlineStr">
        <is>
          <t>9780877221807</t>
        </is>
      </c>
      <c r="BC1092" t="inlineStr">
        <is>
          <t>32285000318799</t>
        </is>
      </c>
      <c r="BD1092" t="inlineStr">
        <is>
          <t>893430649</t>
        </is>
      </c>
    </row>
    <row r="1093">
      <c r="A1093" t="inlineStr">
        <is>
          <t>No</t>
        </is>
      </c>
      <c r="B1093" t="inlineStr">
        <is>
          <t>GT3203 .P37</t>
        </is>
      </c>
      <c r="C1093" t="inlineStr">
        <is>
          <t>0                      GT 3203000P  37</t>
        </is>
      </c>
      <c r="D1093" t="inlineStr">
        <is>
          <t>Passing : the vision of death in America / edited by Charles O. Jackson.</t>
        </is>
      </c>
      <c r="F1093" t="inlineStr">
        <is>
          <t>No</t>
        </is>
      </c>
      <c r="G1093" t="inlineStr">
        <is>
          <t>1</t>
        </is>
      </c>
      <c r="H1093" t="inlineStr">
        <is>
          <t>No</t>
        </is>
      </c>
      <c r="I1093" t="inlineStr">
        <is>
          <t>No</t>
        </is>
      </c>
      <c r="J1093" t="inlineStr">
        <is>
          <t>0</t>
        </is>
      </c>
      <c r="L1093" t="inlineStr">
        <is>
          <t>Westport, Conn. : Greenwood Press, 1977.</t>
        </is>
      </c>
      <c r="M1093" t="inlineStr">
        <is>
          <t>1977</t>
        </is>
      </c>
      <c r="O1093" t="inlineStr">
        <is>
          <t>eng</t>
        </is>
      </c>
      <c r="P1093" t="inlineStr">
        <is>
          <t>ctu</t>
        </is>
      </c>
      <c r="Q1093" t="inlineStr">
        <is>
          <t>Contributions in family studies, 0147-1023 ; no. 2</t>
        </is>
      </c>
      <c r="R1093" t="inlineStr">
        <is>
          <t xml:space="preserve">GT </t>
        </is>
      </c>
      <c r="S1093" t="n">
        <v>10</v>
      </c>
      <c r="T1093" t="n">
        <v>10</v>
      </c>
      <c r="U1093" t="inlineStr">
        <is>
          <t>2006-11-14</t>
        </is>
      </c>
      <c r="V1093" t="inlineStr">
        <is>
          <t>2006-11-14</t>
        </is>
      </c>
      <c r="W1093" t="inlineStr">
        <is>
          <t>1993-11-02</t>
        </is>
      </c>
      <c r="X1093" t="inlineStr">
        <is>
          <t>1993-11-02</t>
        </is>
      </c>
      <c r="Y1093" t="n">
        <v>803</v>
      </c>
      <c r="Z1093" t="n">
        <v>705</v>
      </c>
      <c r="AA1093" t="n">
        <v>712</v>
      </c>
      <c r="AB1093" t="n">
        <v>4</v>
      </c>
      <c r="AC1093" t="n">
        <v>4</v>
      </c>
      <c r="AD1093" t="n">
        <v>25</v>
      </c>
      <c r="AE1093" t="n">
        <v>25</v>
      </c>
      <c r="AF1093" t="n">
        <v>9</v>
      </c>
      <c r="AG1093" t="n">
        <v>9</v>
      </c>
      <c r="AH1093" t="n">
        <v>7</v>
      </c>
      <c r="AI1093" t="n">
        <v>7</v>
      </c>
      <c r="AJ1093" t="n">
        <v>12</v>
      </c>
      <c r="AK1093" t="n">
        <v>12</v>
      </c>
      <c r="AL1093" t="n">
        <v>3</v>
      </c>
      <c r="AM1093" t="n">
        <v>3</v>
      </c>
      <c r="AN1093" t="n">
        <v>0</v>
      </c>
      <c r="AO1093" t="n">
        <v>0</v>
      </c>
      <c r="AP1093" t="inlineStr">
        <is>
          <t>No</t>
        </is>
      </c>
      <c r="AQ1093" t="inlineStr">
        <is>
          <t>Yes</t>
        </is>
      </c>
      <c r="AR1093">
        <f>HYPERLINK("http://catalog.hathitrust.org/Record/000293450","HathiTrust Record")</f>
        <v/>
      </c>
      <c r="AS1093">
        <f>HYPERLINK("https://creighton-primo.hosted.exlibrisgroup.com/primo-explore/search?tab=default_tab&amp;search_scope=EVERYTHING&amp;vid=01CRU&amp;lang=en_US&amp;offset=0&amp;query=any,contains,991004361919702656","Catalog Record")</f>
        <v/>
      </c>
      <c r="AT1093">
        <f>HYPERLINK("http://www.worldcat.org/oclc/3167890","WorldCat Record")</f>
        <v/>
      </c>
      <c r="AU1093" t="inlineStr">
        <is>
          <t>876519423:eng</t>
        </is>
      </c>
      <c r="AV1093" t="inlineStr">
        <is>
          <t>3167890</t>
        </is>
      </c>
      <c r="AW1093" t="inlineStr">
        <is>
          <t>991004361919702656</t>
        </is>
      </c>
      <c r="AX1093" t="inlineStr">
        <is>
          <t>991004361919702656</t>
        </is>
      </c>
      <c r="AY1093" t="inlineStr">
        <is>
          <t>2262195410002656</t>
        </is>
      </c>
      <c r="AZ1093" t="inlineStr">
        <is>
          <t>BOOK</t>
        </is>
      </c>
      <c r="BB1093" t="inlineStr">
        <is>
          <t>9780837197579</t>
        </is>
      </c>
      <c r="BC1093" t="inlineStr">
        <is>
          <t>32285001795961</t>
        </is>
      </c>
      <c r="BD1093" t="inlineStr">
        <is>
          <t>893718813</t>
        </is>
      </c>
    </row>
    <row r="1094">
      <c r="A1094" t="inlineStr">
        <is>
          <t>No</t>
        </is>
      </c>
      <c r="B1094" t="inlineStr">
        <is>
          <t>GT3203 .P56</t>
        </is>
      </c>
      <c r="C1094" t="inlineStr">
        <is>
          <t>0                      GT 3203000P  56</t>
        </is>
      </c>
      <c r="D1094" t="inlineStr">
        <is>
          <t>Caretaker of the dead : the American funeral director / by Vanderlyn R. Pine.</t>
        </is>
      </c>
      <c r="F1094" t="inlineStr">
        <is>
          <t>No</t>
        </is>
      </c>
      <c r="G1094" t="inlineStr">
        <is>
          <t>1</t>
        </is>
      </c>
      <c r="H1094" t="inlineStr">
        <is>
          <t>No</t>
        </is>
      </c>
      <c r="I1094" t="inlineStr">
        <is>
          <t>No</t>
        </is>
      </c>
      <c r="J1094" t="inlineStr">
        <is>
          <t>0</t>
        </is>
      </c>
      <c r="K1094" t="inlineStr">
        <is>
          <t>Pine, Vanderlyn R.</t>
        </is>
      </c>
      <c r="L1094" t="inlineStr">
        <is>
          <t>New York : Irvington Publishers : distributed by Halsted Press, [1975]</t>
        </is>
      </c>
      <c r="M1094" t="inlineStr">
        <is>
          <t>1975</t>
        </is>
      </c>
      <c r="O1094" t="inlineStr">
        <is>
          <t>eng</t>
        </is>
      </c>
      <c r="P1094" t="inlineStr">
        <is>
          <t>nyu</t>
        </is>
      </c>
      <c r="R1094" t="inlineStr">
        <is>
          <t xml:space="preserve">GT </t>
        </is>
      </c>
      <c r="S1094" t="n">
        <v>4</v>
      </c>
      <c r="T1094" t="n">
        <v>4</v>
      </c>
      <c r="U1094" t="inlineStr">
        <is>
          <t>2005-03-30</t>
        </is>
      </c>
      <c r="V1094" t="inlineStr">
        <is>
          <t>2005-03-30</t>
        </is>
      </c>
      <c r="W1094" t="inlineStr">
        <is>
          <t>1997-05-29</t>
        </is>
      </c>
      <c r="X1094" t="inlineStr">
        <is>
          <t>1997-05-29</t>
        </is>
      </c>
      <c r="Y1094" t="n">
        <v>562</v>
      </c>
      <c r="Z1094" t="n">
        <v>507</v>
      </c>
      <c r="AA1094" t="n">
        <v>509</v>
      </c>
      <c r="AB1094" t="n">
        <v>5</v>
      </c>
      <c r="AC1094" t="n">
        <v>5</v>
      </c>
      <c r="AD1094" t="n">
        <v>20</v>
      </c>
      <c r="AE1094" t="n">
        <v>20</v>
      </c>
      <c r="AF1094" t="n">
        <v>9</v>
      </c>
      <c r="AG1094" t="n">
        <v>9</v>
      </c>
      <c r="AH1094" t="n">
        <v>3</v>
      </c>
      <c r="AI1094" t="n">
        <v>3</v>
      </c>
      <c r="AJ1094" t="n">
        <v>8</v>
      </c>
      <c r="AK1094" t="n">
        <v>8</v>
      </c>
      <c r="AL1094" t="n">
        <v>4</v>
      </c>
      <c r="AM1094" t="n">
        <v>4</v>
      </c>
      <c r="AN1094" t="n">
        <v>0</v>
      </c>
      <c r="AO1094" t="n">
        <v>0</v>
      </c>
      <c r="AP1094" t="inlineStr">
        <is>
          <t>No</t>
        </is>
      </c>
      <c r="AQ1094" t="inlineStr">
        <is>
          <t>Yes</t>
        </is>
      </c>
      <c r="AR1094">
        <f>HYPERLINK("http://catalog.hathitrust.org/Record/000027077","HathiTrust Record")</f>
        <v/>
      </c>
      <c r="AS1094">
        <f>HYPERLINK("https://creighton-primo.hosted.exlibrisgroup.com/primo-explore/search?tab=default_tab&amp;search_scope=EVERYTHING&amp;vid=01CRU&amp;lang=en_US&amp;offset=0&amp;query=any,contains,991003653889702656","Catalog Record")</f>
        <v/>
      </c>
      <c r="AT1094">
        <f>HYPERLINK("http://www.worldcat.org/oclc/1257088","WorldCat Record")</f>
        <v/>
      </c>
      <c r="AU1094" t="inlineStr">
        <is>
          <t>574735:eng</t>
        </is>
      </c>
      <c r="AV1094" t="inlineStr">
        <is>
          <t>1257088</t>
        </is>
      </c>
      <c r="AW1094" t="inlineStr">
        <is>
          <t>991003653889702656</t>
        </is>
      </c>
      <c r="AX1094" t="inlineStr">
        <is>
          <t>991003653889702656</t>
        </is>
      </c>
      <c r="AY1094" t="inlineStr">
        <is>
          <t>2257468630002656</t>
        </is>
      </c>
      <c r="AZ1094" t="inlineStr">
        <is>
          <t>BOOK</t>
        </is>
      </c>
      <c r="BB1094" t="inlineStr">
        <is>
          <t>9780470689929</t>
        </is>
      </c>
      <c r="BC1094" t="inlineStr">
        <is>
          <t>32285002699303</t>
        </is>
      </c>
      <c r="BD1094" t="inlineStr">
        <is>
          <t>893810097</t>
        </is>
      </c>
    </row>
    <row r="1095">
      <c r="A1095" t="inlineStr">
        <is>
          <t>No</t>
        </is>
      </c>
      <c r="B1095" t="inlineStr">
        <is>
          <t>GT3203.A2 S56 1995</t>
        </is>
      </c>
      <c r="C1095" t="inlineStr">
        <is>
          <t>0                      GT 3203000A  2                  S  56          1995</t>
        </is>
      </c>
      <c r="D1095" t="inlineStr">
        <is>
          <t>The last great necessity : cemeteries in American history / David Charles Sloane.</t>
        </is>
      </c>
      <c r="F1095" t="inlineStr">
        <is>
          <t>No</t>
        </is>
      </c>
      <c r="G1095" t="inlineStr">
        <is>
          <t>1</t>
        </is>
      </c>
      <c r="H1095" t="inlineStr">
        <is>
          <t>No</t>
        </is>
      </c>
      <c r="I1095" t="inlineStr">
        <is>
          <t>No</t>
        </is>
      </c>
      <c r="J1095" t="inlineStr">
        <is>
          <t>0</t>
        </is>
      </c>
      <c r="K1095" t="inlineStr">
        <is>
          <t>Sloane, David Charles.</t>
        </is>
      </c>
      <c r="L1095" t="inlineStr">
        <is>
          <t>Baltimore, Md. : Johns Hopkins University Press, 1995.</t>
        </is>
      </c>
      <c r="M1095" t="inlineStr">
        <is>
          <t>1995</t>
        </is>
      </c>
      <c r="N1095" t="inlineStr">
        <is>
          <t>John Hopkins pbk. ed.</t>
        </is>
      </c>
      <c r="O1095" t="inlineStr">
        <is>
          <t>eng</t>
        </is>
      </c>
      <c r="P1095" t="inlineStr">
        <is>
          <t>mdu</t>
        </is>
      </c>
      <c r="Q1095" t="inlineStr">
        <is>
          <t>Creating the North American landscape</t>
        </is>
      </c>
      <c r="R1095" t="inlineStr">
        <is>
          <t xml:space="preserve">GT </t>
        </is>
      </c>
      <c r="S1095" t="n">
        <v>5</v>
      </c>
      <c r="T1095" t="n">
        <v>5</v>
      </c>
      <c r="U1095" t="inlineStr">
        <is>
          <t>1998-03-06</t>
        </is>
      </c>
      <c r="V1095" t="inlineStr">
        <is>
          <t>1998-03-06</t>
        </is>
      </c>
      <c r="W1095" t="inlineStr">
        <is>
          <t>1996-02-27</t>
        </is>
      </c>
      <c r="X1095" t="inlineStr">
        <is>
          <t>1996-02-27</t>
        </is>
      </c>
      <c r="Y1095" t="n">
        <v>71</v>
      </c>
      <c r="Z1095" t="n">
        <v>68</v>
      </c>
      <c r="AA1095" t="n">
        <v>730</v>
      </c>
      <c r="AB1095" t="n">
        <v>1</v>
      </c>
      <c r="AC1095" t="n">
        <v>4</v>
      </c>
      <c r="AD1095" t="n">
        <v>2</v>
      </c>
      <c r="AE1095" t="n">
        <v>26</v>
      </c>
      <c r="AF1095" t="n">
        <v>2</v>
      </c>
      <c r="AG1095" t="n">
        <v>10</v>
      </c>
      <c r="AH1095" t="n">
        <v>0</v>
      </c>
      <c r="AI1095" t="n">
        <v>6</v>
      </c>
      <c r="AJ1095" t="n">
        <v>0</v>
      </c>
      <c r="AK1095" t="n">
        <v>13</v>
      </c>
      <c r="AL1095" t="n">
        <v>0</v>
      </c>
      <c r="AM1095" t="n">
        <v>3</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HYPERLINK("https://creighton-primo.hosted.exlibrisgroup.com/primo-explore/search?tab=default_tab&amp;search_scope=EVERYTHING&amp;vid=01CRU&amp;lang=en_US&amp;offset=0&amp;query=any,contains,991002613909702656","Catalog Record")</f>
        <v/>
      </c>
      <c r="AT1095">
        <f>HYPERLINK("http://www.worldcat.org/oclc/34268565","WorldCat Record")</f>
        <v/>
      </c>
      <c r="AU1095" t="inlineStr">
        <is>
          <t>20910635:eng</t>
        </is>
      </c>
      <c r="AV1095" t="inlineStr">
        <is>
          <t>34268565</t>
        </is>
      </c>
      <c r="AW1095" t="inlineStr">
        <is>
          <t>991002613909702656</t>
        </is>
      </c>
      <c r="AX1095" t="inlineStr">
        <is>
          <t>991002613909702656</t>
        </is>
      </c>
      <c r="AY1095" t="inlineStr">
        <is>
          <t>2272242820002656</t>
        </is>
      </c>
      <c r="AZ1095" t="inlineStr">
        <is>
          <t>BOOK</t>
        </is>
      </c>
      <c r="BB1095" t="inlineStr">
        <is>
          <t>9780801851285</t>
        </is>
      </c>
      <c r="BC1095" t="inlineStr">
        <is>
          <t>32285002138419</t>
        </is>
      </c>
      <c r="BD1095" t="inlineStr">
        <is>
          <t>893903989</t>
        </is>
      </c>
    </row>
    <row r="1096">
      <c r="A1096" t="inlineStr">
        <is>
          <t>No</t>
        </is>
      </c>
      <c r="B1096" t="inlineStr">
        <is>
          <t>GT3214 .L65 2005</t>
        </is>
      </c>
      <c r="C1096" t="inlineStr">
        <is>
          <t>0                      GT 3214000L  65          2005</t>
        </is>
      </c>
      <c r="D1096" t="inlineStr">
        <is>
          <t>Death and the idea of Mexico / Claudio Lomnitz.</t>
        </is>
      </c>
      <c r="F1096" t="inlineStr">
        <is>
          <t>No</t>
        </is>
      </c>
      <c r="G1096" t="inlineStr">
        <is>
          <t>1</t>
        </is>
      </c>
      <c r="H1096" t="inlineStr">
        <is>
          <t>No</t>
        </is>
      </c>
      <c r="I1096" t="inlineStr">
        <is>
          <t>No</t>
        </is>
      </c>
      <c r="J1096" t="inlineStr">
        <is>
          <t>0</t>
        </is>
      </c>
      <c r="K1096" t="inlineStr">
        <is>
          <t>Lomnitz-Adler, Claudio.</t>
        </is>
      </c>
      <c r="L1096" t="inlineStr">
        <is>
          <t>Brooklyn, N.Y. : Zone Books ; Cambridge, Mass. ; Distributed by MIT Press, 2005.</t>
        </is>
      </c>
      <c r="M1096" t="inlineStr">
        <is>
          <t>2005</t>
        </is>
      </c>
      <c r="O1096" t="inlineStr">
        <is>
          <t>eng</t>
        </is>
      </c>
      <c r="P1096" t="inlineStr">
        <is>
          <t>nyu</t>
        </is>
      </c>
      <c r="R1096" t="inlineStr">
        <is>
          <t xml:space="preserve">GT </t>
        </is>
      </c>
      <c r="S1096" t="n">
        <v>2</v>
      </c>
      <c r="T1096" t="n">
        <v>2</v>
      </c>
      <c r="U1096" t="inlineStr">
        <is>
          <t>2006-07-05</t>
        </is>
      </c>
      <c r="V1096" t="inlineStr">
        <is>
          <t>2006-07-05</t>
        </is>
      </c>
      <c r="W1096" t="inlineStr">
        <is>
          <t>2006-05-23</t>
        </is>
      </c>
      <c r="X1096" t="inlineStr">
        <is>
          <t>2006-05-23</t>
        </is>
      </c>
      <c r="Y1096" t="n">
        <v>472</v>
      </c>
      <c r="Z1096" t="n">
        <v>391</v>
      </c>
      <c r="AA1096" t="n">
        <v>423</v>
      </c>
      <c r="AB1096" t="n">
        <v>4</v>
      </c>
      <c r="AC1096" t="n">
        <v>4</v>
      </c>
      <c r="AD1096" t="n">
        <v>20</v>
      </c>
      <c r="AE1096" t="n">
        <v>22</v>
      </c>
      <c r="AF1096" t="n">
        <v>8</v>
      </c>
      <c r="AG1096" t="n">
        <v>8</v>
      </c>
      <c r="AH1096" t="n">
        <v>5</v>
      </c>
      <c r="AI1096" t="n">
        <v>5</v>
      </c>
      <c r="AJ1096" t="n">
        <v>7</v>
      </c>
      <c r="AK1096" t="n">
        <v>9</v>
      </c>
      <c r="AL1096" t="n">
        <v>3</v>
      </c>
      <c r="AM1096" t="n">
        <v>3</v>
      </c>
      <c r="AN1096" t="n">
        <v>0</v>
      </c>
      <c r="AO1096" t="n">
        <v>0</v>
      </c>
      <c r="AP1096" t="inlineStr">
        <is>
          <t>No</t>
        </is>
      </c>
      <c r="AQ1096" t="inlineStr">
        <is>
          <t>Yes</t>
        </is>
      </c>
      <c r="AR1096">
        <f>HYPERLINK("http://catalog.hathitrust.org/Record/005088326","HathiTrust Record")</f>
        <v/>
      </c>
      <c r="AS1096">
        <f>HYPERLINK("https://creighton-primo.hosted.exlibrisgroup.com/primo-explore/search?tab=default_tab&amp;search_scope=EVERYTHING&amp;vid=01CRU&amp;lang=en_US&amp;offset=0&amp;query=any,contains,991004817329702656","Catalog Record")</f>
        <v/>
      </c>
      <c r="AT1096">
        <f>HYPERLINK("http://www.worldcat.org/oclc/57185556","WorldCat Record")</f>
        <v/>
      </c>
      <c r="AU1096" t="inlineStr">
        <is>
          <t>18069260:eng</t>
        </is>
      </c>
      <c r="AV1096" t="inlineStr">
        <is>
          <t>57185556</t>
        </is>
      </c>
      <c r="AW1096" t="inlineStr">
        <is>
          <t>991004817329702656</t>
        </is>
      </c>
      <c r="AX1096" t="inlineStr">
        <is>
          <t>991004817329702656</t>
        </is>
      </c>
      <c r="AY1096" t="inlineStr">
        <is>
          <t>2270588330002656</t>
        </is>
      </c>
      <c r="AZ1096" t="inlineStr">
        <is>
          <t>BOOK</t>
        </is>
      </c>
      <c r="BB1096" t="inlineStr">
        <is>
          <t>9781890951535</t>
        </is>
      </c>
      <c r="BC1096" t="inlineStr">
        <is>
          <t>32285005188874</t>
        </is>
      </c>
      <c r="BD1096" t="inlineStr">
        <is>
          <t>893532841</t>
        </is>
      </c>
    </row>
    <row r="1097">
      <c r="A1097" t="inlineStr">
        <is>
          <t>No</t>
        </is>
      </c>
      <c r="B1097" t="inlineStr">
        <is>
          <t>GT3242 .P39 1990</t>
        </is>
      </c>
      <c r="C1097" t="inlineStr">
        <is>
          <t>0                      GT 3242000P  39          1990</t>
        </is>
      </c>
      <c r="D1097" t="inlineStr">
        <is>
          <t>Christianizing death : the creation of a ritual process in early medieval Europe / Frederick S. Paxton.</t>
        </is>
      </c>
      <c r="F1097" t="inlineStr">
        <is>
          <t>No</t>
        </is>
      </c>
      <c r="G1097" t="inlineStr">
        <is>
          <t>1</t>
        </is>
      </c>
      <c r="H1097" t="inlineStr">
        <is>
          <t>No</t>
        </is>
      </c>
      <c r="I1097" t="inlineStr">
        <is>
          <t>No</t>
        </is>
      </c>
      <c r="J1097" t="inlineStr">
        <is>
          <t>0</t>
        </is>
      </c>
      <c r="K1097" t="inlineStr">
        <is>
          <t>Paxton, Frederick S., 1951-</t>
        </is>
      </c>
      <c r="L1097" t="inlineStr">
        <is>
          <t>Ithaca : Cornell University Press, 1990.</t>
        </is>
      </c>
      <c r="M1097" t="inlineStr">
        <is>
          <t>1990</t>
        </is>
      </c>
      <c r="O1097" t="inlineStr">
        <is>
          <t>eng</t>
        </is>
      </c>
      <c r="P1097" t="inlineStr">
        <is>
          <t>nyu</t>
        </is>
      </c>
      <c r="R1097" t="inlineStr">
        <is>
          <t xml:space="preserve">GT </t>
        </is>
      </c>
      <c r="S1097" t="n">
        <v>5</v>
      </c>
      <c r="T1097" t="n">
        <v>5</v>
      </c>
      <c r="U1097" t="inlineStr">
        <is>
          <t>2001-10-30</t>
        </is>
      </c>
      <c r="V1097" t="inlineStr">
        <is>
          <t>2001-10-30</t>
        </is>
      </c>
      <c r="W1097" t="inlineStr">
        <is>
          <t>1994-06-20</t>
        </is>
      </c>
      <c r="X1097" t="inlineStr">
        <is>
          <t>1994-06-20</t>
        </is>
      </c>
      <c r="Y1097" t="n">
        <v>560</v>
      </c>
      <c r="Z1097" t="n">
        <v>434</v>
      </c>
      <c r="AA1097" t="n">
        <v>490</v>
      </c>
      <c r="AB1097" t="n">
        <v>3</v>
      </c>
      <c r="AC1097" t="n">
        <v>3</v>
      </c>
      <c r="AD1097" t="n">
        <v>26</v>
      </c>
      <c r="AE1097" t="n">
        <v>29</v>
      </c>
      <c r="AF1097" t="n">
        <v>9</v>
      </c>
      <c r="AG1097" t="n">
        <v>12</v>
      </c>
      <c r="AH1097" t="n">
        <v>8</v>
      </c>
      <c r="AI1097" t="n">
        <v>8</v>
      </c>
      <c r="AJ1097" t="n">
        <v>14</v>
      </c>
      <c r="AK1097" t="n">
        <v>14</v>
      </c>
      <c r="AL1097" t="n">
        <v>2</v>
      </c>
      <c r="AM1097" t="n">
        <v>2</v>
      </c>
      <c r="AN1097" t="n">
        <v>0</v>
      </c>
      <c r="AO1097" t="n">
        <v>0</v>
      </c>
      <c r="AP1097" t="inlineStr">
        <is>
          <t>No</t>
        </is>
      </c>
      <c r="AQ1097" t="inlineStr">
        <is>
          <t>Yes</t>
        </is>
      </c>
      <c r="AR1097">
        <f>HYPERLINK("http://catalog.hathitrust.org/Record/002233381","HathiTrust Record")</f>
        <v/>
      </c>
      <c r="AS1097">
        <f>HYPERLINK("https://creighton-primo.hosted.exlibrisgroup.com/primo-explore/search?tab=default_tab&amp;search_scope=EVERYTHING&amp;vid=01CRU&amp;lang=en_US&amp;offset=0&amp;query=any,contains,991001675599702656","Catalog Record")</f>
        <v/>
      </c>
      <c r="AT1097">
        <f>HYPERLINK("http://www.worldcat.org/oclc/21330480","WorldCat Record")</f>
        <v/>
      </c>
      <c r="AU1097" t="inlineStr">
        <is>
          <t>23327510:eng</t>
        </is>
      </c>
      <c r="AV1097" t="inlineStr">
        <is>
          <t>21330480</t>
        </is>
      </c>
      <c r="AW1097" t="inlineStr">
        <is>
          <t>991001675599702656</t>
        </is>
      </c>
      <c r="AX1097" t="inlineStr">
        <is>
          <t>991001675599702656</t>
        </is>
      </c>
      <c r="AY1097" t="inlineStr">
        <is>
          <t>2260162530002656</t>
        </is>
      </c>
      <c r="AZ1097" t="inlineStr">
        <is>
          <t>BOOK</t>
        </is>
      </c>
      <c r="BB1097" t="inlineStr">
        <is>
          <t>9780801424922</t>
        </is>
      </c>
      <c r="BC1097" t="inlineStr">
        <is>
          <t>32285001922987</t>
        </is>
      </c>
      <c r="BD1097" t="inlineStr">
        <is>
          <t>893503587</t>
        </is>
      </c>
    </row>
    <row r="1098">
      <c r="A1098" t="inlineStr">
        <is>
          <t>No</t>
        </is>
      </c>
      <c r="B1098" t="inlineStr">
        <is>
          <t>GT3243 .G6 1977</t>
        </is>
      </c>
      <c r="C1098" t="inlineStr">
        <is>
          <t>0                      GT 3243000G  6           1977</t>
        </is>
      </c>
      <c r="D1098" t="inlineStr">
        <is>
          <t>Death, grief, and mourning / Geoffrey Gorer.</t>
        </is>
      </c>
      <c r="F1098" t="inlineStr">
        <is>
          <t>No</t>
        </is>
      </c>
      <c r="G1098" t="inlineStr">
        <is>
          <t>1</t>
        </is>
      </c>
      <c r="H1098" t="inlineStr">
        <is>
          <t>No</t>
        </is>
      </c>
      <c r="I1098" t="inlineStr">
        <is>
          <t>No</t>
        </is>
      </c>
      <c r="J1098" t="inlineStr">
        <is>
          <t>0</t>
        </is>
      </c>
      <c r="K1098" t="inlineStr">
        <is>
          <t>Gorer, Geoffrey, 1905-1985.</t>
        </is>
      </c>
      <c r="L1098" t="inlineStr">
        <is>
          <t>New York : Arno Press, 1977, c1965.</t>
        </is>
      </c>
      <c r="M1098" t="inlineStr">
        <is>
          <t>1977</t>
        </is>
      </c>
      <c r="O1098" t="inlineStr">
        <is>
          <t>eng</t>
        </is>
      </c>
      <c r="P1098" t="inlineStr">
        <is>
          <t>nyu</t>
        </is>
      </c>
      <c r="Q1098" t="inlineStr">
        <is>
          <t>The Literature of death and dying</t>
        </is>
      </c>
      <c r="R1098" t="inlineStr">
        <is>
          <t xml:space="preserve">GT </t>
        </is>
      </c>
      <c r="S1098" t="n">
        <v>7</v>
      </c>
      <c r="T1098" t="n">
        <v>7</v>
      </c>
      <c r="U1098" t="inlineStr">
        <is>
          <t>2001-09-19</t>
        </is>
      </c>
      <c r="V1098" t="inlineStr">
        <is>
          <t>2001-09-19</t>
        </is>
      </c>
      <c r="W1098" t="inlineStr">
        <is>
          <t>1990-02-05</t>
        </is>
      </c>
      <c r="X1098" t="inlineStr">
        <is>
          <t>1990-02-05</t>
        </is>
      </c>
      <c r="Y1098" t="n">
        <v>201</v>
      </c>
      <c r="Z1098" t="n">
        <v>182</v>
      </c>
      <c r="AA1098" t="n">
        <v>570</v>
      </c>
      <c r="AB1098" t="n">
        <v>1</v>
      </c>
      <c r="AC1098" t="n">
        <v>6</v>
      </c>
      <c r="AD1098" t="n">
        <v>4</v>
      </c>
      <c r="AE1098" t="n">
        <v>25</v>
      </c>
      <c r="AF1098" t="n">
        <v>1</v>
      </c>
      <c r="AG1098" t="n">
        <v>10</v>
      </c>
      <c r="AH1098" t="n">
        <v>0</v>
      </c>
      <c r="AI1098" t="n">
        <v>4</v>
      </c>
      <c r="AJ1098" t="n">
        <v>3</v>
      </c>
      <c r="AK1098" t="n">
        <v>13</v>
      </c>
      <c r="AL1098" t="n">
        <v>0</v>
      </c>
      <c r="AM1098" t="n">
        <v>5</v>
      </c>
      <c r="AN1098" t="n">
        <v>0</v>
      </c>
      <c r="AO1098" t="n">
        <v>0</v>
      </c>
      <c r="AP1098" t="inlineStr">
        <is>
          <t>No</t>
        </is>
      </c>
      <c r="AQ1098" t="inlineStr">
        <is>
          <t>Yes</t>
        </is>
      </c>
      <c r="AR1098">
        <f>HYPERLINK("http://catalog.hathitrust.org/Record/000721156","HathiTrust Record")</f>
        <v/>
      </c>
      <c r="AS1098">
        <f>HYPERLINK("https://creighton-primo.hosted.exlibrisgroup.com/primo-explore/search?tab=default_tab&amp;search_scope=EVERYTHING&amp;vid=01CRU&amp;lang=en_US&amp;offset=0&amp;query=any,contains,991004118689702656","Catalog Record")</f>
        <v/>
      </c>
      <c r="AT1098">
        <f>HYPERLINK("http://www.worldcat.org/oclc/2423378","WorldCat Record")</f>
        <v/>
      </c>
      <c r="AU1098" t="inlineStr">
        <is>
          <t>2542176803:eng</t>
        </is>
      </c>
      <c r="AV1098" t="inlineStr">
        <is>
          <t>2423378</t>
        </is>
      </c>
      <c r="AW1098" t="inlineStr">
        <is>
          <t>991004118689702656</t>
        </is>
      </c>
      <c r="AX1098" t="inlineStr">
        <is>
          <t>991004118689702656</t>
        </is>
      </c>
      <c r="AY1098" t="inlineStr">
        <is>
          <t>2265617570002656</t>
        </is>
      </c>
      <c r="AZ1098" t="inlineStr">
        <is>
          <t>BOOK</t>
        </is>
      </c>
      <c r="BB1098" t="inlineStr">
        <is>
          <t>9780405095719</t>
        </is>
      </c>
      <c r="BC1098" t="inlineStr">
        <is>
          <t>32285000032580</t>
        </is>
      </c>
      <c r="BD1098" t="inlineStr">
        <is>
          <t>893423406</t>
        </is>
      </c>
    </row>
    <row r="1099">
      <c r="A1099" t="inlineStr">
        <is>
          <t>No</t>
        </is>
      </c>
      <c r="B1099" t="inlineStr">
        <is>
          <t>GT3274.5.P19 M33 2003</t>
        </is>
      </c>
      <c r="C1099" t="inlineStr">
        <is>
          <t>0                      GT 3274500P  19                 M  33          2003</t>
        </is>
      </c>
      <c r="D1099" t="inlineStr">
        <is>
          <t>Roll back the stone : death and burial in the world of Jesus / Byron R. McCane.</t>
        </is>
      </c>
      <c r="F1099" t="inlineStr">
        <is>
          <t>No</t>
        </is>
      </c>
      <c r="G1099" t="inlineStr">
        <is>
          <t>1</t>
        </is>
      </c>
      <c r="H1099" t="inlineStr">
        <is>
          <t>No</t>
        </is>
      </c>
      <c r="I1099" t="inlineStr">
        <is>
          <t>No</t>
        </is>
      </c>
      <c r="J1099" t="inlineStr">
        <is>
          <t>0</t>
        </is>
      </c>
      <c r="K1099" t="inlineStr">
        <is>
          <t>McCane, Byron R.</t>
        </is>
      </c>
      <c r="L1099" t="inlineStr">
        <is>
          <t>Harrisburg, PA : Trinity Press International, c2003.</t>
        </is>
      </c>
      <c r="M1099" t="inlineStr">
        <is>
          <t>2003</t>
        </is>
      </c>
      <c r="O1099" t="inlineStr">
        <is>
          <t>eng</t>
        </is>
      </c>
      <c r="P1099" t="inlineStr">
        <is>
          <t>pau</t>
        </is>
      </c>
      <c r="R1099" t="inlineStr">
        <is>
          <t xml:space="preserve">GT </t>
        </is>
      </c>
      <c r="S1099" t="n">
        <v>5</v>
      </c>
      <c r="T1099" t="n">
        <v>5</v>
      </c>
      <c r="U1099" t="inlineStr">
        <is>
          <t>2005-09-26</t>
        </is>
      </c>
      <c r="V1099" t="inlineStr">
        <is>
          <t>2005-09-26</t>
        </is>
      </c>
      <c r="W1099" t="inlineStr">
        <is>
          <t>2004-02-11</t>
        </is>
      </c>
      <c r="X1099" t="inlineStr">
        <is>
          <t>2004-02-11</t>
        </is>
      </c>
      <c r="Y1099" t="n">
        <v>458</v>
      </c>
      <c r="Z1099" t="n">
        <v>404</v>
      </c>
      <c r="AA1099" t="n">
        <v>405</v>
      </c>
      <c r="AB1099" t="n">
        <v>4</v>
      </c>
      <c r="AC1099" t="n">
        <v>4</v>
      </c>
      <c r="AD1099" t="n">
        <v>24</v>
      </c>
      <c r="AE1099" t="n">
        <v>24</v>
      </c>
      <c r="AF1099" t="n">
        <v>12</v>
      </c>
      <c r="AG1099" t="n">
        <v>12</v>
      </c>
      <c r="AH1099" t="n">
        <v>5</v>
      </c>
      <c r="AI1099" t="n">
        <v>5</v>
      </c>
      <c r="AJ1099" t="n">
        <v>12</v>
      </c>
      <c r="AK1099" t="n">
        <v>12</v>
      </c>
      <c r="AL1099" t="n">
        <v>2</v>
      </c>
      <c r="AM1099" t="n">
        <v>2</v>
      </c>
      <c r="AN1099" t="n">
        <v>0</v>
      </c>
      <c r="AO1099" t="n">
        <v>0</v>
      </c>
      <c r="AP1099" t="inlineStr">
        <is>
          <t>No</t>
        </is>
      </c>
      <c r="AQ1099" t="inlineStr">
        <is>
          <t>Yes</t>
        </is>
      </c>
      <c r="AR1099">
        <f>HYPERLINK("http://catalog.hathitrust.org/Record/004364800","HathiTrust Record")</f>
        <v/>
      </c>
      <c r="AS1099">
        <f>HYPERLINK("https://creighton-primo.hosted.exlibrisgroup.com/primo-explore/search?tab=default_tab&amp;search_scope=EVERYTHING&amp;vid=01CRU&amp;lang=en_US&amp;offset=0&amp;query=any,contains,991004217259702656","Catalog Record")</f>
        <v/>
      </c>
      <c r="AT1099">
        <f>HYPERLINK("http://www.worldcat.org/oclc/51059373","WorldCat Record")</f>
        <v/>
      </c>
      <c r="AU1099" t="inlineStr">
        <is>
          <t>796439129:eng</t>
        </is>
      </c>
      <c r="AV1099" t="inlineStr">
        <is>
          <t>51059373</t>
        </is>
      </c>
      <c r="AW1099" t="inlineStr">
        <is>
          <t>991004217259702656</t>
        </is>
      </c>
      <c r="AX1099" t="inlineStr">
        <is>
          <t>991004217259702656</t>
        </is>
      </c>
      <c r="AY1099" t="inlineStr">
        <is>
          <t>2264742810002656</t>
        </is>
      </c>
      <c r="AZ1099" t="inlineStr">
        <is>
          <t>BOOK</t>
        </is>
      </c>
      <c r="BB1099" t="inlineStr">
        <is>
          <t>9781563384028</t>
        </is>
      </c>
      <c r="BC1099" t="inlineStr">
        <is>
          <t>32285004637871</t>
        </is>
      </c>
      <c r="BD1099" t="inlineStr">
        <is>
          <t>893894717</t>
        </is>
      </c>
    </row>
    <row r="1100">
      <c r="A1100" t="inlineStr">
        <is>
          <t>No</t>
        </is>
      </c>
      <c r="B1100" t="inlineStr">
        <is>
          <t>GT3370 .W5613 1999</t>
        </is>
      </c>
      <c r="C1100" t="inlineStr">
        <is>
          <t>0                      GT 3370000W  5613        1999</t>
        </is>
      </c>
      <c r="D1100" t="inlineStr">
        <is>
          <t>Ashes of immortality : widow-burning in India / Catherine Weinberger-Thomas ; translated by Jeffrey Mehlman and David Gordon White.</t>
        </is>
      </c>
      <c r="F1100" t="inlineStr">
        <is>
          <t>No</t>
        </is>
      </c>
      <c r="G1100" t="inlineStr">
        <is>
          <t>1</t>
        </is>
      </c>
      <c r="H1100" t="inlineStr">
        <is>
          <t>No</t>
        </is>
      </c>
      <c r="I1100" t="inlineStr">
        <is>
          <t>No</t>
        </is>
      </c>
      <c r="J1100" t="inlineStr">
        <is>
          <t>0</t>
        </is>
      </c>
      <c r="K1100" t="inlineStr">
        <is>
          <t>Weinberger-Thomas, Catherine.</t>
        </is>
      </c>
      <c r="L1100" t="inlineStr">
        <is>
          <t>Chicago : University of Chicago Press, 1999.</t>
        </is>
      </c>
      <c r="M1100" t="inlineStr">
        <is>
          <t>1999</t>
        </is>
      </c>
      <c r="O1100" t="inlineStr">
        <is>
          <t>eng</t>
        </is>
      </c>
      <c r="P1100" t="inlineStr">
        <is>
          <t>ilu</t>
        </is>
      </c>
      <c r="R1100" t="inlineStr">
        <is>
          <t xml:space="preserve">GT </t>
        </is>
      </c>
      <c r="S1100" t="n">
        <v>5</v>
      </c>
      <c r="T1100" t="n">
        <v>5</v>
      </c>
      <c r="U1100" t="inlineStr">
        <is>
          <t>2008-03-28</t>
        </is>
      </c>
      <c r="V1100" t="inlineStr">
        <is>
          <t>2008-03-28</t>
        </is>
      </c>
      <c r="W1100" t="inlineStr">
        <is>
          <t>2000-12-04</t>
        </is>
      </c>
      <c r="X1100" t="inlineStr">
        <is>
          <t>2000-12-04</t>
        </is>
      </c>
      <c r="Y1100" t="n">
        <v>748</v>
      </c>
      <c r="Z1100" t="n">
        <v>640</v>
      </c>
      <c r="AA1100" t="n">
        <v>643</v>
      </c>
      <c r="AB1100" t="n">
        <v>3</v>
      </c>
      <c r="AC1100" t="n">
        <v>3</v>
      </c>
      <c r="AD1100" t="n">
        <v>30</v>
      </c>
      <c r="AE1100" t="n">
        <v>30</v>
      </c>
      <c r="AF1100" t="n">
        <v>11</v>
      </c>
      <c r="AG1100" t="n">
        <v>11</v>
      </c>
      <c r="AH1100" t="n">
        <v>7</v>
      </c>
      <c r="AI1100" t="n">
        <v>7</v>
      </c>
      <c r="AJ1100" t="n">
        <v>17</v>
      </c>
      <c r="AK1100" t="n">
        <v>17</v>
      </c>
      <c r="AL1100" t="n">
        <v>2</v>
      </c>
      <c r="AM1100" t="n">
        <v>2</v>
      </c>
      <c r="AN1100" t="n">
        <v>1</v>
      </c>
      <c r="AO1100" t="n">
        <v>1</v>
      </c>
      <c r="AP1100" t="inlineStr">
        <is>
          <t>No</t>
        </is>
      </c>
      <c r="AQ1100" t="inlineStr">
        <is>
          <t>No</t>
        </is>
      </c>
      <c r="AS1100">
        <f>HYPERLINK("https://creighton-primo.hosted.exlibrisgroup.com/primo-explore/search?tab=default_tab&amp;search_scope=EVERYTHING&amp;vid=01CRU&amp;lang=en_US&amp;offset=0&amp;query=any,contains,991003321629702656","Catalog Record")</f>
        <v/>
      </c>
      <c r="AT1100">
        <f>HYPERLINK("http://www.worldcat.org/oclc/41674327","WorldCat Record")</f>
        <v/>
      </c>
      <c r="AU1100" t="inlineStr">
        <is>
          <t>9960970:eng</t>
        </is>
      </c>
      <c r="AV1100" t="inlineStr">
        <is>
          <t>41674327</t>
        </is>
      </c>
      <c r="AW1100" t="inlineStr">
        <is>
          <t>991003321629702656</t>
        </is>
      </c>
      <c r="AX1100" t="inlineStr">
        <is>
          <t>991003321629702656</t>
        </is>
      </c>
      <c r="AY1100" t="inlineStr">
        <is>
          <t>2271495670002656</t>
        </is>
      </c>
      <c r="AZ1100" t="inlineStr">
        <is>
          <t>BOOK</t>
        </is>
      </c>
      <c r="BB1100" t="inlineStr">
        <is>
          <t>9780226885681</t>
        </is>
      </c>
      <c r="BC1100" t="inlineStr">
        <is>
          <t>32285004269279</t>
        </is>
      </c>
      <c r="BD1100" t="inlineStr">
        <is>
          <t>893434889</t>
        </is>
      </c>
    </row>
    <row r="1101">
      <c r="A1101" t="inlineStr">
        <is>
          <t>No</t>
        </is>
      </c>
      <c r="B1101" t="inlineStr">
        <is>
          <t>GT3380 .G75 1970</t>
        </is>
      </c>
      <c r="C1101" t="inlineStr">
        <is>
          <t>0                      GT 3380000G  75          1970</t>
        </is>
      </c>
      <c r="D1101" t="inlineStr">
        <is>
          <t>The treasure of Sutton Hoo; ship-burial for an Anglo-Saxon king.</t>
        </is>
      </c>
      <c r="F1101" t="inlineStr">
        <is>
          <t>No</t>
        </is>
      </c>
      <c r="G1101" t="inlineStr">
        <is>
          <t>1</t>
        </is>
      </c>
      <c r="H1101" t="inlineStr">
        <is>
          <t>No</t>
        </is>
      </c>
      <c r="I1101" t="inlineStr">
        <is>
          <t>No</t>
        </is>
      </c>
      <c r="J1101" t="inlineStr">
        <is>
          <t>0</t>
        </is>
      </c>
      <c r="K1101" t="inlineStr">
        <is>
          <t>Grohskopf, Bernice.</t>
        </is>
      </c>
      <c r="L1101" t="inlineStr">
        <is>
          <t>New York, Atheneum, 1970.</t>
        </is>
      </c>
      <c r="M1101" t="inlineStr">
        <is>
          <t>1970</t>
        </is>
      </c>
      <c r="N1101" t="inlineStr">
        <is>
          <t>[1st ed.]</t>
        </is>
      </c>
      <c r="O1101" t="inlineStr">
        <is>
          <t>eng</t>
        </is>
      </c>
      <c r="P1101" t="inlineStr">
        <is>
          <t>nyu</t>
        </is>
      </c>
      <c r="R1101" t="inlineStr">
        <is>
          <t xml:space="preserve">GT </t>
        </is>
      </c>
      <c r="S1101" t="n">
        <v>6</v>
      </c>
      <c r="T1101" t="n">
        <v>6</v>
      </c>
      <c r="U1101" t="inlineStr">
        <is>
          <t>1999-04-01</t>
        </is>
      </c>
      <c r="V1101" t="inlineStr">
        <is>
          <t>1999-04-01</t>
        </is>
      </c>
      <c r="W1101" t="inlineStr">
        <is>
          <t>1997-05-29</t>
        </is>
      </c>
      <c r="X1101" t="inlineStr">
        <is>
          <t>1997-05-29</t>
        </is>
      </c>
      <c r="Y1101" t="n">
        <v>666</v>
      </c>
      <c r="Z1101" t="n">
        <v>610</v>
      </c>
      <c r="AA1101" t="n">
        <v>648</v>
      </c>
      <c r="AB1101" t="n">
        <v>4</v>
      </c>
      <c r="AC1101" t="n">
        <v>4</v>
      </c>
      <c r="AD1101" t="n">
        <v>22</v>
      </c>
      <c r="AE1101" t="n">
        <v>22</v>
      </c>
      <c r="AF1101" t="n">
        <v>9</v>
      </c>
      <c r="AG1101" t="n">
        <v>9</v>
      </c>
      <c r="AH1101" t="n">
        <v>2</v>
      </c>
      <c r="AI1101" t="n">
        <v>2</v>
      </c>
      <c r="AJ1101" t="n">
        <v>12</v>
      </c>
      <c r="AK1101" t="n">
        <v>12</v>
      </c>
      <c r="AL1101" t="n">
        <v>3</v>
      </c>
      <c r="AM1101" t="n">
        <v>3</v>
      </c>
      <c r="AN1101" t="n">
        <v>0</v>
      </c>
      <c r="AO1101" t="n">
        <v>0</v>
      </c>
      <c r="AP1101" t="inlineStr">
        <is>
          <t>No</t>
        </is>
      </c>
      <c r="AQ1101" t="inlineStr">
        <is>
          <t>Yes</t>
        </is>
      </c>
      <c r="AR1101">
        <f>HYPERLINK("http://catalog.hathitrust.org/Record/000313046","HathiTrust Record")</f>
        <v/>
      </c>
      <c r="AS1101">
        <f>HYPERLINK("https://creighton-primo.hosted.exlibrisgroup.com/primo-explore/search?tab=default_tab&amp;search_scope=EVERYTHING&amp;vid=01CRU&amp;lang=en_US&amp;offset=0&amp;query=any,contains,991000152009702656","Catalog Record")</f>
        <v/>
      </c>
      <c r="AT1101">
        <f>HYPERLINK("http://www.worldcat.org/oclc/59892","WorldCat Record")</f>
        <v/>
      </c>
      <c r="AU1101" t="inlineStr">
        <is>
          <t>438936:eng</t>
        </is>
      </c>
      <c r="AV1101" t="inlineStr">
        <is>
          <t>59892</t>
        </is>
      </c>
      <c r="AW1101" t="inlineStr">
        <is>
          <t>991000152009702656</t>
        </is>
      </c>
      <c r="AX1101" t="inlineStr">
        <is>
          <t>991000152009702656</t>
        </is>
      </c>
      <c r="AY1101" t="inlineStr">
        <is>
          <t>2260775710002656</t>
        </is>
      </c>
      <c r="AZ1101" t="inlineStr">
        <is>
          <t>BOOK</t>
        </is>
      </c>
      <c r="BC1101" t="inlineStr">
        <is>
          <t>32285002699329</t>
        </is>
      </c>
      <c r="BD1101" t="inlineStr">
        <is>
          <t>893784020</t>
        </is>
      </c>
    </row>
    <row r="1102">
      <c r="A1102" t="inlineStr">
        <is>
          <t>No</t>
        </is>
      </c>
      <c r="B1102" t="inlineStr">
        <is>
          <t>GT3390 .A84 2003</t>
        </is>
      </c>
      <c r="C1102" t="inlineStr">
        <is>
          <t>0                      GT 3390000A  84          2003</t>
        </is>
      </c>
      <c r="D1102" t="inlineStr">
        <is>
          <t>The mourner's dance : what we do when people die / Katherine Ashenburg.</t>
        </is>
      </c>
      <c r="F1102" t="inlineStr">
        <is>
          <t>No</t>
        </is>
      </c>
      <c r="G1102" t="inlineStr">
        <is>
          <t>1</t>
        </is>
      </c>
      <c r="H1102" t="inlineStr">
        <is>
          <t>No</t>
        </is>
      </c>
      <c r="I1102" t="inlineStr">
        <is>
          <t>No</t>
        </is>
      </c>
      <c r="J1102" t="inlineStr">
        <is>
          <t>0</t>
        </is>
      </c>
      <c r="K1102" t="inlineStr">
        <is>
          <t>Ashenburg, Katherine.</t>
        </is>
      </c>
      <c r="L1102" t="inlineStr">
        <is>
          <t>New York : North Point Press, 2003.</t>
        </is>
      </c>
      <c r="M1102" t="inlineStr">
        <is>
          <t>2003</t>
        </is>
      </c>
      <c r="N1102" t="inlineStr">
        <is>
          <t>1st American ed.</t>
        </is>
      </c>
      <c r="O1102" t="inlineStr">
        <is>
          <t>eng</t>
        </is>
      </c>
      <c r="P1102" t="inlineStr">
        <is>
          <t>nyu</t>
        </is>
      </c>
      <c r="R1102" t="inlineStr">
        <is>
          <t xml:space="preserve">GT </t>
        </is>
      </c>
      <c r="S1102" t="n">
        <v>3</v>
      </c>
      <c r="T1102" t="n">
        <v>3</v>
      </c>
      <c r="U1102" t="inlineStr">
        <is>
          <t>2006-11-14</t>
        </is>
      </c>
      <c r="V1102" t="inlineStr">
        <is>
          <t>2006-11-14</t>
        </is>
      </c>
      <c r="W1102" t="inlineStr">
        <is>
          <t>2003-11-18</t>
        </is>
      </c>
      <c r="X1102" t="inlineStr">
        <is>
          <t>2003-11-18</t>
        </is>
      </c>
      <c r="Y1102" t="n">
        <v>681</v>
      </c>
      <c r="Z1102" t="n">
        <v>652</v>
      </c>
      <c r="AA1102" t="n">
        <v>676</v>
      </c>
      <c r="AB1102" t="n">
        <v>4</v>
      </c>
      <c r="AC1102" t="n">
        <v>5</v>
      </c>
      <c r="AD1102" t="n">
        <v>13</v>
      </c>
      <c r="AE1102" t="n">
        <v>14</v>
      </c>
      <c r="AF1102" t="n">
        <v>4</v>
      </c>
      <c r="AG1102" t="n">
        <v>4</v>
      </c>
      <c r="AH1102" t="n">
        <v>2</v>
      </c>
      <c r="AI1102" t="n">
        <v>2</v>
      </c>
      <c r="AJ1102" t="n">
        <v>7</v>
      </c>
      <c r="AK1102" t="n">
        <v>7</v>
      </c>
      <c r="AL1102" t="n">
        <v>3</v>
      </c>
      <c r="AM1102" t="n">
        <v>4</v>
      </c>
      <c r="AN1102" t="n">
        <v>0</v>
      </c>
      <c r="AO1102" t="n">
        <v>0</v>
      </c>
      <c r="AP1102" t="inlineStr">
        <is>
          <t>No</t>
        </is>
      </c>
      <c r="AQ1102" t="inlineStr">
        <is>
          <t>No</t>
        </is>
      </c>
      <c r="AS1102">
        <f>HYPERLINK("https://creighton-primo.hosted.exlibrisgroup.com/primo-explore/search?tab=default_tab&amp;search_scope=EVERYTHING&amp;vid=01CRU&amp;lang=en_US&amp;offset=0&amp;query=any,contains,991004174529702656","Catalog Record")</f>
        <v/>
      </c>
      <c r="AT1102">
        <f>HYPERLINK("http://www.worldcat.org/oclc/52477110","WorldCat Record")</f>
        <v/>
      </c>
      <c r="AU1102" t="inlineStr">
        <is>
          <t>728671:eng</t>
        </is>
      </c>
      <c r="AV1102" t="inlineStr">
        <is>
          <t>52477110</t>
        </is>
      </c>
      <c r="AW1102" t="inlineStr">
        <is>
          <t>991004174529702656</t>
        </is>
      </c>
      <c r="AX1102" t="inlineStr">
        <is>
          <t>991004174529702656</t>
        </is>
      </c>
      <c r="AY1102" t="inlineStr">
        <is>
          <t>2255492950002656</t>
        </is>
      </c>
      <c r="AZ1102" t="inlineStr">
        <is>
          <t>BOOK</t>
        </is>
      </c>
      <c r="BB1102" t="inlineStr">
        <is>
          <t>9780865476783</t>
        </is>
      </c>
      <c r="BC1102" t="inlineStr">
        <is>
          <t>32285004799374</t>
        </is>
      </c>
      <c r="BD1102" t="inlineStr">
        <is>
          <t>893435975</t>
        </is>
      </c>
    </row>
    <row r="1103">
      <c r="A1103" t="inlineStr">
        <is>
          <t>No</t>
        </is>
      </c>
      <c r="B1103" t="inlineStr">
        <is>
          <t>GT3530 .C68 2002</t>
        </is>
      </c>
      <c r="C1103" t="inlineStr">
        <is>
          <t>0                      GT 3530000C  68          2002</t>
        </is>
      </c>
      <c r="D1103" t="inlineStr">
        <is>
          <t>Court festivals of the European Renaissance : art, politics, and performance / edited by J.R. Mulryne and Elizabeth Goldring.</t>
        </is>
      </c>
      <c r="F1103" t="inlineStr">
        <is>
          <t>No</t>
        </is>
      </c>
      <c r="G1103" t="inlineStr">
        <is>
          <t>1</t>
        </is>
      </c>
      <c r="H1103" t="inlineStr">
        <is>
          <t>No</t>
        </is>
      </c>
      <c r="I1103" t="inlineStr">
        <is>
          <t>No</t>
        </is>
      </c>
      <c r="J1103" t="inlineStr">
        <is>
          <t>0</t>
        </is>
      </c>
      <c r="L1103" t="inlineStr">
        <is>
          <t>Aldershot, Hants, England ; Burlington, VT : Ashgate, c2002.</t>
        </is>
      </c>
      <c r="M1103" t="inlineStr">
        <is>
          <t>2002</t>
        </is>
      </c>
      <c r="O1103" t="inlineStr">
        <is>
          <t>eng</t>
        </is>
      </c>
      <c r="P1103" t="inlineStr">
        <is>
          <t>enk</t>
        </is>
      </c>
      <c r="R1103" t="inlineStr">
        <is>
          <t xml:space="preserve">GT </t>
        </is>
      </c>
      <c r="S1103" t="n">
        <v>1</v>
      </c>
      <c r="T1103" t="n">
        <v>1</v>
      </c>
      <c r="U1103" t="inlineStr">
        <is>
          <t>2004-03-02</t>
        </is>
      </c>
      <c r="V1103" t="inlineStr">
        <is>
          <t>2004-03-02</t>
        </is>
      </c>
      <c r="W1103" t="inlineStr">
        <is>
          <t>2004-03-02</t>
        </is>
      </c>
      <c r="X1103" t="inlineStr">
        <is>
          <t>2004-03-02</t>
        </is>
      </c>
      <c r="Y1103" t="n">
        <v>374</v>
      </c>
      <c r="Z1103" t="n">
        <v>264</v>
      </c>
      <c r="AA1103" t="n">
        <v>284</v>
      </c>
      <c r="AB1103" t="n">
        <v>2</v>
      </c>
      <c r="AC1103" t="n">
        <v>2</v>
      </c>
      <c r="AD1103" t="n">
        <v>10</v>
      </c>
      <c r="AE1103" t="n">
        <v>10</v>
      </c>
      <c r="AF1103" t="n">
        <v>2</v>
      </c>
      <c r="AG1103" t="n">
        <v>2</v>
      </c>
      <c r="AH1103" t="n">
        <v>4</v>
      </c>
      <c r="AI1103" t="n">
        <v>4</v>
      </c>
      <c r="AJ1103" t="n">
        <v>5</v>
      </c>
      <c r="AK1103" t="n">
        <v>5</v>
      </c>
      <c r="AL1103" t="n">
        <v>1</v>
      </c>
      <c r="AM1103" t="n">
        <v>1</v>
      </c>
      <c r="AN1103" t="n">
        <v>0</v>
      </c>
      <c r="AO1103" t="n">
        <v>0</v>
      </c>
      <c r="AP1103" t="inlineStr">
        <is>
          <t>No</t>
        </is>
      </c>
      <c r="AQ1103" t="inlineStr">
        <is>
          <t>Yes</t>
        </is>
      </c>
      <c r="AR1103">
        <f>HYPERLINK("http://catalog.hathitrust.org/Record/004294671","HathiTrust Record")</f>
        <v/>
      </c>
      <c r="AS1103">
        <f>HYPERLINK("https://creighton-primo.hosted.exlibrisgroup.com/primo-explore/search?tab=default_tab&amp;search_scope=EVERYTHING&amp;vid=01CRU&amp;lang=en_US&amp;offset=0&amp;query=any,contains,991004213559702656","Catalog Record")</f>
        <v/>
      </c>
      <c r="AT1103">
        <f>HYPERLINK("http://www.worldcat.org/oclc/49833351","WorldCat Record")</f>
        <v/>
      </c>
      <c r="AU1103" t="inlineStr">
        <is>
          <t>839962790:eng</t>
        </is>
      </c>
      <c r="AV1103" t="inlineStr">
        <is>
          <t>49833351</t>
        </is>
      </c>
      <c r="AW1103" t="inlineStr">
        <is>
          <t>991004213559702656</t>
        </is>
      </c>
      <c r="AX1103" t="inlineStr">
        <is>
          <t>991004213559702656</t>
        </is>
      </c>
      <c r="AY1103" t="inlineStr">
        <is>
          <t>2258588510002656</t>
        </is>
      </c>
      <c r="AZ1103" t="inlineStr">
        <is>
          <t>BOOK</t>
        </is>
      </c>
      <c r="BB1103" t="inlineStr">
        <is>
          <t>9780754606284</t>
        </is>
      </c>
      <c r="BC1103" t="inlineStr">
        <is>
          <t>32285004892161</t>
        </is>
      </c>
      <c r="BD1103" t="inlineStr">
        <is>
          <t>893593419</t>
        </is>
      </c>
    </row>
    <row r="1104">
      <c r="A1104" t="inlineStr">
        <is>
          <t>No</t>
        </is>
      </c>
      <c r="B1104" t="inlineStr">
        <is>
          <t>GT3803 .L3</t>
        </is>
      </c>
      <c r="C1104" t="inlineStr">
        <is>
          <t>0                      GT 3803000L  3</t>
        </is>
      </c>
      <c r="D1104" t="inlineStr">
        <is>
          <t>Early American inns and taverns, by Elise Lathrop ...</t>
        </is>
      </c>
      <c r="F1104" t="inlineStr">
        <is>
          <t>No</t>
        </is>
      </c>
      <c r="G1104" t="inlineStr">
        <is>
          <t>1</t>
        </is>
      </c>
      <c r="H1104" t="inlineStr">
        <is>
          <t>No</t>
        </is>
      </c>
      <c r="I1104" t="inlineStr">
        <is>
          <t>No</t>
        </is>
      </c>
      <c r="J1104" t="inlineStr">
        <is>
          <t>0</t>
        </is>
      </c>
      <c r="K1104" t="inlineStr">
        <is>
          <t>Lathrop, Elise.</t>
        </is>
      </c>
      <c r="L1104" t="inlineStr">
        <is>
          <t>New York, R. M. McBride &amp; company, 1926.</t>
        </is>
      </c>
      <c r="M1104" t="inlineStr">
        <is>
          <t>1926</t>
        </is>
      </c>
      <c r="O1104" t="inlineStr">
        <is>
          <t>eng</t>
        </is>
      </c>
      <c r="P1104" t="inlineStr">
        <is>
          <t xml:space="preserve">xx </t>
        </is>
      </c>
      <c r="R1104" t="inlineStr">
        <is>
          <t xml:space="preserve">GT </t>
        </is>
      </c>
      <c r="S1104" t="n">
        <v>4</v>
      </c>
      <c r="T1104" t="n">
        <v>4</v>
      </c>
      <c r="U1104" t="inlineStr">
        <is>
          <t>1999-12-03</t>
        </is>
      </c>
      <c r="V1104" t="inlineStr">
        <is>
          <t>1999-12-03</t>
        </is>
      </c>
      <c r="W1104" t="inlineStr">
        <is>
          <t>1997-05-29</t>
        </is>
      </c>
      <c r="X1104" t="inlineStr">
        <is>
          <t>1997-05-29</t>
        </is>
      </c>
      <c r="Y1104" t="n">
        <v>453</v>
      </c>
      <c r="Z1104" t="n">
        <v>441</v>
      </c>
      <c r="AA1104" t="n">
        <v>1223</v>
      </c>
      <c r="AB1104" t="n">
        <v>3</v>
      </c>
      <c r="AC1104" t="n">
        <v>8</v>
      </c>
      <c r="AD1104" t="n">
        <v>11</v>
      </c>
      <c r="AE1104" t="n">
        <v>35</v>
      </c>
      <c r="AF1104" t="n">
        <v>2</v>
      </c>
      <c r="AG1104" t="n">
        <v>13</v>
      </c>
      <c r="AH1104" t="n">
        <v>3</v>
      </c>
      <c r="AI1104" t="n">
        <v>9</v>
      </c>
      <c r="AJ1104" t="n">
        <v>5</v>
      </c>
      <c r="AK1104" t="n">
        <v>18</v>
      </c>
      <c r="AL1104" t="n">
        <v>2</v>
      </c>
      <c r="AM1104" t="n">
        <v>5</v>
      </c>
      <c r="AN1104" t="n">
        <v>0</v>
      </c>
      <c r="AO1104" t="n">
        <v>0</v>
      </c>
      <c r="AP1104" t="inlineStr">
        <is>
          <t>No</t>
        </is>
      </c>
      <c r="AQ1104" t="inlineStr">
        <is>
          <t>Yes</t>
        </is>
      </c>
      <c r="AR1104">
        <f>HYPERLINK("http://catalog.hathitrust.org/Record/001277691","HathiTrust Record")</f>
        <v/>
      </c>
      <c r="AS1104">
        <f>HYPERLINK("https://creighton-primo.hosted.exlibrisgroup.com/primo-explore/search?tab=default_tab&amp;search_scope=EVERYTHING&amp;vid=01CRU&amp;lang=en_US&amp;offset=0&amp;query=any,contains,991003707159702656","Catalog Record")</f>
        <v/>
      </c>
      <c r="AT1104">
        <f>HYPERLINK("http://www.worldcat.org/oclc/1345033","WorldCat Record")</f>
        <v/>
      </c>
      <c r="AU1104" t="inlineStr">
        <is>
          <t>1458221:eng</t>
        </is>
      </c>
      <c r="AV1104" t="inlineStr">
        <is>
          <t>1345033</t>
        </is>
      </c>
      <c r="AW1104" t="inlineStr">
        <is>
          <t>991003707159702656</t>
        </is>
      </c>
      <c r="AX1104" t="inlineStr">
        <is>
          <t>991003707159702656</t>
        </is>
      </c>
      <c r="AY1104" t="inlineStr">
        <is>
          <t>2260176690002656</t>
        </is>
      </c>
      <c r="AZ1104" t="inlineStr">
        <is>
          <t>BOOK</t>
        </is>
      </c>
      <c r="BC1104" t="inlineStr">
        <is>
          <t>32285002699337</t>
        </is>
      </c>
      <c r="BD1104" t="inlineStr">
        <is>
          <t>893598886</t>
        </is>
      </c>
    </row>
    <row r="1105">
      <c r="A1105" t="inlineStr">
        <is>
          <t>No</t>
        </is>
      </c>
      <c r="B1105" t="inlineStr">
        <is>
          <t>GT3803 .R5 1983</t>
        </is>
      </c>
      <c r="C1105" t="inlineStr">
        <is>
          <t>0                      GT 3803000R  5           1983</t>
        </is>
      </c>
      <c r="D1105" t="inlineStr">
        <is>
          <t>Early American taverns : for the entertainment of friends and strangers / by Kym S. Rice for Fraunces Tavern Museums.</t>
        </is>
      </c>
      <c r="F1105" t="inlineStr">
        <is>
          <t>No</t>
        </is>
      </c>
      <c r="G1105" t="inlineStr">
        <is>
          <t>1</t>
        </is>
      </c>
      <c r="H1105" t="inlineStr">
        <is>
          <t>No</t>
        </is>
      </c>
      <c r="I1105" t="inlineStr">
        <is>
          <t>No</t>
        </is>
      </c>
      <c r="J1105" t="inlineStr">
        <is>
          <t>0</t>
        </is>
      </c>
      <c r="K1105" t="inlineStr">
        <is>
          <t>Rice, Kym S.</t>
        </is>
      </c>
      <c r="L1105" t="inlineStr">
        <is>
          <t>Chicago : Regnery Gateway, c1983.</t>
        </is>
      </c>
      <c r="M1105" t="inlineStr">
        <is>
          <t>1983</t>
        </is>
      </c>
      <c r="O1105" t="inlineStr">
        <is>
          <t>eng</t>
        </is>
      </c>
      <c r="P1105" t="inlineStr">
        <is>
          <t>ilu</t>
        </is>
      </c>
      <c r="R1105" t="inlineStr">
        <is>
          <t xml:space="preserve">GT </t>
        </is>
      </c>
      <c r="S1105" t="n">
        <v>7</v>
      </c>
      <c r="T1105" t="n">
        <v>7</v>
      </c>
      <c r="U1105" t="inlineStr">
        <is>
          <t>2000-11-17</t>
        </is>
      </c>
      <c r="V1105" t="inlineStr">
        <is>
          <t>2000-11-17</t>
        </is>
      </c>
      <c r="W1105" t="inlineStr">
        <is>
          <t>1990-01-29</t>
        </is>
      </c>
      <c r="X1105" t="inlineStr">
        <is>
          <t>1990-01-29</t>
        </is>
      </c>
      <c r="Y1105" t="n">
        <v>345</v>
      </c>
      <c r="Z1105" t="n">
        <v>323</v>
      </c>
      <c r="AA1105" t="n">
        <v>330</v>
      </c>
      <c r="AB1105" t="n">
        <v>2</v>
      </c>
      <c r="AC1105" t="n">
        <v>2</v>
      </c>
      <c r="AD1105" t="n">
        <v>11</v>
      </c>
      <c r="AE1105" t="n">
        <v>11</v>
      </c>
      <c r="AF1105" t="n">
        <v>5</v>
      </c>
      <c r="AG1105" t="n">
        <v>5</v>
      </c>
      <c r="AH1105" t="n">
        <v>2</v>
      </c>
      <c r="AI1105" t="n">
        <v>2</v>
      </c>
      <c r="AJ1105" t="n">
        <v>7</v>
      </c>
      <c r="AK1105" t="n">
        <v>7</v>
      </c>
      <c r="AL1105" t="n">
        <v>1</v>
      </c>
      <c r="AM1105" t="n">
        <v>1</v>
      </c>
      <c r="AN1105" t="n">
        <v>0</v>
      </c>
      <c r="AO1105" t="n">
        <v>0</v>
      </c>
      <c r="AP1105" t="inlineStr">
        <is>
          <t>No</t>
        </is>
      </c>
      <c r="AQ1105" t="inlineStr">
        <is>
          <t>Yes</t>
        </is>
      </c>
      <c r="AR1105">
        <f>HYPERLINK("http://catalog.hathitrust.org/Record/000777374","HathiTrust Record")</f>
        <v/>
      </c>
      <c r="AS1105">
        <f>HYPERLINK("https://creighton-primo.hosted.exlibrisgroup.com/primo-explore/search?tab=default_tab&amp;search_scope=EVERYTHING&amp;vid=01CRU&amp;lang=en_US&amp;offset=0&amp;query=any,contains,991000121019702656","Catalog Record")</f>
        <v/>
      </c>
      <c r="AT1105">
        <f>HYPERLINK("http://www.worldcat.org/oclc/9066539","WorldCat Record")</f>
        <v/>
      </c>
      <c r="AU1105" t="inlineStr">
        <is>
          <t>292651693:eng</t>
        </is>
      </c>
      <c r="AV1105" t="inlineStr">
        <is>
          <t>9066539</t>
        </is>
      </c>
      <c r="AW1105" t="inlineStr">
        <is>
          <t>991000121019702656</t>
        </is>
      </c>
      <c r="AX1105" t="inlineStr">
        <is>
          <t>991000121019702656</t>
        </is>
      </c>
      <c r="AY1105" t="inlineStr">
        <is>
          <t>2269868490002656</t>
        </is>
      </c>
      <c r="AZ1105" t="inlineStr">
        <is>
          <t>BOOK</t>
        </is>
      </c>
      <c r="BB1105" t="inlineStr">
        <is>
          <t>9780895266200</t>
        </is>
      </c>
      <c r="BC1105" t="inlineStr">
        <is>
          <t>32285000036706</t>
        </is>
      </c>
      <c r="BD1105" t="inlineStr">
        <is>
          <t>893243012</t>
        </is>
      </c>
    </row>
    <row r="1106">
      <c r="A1106" t="inlineStr">
        <is>
          <t>No</t>
        </is>
      </c>
      <c r="B1106" t="inlineStr">
        <is>
          <t>GT3843 .R5 1968</t>
        </is>
      </c>
      <c r="C1106" t="inlineStr">
        <is>
          <t>0                      GT 3843000R  5           1968</t>
        </is>
      </c>
      <c r="D1106" t="inlineStr">
        <is>
          <t>The English inn, past and present; a review of its history and social life, by A. E. Richardson [and] H. Donaldson Eberlein.</t>
        </is>
      </c>
      <c r="F1106" t="inlineStr">
        <is>
          <t>No</t>
        </is>
      </c>
      <c r="G1106" t="inlineStr">
        <is>
          <t>1</t>
        </is>
      </c>
      <c r="H1106" t="inlineStr">
        <is>
          <t>No</t>
        </is>
      </c>
      <c r="I1106" t="inlineStr">
        <is>
          <t>No</t>
        </is>
      </c>
      <c r="J1106" t="inlineStr">
        <is>
          <t>0</t>
        </is>
      </c>
      <c r="K1106" t="inlineStr">
        <is>
          <t>Richardson, A. E. (Albert Edward), Sir, 1880-1964.</t>
        </is>
      </c>
      <c r="L1106" t="inlineStr">
        <is>
          <t>New York, B. Blom, 1968.</t>
        </is>
      </c>
      <c r="M1106" t="inlineStr">
        <is>
          <t>1968</t>
        </is>
      </c>
      <c r="O1106" t="inlineStr">
        <is>
          <t>eng</t>
        </is>
      </c>
      <c r="P1106" t="inlineStr">
        <is>
          <t>nyu</t>
        </is>
      </c>
      <c r="R1106" t="inlineStr">
        <is>
          <t xml:space="preserve">GT </t>
        </is>
      </c>
      <c r="S1106" t="n">
        <v>1</v>
      </c>
      <c r="T1106" t="n">
        <v>1</v>
      </c>
      <c r="U1106" t="inlineStr">
        <is>
          <t>2000-11-17</t>
        </is>
      </c>
      <c r="V1106" t="inlineStr">
        <is>
          <t>2000-11-17</t>
        </is>
      </c>
      <c r="W1106" t="inlineStr">
        <is>
          <t>1997-05-29</t>
        </is>
      </c>
      <c r="X1106" t="inlineStr">
        <is>
          <t>1997-05-29</t>
        </is>
      </c>
      <c r="Y1106" t="n">
        <v>227</v>
      </c>
      <c r="Z1106" t="n">
        <v>209</v>
      </c>
      <c r="AA1106" t="n">
        <v>243</v>
      </c>
      <c r="AB1106" t="n">
        <v>2</v>
      </c>
      <c r="AC1106" t="n">
        <v>2</v>
      </c>
      <c r="AD1106" t="n">
        <v>8</v>
      </c>
      <c r="AE1106" t="n">
        <v>8</v>
      </c>
      <c r="AF1106" t="n">
        <v>2</v>
      </c>
      <c r="AG1106" t="n">
        <v>2</v>
      </c>
      <c r="AH1106" t="n">
        <v>3</v>
      </c>
      <c r="AI1106" t="n">
        <v>3</v>
      </c>
      <c r="AJ1106" t="n">
        <v>5</v>
      </c>
      <c r="AK1106" t="n">
        <v>5</v>
      </c>
      <c r="AL1106" t="n">
        <v>1</v>
      </c>
      <c r="AM1106" t="n">
        <v>1</v>
      </c>
      <c r="AN1106" t="n">
        <v>0</v>
      </c>
      <c r="AO1106" t="n">
        <v>0</v>
      </c>
      <c r="AP1106" t="inlineStr">
        <is>
          <t>No</t>
        </is>
      </c>
      <c r="AQ1106" t="inlineStr">
        <is>
          <t>Yes</t>
        </is>
      </c>
      <c r="AR1106">
        <f>HYPERLINK("http://catalog.hathitrust.org/Record/006945491","HathiTrust Record")</f>
        <v/>
      </c>
      <c r="AS1106">
        <f>HYPERLINK("https://creighton-primo.hosted.exlibrisgroup.com/primo-explore/search?tab=default_tab&amp;search_scope=EVERYTHING&amp;vid=01CRU&amp;lang=en_US&amp;offset=0&amp;query=any,contains,991002809519702656","Catalog Record")</f>
        <v/>
      </c>
      <c r="AT1106">
        <f>HYPERLINK("http://www.worldcat.org/oclc/451907","WorldCat Record")</f>
        <v/>
      </c>
      <c r="AU1106" t="inlineStr">
        <is>
          <t>1438812:eng</t>
        </is>
      </c>
      <c r="AV1106" t="inlineStr">
        <is>
          <t>451907</t>
        </is>
      </c>
      <c r="AW1106" t="inlineStr">
        <is>
          <t>991002809519702656</t>
        </is>
      </c>
      <c r="AX1106" t="inlineStr">
        <is>
          <t>991002809519702656</t>
        </is>
      </c>
      <c r="AY1106" t="inlineStr">
        <is>
          <t>2260945340002656</t>
        </is>
      </c>
      <c r="AZ1106" t="inlineStr">
        <is>
          <t>BOOK</t>
        </is>
      </c>
      <c r="BC1106" t="inlineStr">
        <is>
          <t>32285002699352</t>
        </is>
      </c>
      <c r="BD1106" t="inlineStr">
        <is>
          <t>893698295</t>
        </is>
      </c>
    </row>
    <row r="1107">
      <c r="A1107" t="inlineStr">
        <is>
          <t>No</t>
        </is>
      </c>
      <c r="B1107" t="inlineStr">
        <is>
          <t>GT3930 .H34 1998</t>
        </is>
      </c>
      <c r="C1107" t="inlineStr">
        <is>
          <t>0                      GT 3930000H  34          1998</t>
        </is>
      </c>
      <c r="D1107" t="inlineStr">
        <is>
          <t>Models and mirrors : towards an anthropology of public events / Don Handelman ; with a new preface by the author.</t>
        </is>
      </c>
      <c r="F1107" t="inlineStr">
        <is>
          <t>No</t>
        </is>
      </c>
      <c r="G1107" t="inlineStr">
        <is>
          <t>1</t>
        </is>
      </c>
      <c r="H1107" t="inlineStr">
        <is>
          <t>No</t>
        </is>
      </c>
      <c r="I1107" t="inlineStr">
        <is>
          <t>No</t>
        </is>
      </c>
      <c r="J1107" t="inlineStr">
        <is>
          <t>0</t>
        </is>
      </c>
      <c r="K1107" t="inlineStr">
        <is>
          <t>Handelman, Don.</t>
        </is>
      </c>
      <c r="L1107" t="inlineStr">
        <is>
          <t>New York : Berghahn Books, 1998.</t>
        </is>
      </c>
      <c r="M1107" t="inlineStr">
        <is>
          <t>1998</t>
        </is>
      </c>
      <c r="O1107" t="inlineStr">
        <is>
          <t>eng</t>
        </is>
      </c>
      <c r="P1107" t="inlineStr">
        <is>
          <t>nyu</t>
        </is>
      </c>
      <c r="R1107" t="inlineStr">
        <is>
          <t xml:space="preserve">GT </t>
        </is>
      </c>
      <c r="S1107" t="n">
        <v>1</v>
      </c>
      <c r="T1107" t="n">
        <v>1</v>
      </c>
      <c r="U1107" t="inlineStr">
        <is>
          <t>2000-08-28</t>
        </is>
      </c>
      <c r="V1107" t="inlineStr">
        <is>
          <t>2000-08-28</t>
        </is>
      </c>
      <c r="W1107" t="inlineStr">
        <is>
          <t>2000-08-28</t>
        </is>
      </c>
      <c r="X1107" t="inlineStr">
        <is>
          <t>2000-08-28</t>
        </is>
      </c>
      <c r="Y1107" t="n">
        <v>121</v>
      </c>
      <c r="Z1107" t="n">
        <v>52</v>
      </c>
      <c r="AA1107" t="n">
        <v>294</v>
      </c>
      <c r="AB1107" t="n">
        <v>1</v>
      </c>
      <c r="AC1107" t="n">
        <v>3</v>
      </c>
      <c r="AD1107" t="n">
        <v>2</v>
      </c>
      <c r="AE1107" t="n">
        <v>14</v>
      </c>
      <c r="AF1107" t="n">
        <v>1</v>
      </c>
      <c r="AG1107" t="n">
        <v>5</v>
      </c>
      <c r="AH1107" t="n">
        <v>0</v>
      </c>
      <c r="AI1107" t="n">
        <v>2</v>
      </c>
      <c r="AJ1107" t="n">
        <v>2</v>
      </c>
      <c r="AK1107" t="n">
        <v>10</v>
      </c>
      <c r="AL1107" t="n">
        <v>0</v>
      </c>
      <c r="AM1107" t="n">
        <v>2</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HYPERLINK("https://creighton-primo.hosted.exlibrisgroup.com/primo-explore/search?tab=default_tab&amp;search_scope=EVERYTHING&amp;vid=01CRU&amp;lang=en_US&amp;offset=0&amp;query=any,contains,991003221539702656","Catalog Record")</f>
        <v/>
      </c>
      <c r="AT1107">
        <f>HYPERLINK("http://www.worldcat.org/oclc/39700785","WorldCat Record")</f>
        <v/>
      </c>
      <c r="AU1107" t="inlineStr">
        <is>
          <t>836760464:eng</t>
        </is>
      </c>
      <c r="AV1107" t="inlineStr">
        <is>
          <t>39700785</t>
        </is>
      </c>
      <c r="AW1107" t="inlineStr">
        <is>
          <t>991003221539702656</t>
        </is>
      </c>
      <c r="AX1107" t="inlineStr">
        <is>
          <t>991003221539702656</t>
        </is>
      </c>
      <c r="AY1107" t="inlineStr">
        <is>
          <t>2256338260002656</t>
        </is>
      </c>
      <c r="AZ1107" t="inlineStr">
        <is>
          <t>BOOK</t>
        </is>
      </c>
      <c r="BB1107" t="inlineStr">
        <is>
          <t>9781571811653</t>
        </is>
      </c>
      <c r="BC1107" t="inlineStr">
        <is>
          <t>32285003759593</t>
        </is>
      </c>
      <c r="BD1107" t="inlineStr">
        <is>
          <t>893428565</t>
        </is>
      </c>
    </row>
    <row r="1108">
      <c r="A1108" t="inlineStr">
        <is>
          <t>No</t>
        </is>
      </c>
      <c r="B1108" t="inlineStr">
        <is>
          <t>GT3930 .J3 1963</t>
        </is>
      </c>
      <c r="C1108" t="inlineStr">
        <is>
          <t>0                      GT 3930000J  3           1963</t>
        </is>
      </c>
      <c r="D1108" t="inlineStr">
        <is>
          <t>Seasonal feasts and festivals.</t>
        </is>
      </c>
      <c r="F1108" t="inlineStr">
        <is>
          <t>No</t>
        </is>
      </c>
      <c r="G1108" t="inlineStr">
        <is>
          <t>1</t>
        </is>
      </c>
      <c r="H1108" t="inlineStr">
        <is>
          <t>No</t>
        </is>
      </c>
      <c r="I1108" t="inlineStr">
        <is>
          <t>No</t>
        </is>
      </c>
      <c r="J1108" t="inlineStr">
        <is>
          <t>0</t>
        </is>
      </c>
      <c r="K1108" t="inlineStr">
        <is>
          <t>James, E. O. (Edwin Oliver), 1888-1972.</t>
        </is>
      </c>
      <c r="L1108" t="inlineStr">
        <is>
          <t>New York : Barnes &amp; Noble, [1963]</t>
        </is>
      </c>
      <c r="M1108" t="inlineStr">
        <is>
          <t>1963</t>
        </is>
      </c>
      <c r="O1108" t="inlineStr">
        <is>
          <t>eng</t>
        </is>
      </c>
      <c r="P1108" t="inlineStr">
        <is>
          <t xml:space="preserve">xx </t>
        </is>
      </c>
      <c r="Q1108" t="inlineStr">
        <is>
          <t>University Paperback, UP48</t>
        </is>
      </c>
      <c r="R1108" t="inlineStr">
        <is>
          <t xml:space="preserve">GT </t>
        </is>
      </c>
      <c r="S1108" t="n">
        <v>11</v>
      </c>
      <c r="T1108" t="n">
        <v>11</v>
      </c>
      <c r="U1108" t="inlineStr">
        <is>
          <t>1999-08-02</t>
        </is>
      </c>
      <c r="V1108" t="inlineStr">
        <is>
          <t>1999-08-02</t>
        </is>
      </c>
      <c r="W1108" t="inlineStr">
        <is>
          <t>1990-10-08</t>
        </is>
      </c>
      <c r="X1108" t="inlineStr">
        <is>
          <t>1990-10-08</t>
        </is>
      </c>
      <c r="Y1108" t="n">
        <v>130</v>
      </c>
      <c r="Z1108" t="n">
        <v>123</v>
      </c>
      <c r="AA1108" t="n">
        <v>755</v>
      </c>
      <c r="AB1108" t="n">
        <v>3</v>
      </c>
      <c r="AC1108" t="n">
        <v>3</v>
      </c>
      <c r="AD1108" t="n">
        <v>2</v>
      </c>
      <c r="AE1108" t="n">
        <v>20</v>
      </c>
      <c r="AF1108" t="n">
        <v>0</v>
      </c>
      <c r="AG1108" t="n">
        <v>8</v>
      </c>
      <c r="AH1108" t="n">
        <v>0</v>
      </c>
      <c r="AI1108" t="n">
        <v>6</v>
      </c>
      <c r="AJ1108" t="n">
        <v>0</v>
      </c>
      <c r="AK1108" t="n">
        <v>12</v>
      </c>
      <c r="AL1108" t="n">
        <v>2</v>
      </c>
      <c r="AM1108" t="n">
        <v>2</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HYPERLINK("https://creighton-primo.hosted.exlibrisgroup.com/primo-explore/search?tab=default_tab&amp;search_scope=EVERYTHING&amp;vid=01CRU&amp;lang=en_US&amp;offset=0&amp;query=any,contains,991003469039702656","Catalog Record")</f>
        <v/>
      </c>
      <c r="AT1108">
        <f>HYPERLINK("http://www.worldcat.org/oclc/1010588","WorldCat Record")</f>
        <v/>
      </c>
      <c r="AU1108" t="inlineStr">
        <is>
          <t>58666623:eng</t>
        </is>
      </c>
      <c r="AV1108" t="inlineStr">
        <is>
          <t>1010588</t>
        </is>
      </c>
      <c r="AW1108" t="inlineStr">
        <is>
          <t>991003469039702656</t>
        </is>
      </c>
      <c r="AX1108" t="inlineStr">
        <is>
          <t>991003469039702656</t>
        </is>
      </c>
      <c r="AY1108" t="inlineStr">
        <is>
          <t>2272475810002656</t>
        </is>
      </c>
      <c r="AZ1108" t="inlineStr">
        <is>
          <t>BOOK</t>
        </is>
      </c>
      <c r="BC1108" t="inlineStr">
        <is>
          <t>32285000334309</t>
        </is>
      </c>
      <c r="BD1108" t="inlineStr">
        <is>
          <t>893805799</t>
        </is>
      </c>
    </row>
    <row r="1109">
      <c r="A1109" t="inlineStr">
        <is>
          <t>No</t>
        </is>
      </c>
      <c r="B1109" t="inlineStr">
        <is>
          <t>GT3930 .P433 1999</t>
        </is>
      </c>
      <c r="C1109" t="inlineStr">
        <is>
          <t>0                      GT 3930000P  433         1999</t>
        </is>
      </c>
      <c r="D1109" t="inlineStr">
        <is>
          <t>In tune with the world : a theory of festivity / Josef Pieper ; translated by Richard and Clara Winston.</t>
        </is>
      </c>
      <c r="F1109" t="inlineStr">
        <is>
          <t>No</t>
        </is>
      </c>
      <c r="G1109" t="inlineStr">
        <is>
          <t>1</t>
        </is>
      </c>
      <c r="H1109" t="inlineStr">
        <is>
          <t>No</t>
        </is>
      </c>
      <c r="I1109" t="inlineStr">
        <is>
          <t>No</t>
        </is>
      </c>
      <c r="J1109" t="inlineStr">
        <is>
          <t>0</t>
        </is>
      </c>
      <c r="K1109" t="inlineStr">
        <is>
          <t>Pieper, Josef, 1904-1997.</t>
        </is>
      </c>
      <c r="L1109" t="inlineStr">
        <is>
          <t>South Bend, Ind. : St. Augustine's Press, 1999.</t>
        </is>
      </c>
      <c r="M1109" t="inlineStr">
        <is>
          <t>1999</t>
        </is>
      </c>
      <c r="O1109" t="inlineStr">
        <is>
          <t>eng</t>
        </is>
      </c>
      <c r="P1109" t="inlineStr">
        <is>
          <t>inu</t>
        </is>
      </c>
      <c r="R1109" t="inlineStr">
        <is>
          <t xml:space="preserve">GT </t>
        </is>
      </c>
      <c r="S1109" t="n">
        <v>7</v>
      </c>
      <c r="T1109" t="n">
        <v>7</v>
      </c>
      <c r="U1109" t="inlineStr">
        <is>
          <t>2009-07-15</t>
        </is>
      </c>
      <c r="V1109" t="inlineStr">
        <is>
          <t>2009-07-15</t>
        </is>
      </c>
      <c r="W1109" t="inlineStr">
        <is>
          <t>1999-12-15</t>
        </is>
      </c>
      <c r="X1109" t="inlineStr">
        <is>
          <t>1999-12-15</t>
        </is>
      </c>
      <c r="Y1109" t="n">
        <v>153</v>
      </c>
      <c r="Z1109" t="n">
        <v>128</v>
      </c>
      <c r="AA1109" t="n">
        <v>441</v>
      </c>
      <c r="AB1109" t="n">
        <v>3</v>
      </c>
      <c r="AC1109" t="n">
        <v>7</v>
      </c>
      <c r="AD1109" t="n">
        <v>6</v>
      </c>
      <c r="AE1109" t="n">
        <v>37</v>
      </c>
      <c r="AF1109" t="n">
        <v>2</v>
      </c>
      <c r="AG1109" t="n">
        <v>14</v>
      </c>
      <c r="AH1109" t="n">
        <v>3</v>
      </c>
      <c r="AI1109" t="n">
        <v>8</v>
      </c>
      <c r="AJ1109" t="n">
        <v>1</v>
      </c>
      <c r="AK1109" t="n">
        <v>21</v>
      </c>
      <c r="AL1109" t="n">
        <v>1</v>
      </c>
      <c r="AM1109" t="n">
        <v>4</v>
      </c>
      <c r="AN1109" t="n">
        <v>0</v>
      </c>
      <c r="AO1109" t="n">
        <v>0</v>
      </c>
      <c r="AP1109" t="inlineStr">
        <is>
          <t>No</t>
        </is>
      </c>
      <c r="AQ1109" t="inlineStr">
        <is>
          <t>Yes</t>
        </is>
      </c>
      <c r="AR1109">
        <f>HYPERLINK("http://catalog.hathitrust.org/Record/004229507","HathiTrust Record")</f>
        <v/>
      </c>
      <c r="AS1109">
        <f>HYPERLINK("https://creighton-primo.hosted.exlibrisgroup.com/primo-explore/search?tab=default_tab&amp;search_scope=EVERYTHING&amp;vid=01CRU&amp;lang=en_US&amp;offset=0&amp;query=any,contains,991003011079702656","Catalog Record")</f>
        <v/>
      </c>
      <c r="AT1109">
        <f>HYPERLINK("http://www.worldcat.org/oclc/40869691","WorldCat Record")</f>
        <v/>
      </c>
      <c r="AU1109" t="inlineStr">
        <is>
          <t>58773094:eng</t>
        </is>
      </c>
      <c r="AV1109" t="inlineStr">
        <is>
          <t>40869691</t>
        </is>
      </c>
      <c r="AW1109" t="inlineStr">
        <is>
          <t>991003011079702656</t>
        </is>
      </c>
      <c r="AX1109" t="inlineStr">
        <is>
          <t>991003011079702656</t>
        </is>
      </c>
      <c r="AY1109" t="inlineStr">
        <is>
          <t>2269367500002656</t>
        </is>
      </c>
      <c r="AZ1109" t="inlineStr">
        <is>
          <t>BOOK</t>
        </is>
      </c>
      <c r="BB1109" t="inlineStr">
        <is>
          <t>9781890318338</t>
        </is>
      </c>
      <c r="BC1109" t="inlineStr">
        <is>
          <t>32285003633194</t>
        </is>
      </c>
      <c r="BD1109" t="inlineStr">
        <is>
          <t>893867985</t>
        </is>
      </c>
    </row>
    <row r="1110">
      <c r="A1110" t="inlineStr">
        <is>
          <t>No</t>
        </is>
      </c>
      <c r="B1110" t="inlineStr">
        <is>
          <t>GT3930 .W67 1998</t>
        </is>
      </c>
      <c r="C1110" t="inlineStr">
        <is>
          <t>0                      GT 3930000W  67          1998</t>
        </is>
      </c>
      <c r="D1110" t="inlineStr">
        <is>
          <t>World holiday, festival, and calendar books / edited by Tanya Gulevich.</t>
        </is>
      </c>
      <c r="F1110" t="inlineStr">
        <is>
          <t>No</t>
        </is>
      </c>
      <c r="G1110" t="inlineStr">
        <is>
          <t>1</t>
        </is>
      </c>
      <c r="H1110" t="inlineStr">
        <is>
          <t>No</t>
        </is>
      </c>
      <c r="I1110" t="inlineStr">
        <is>
          <t>No</t>
        </is>
      </c>
      <c r="J1110" t="inlineStr">
        <is>
          <t>0</t>
        </is>
      </c>
      <c r="L1110" t="inlineStr">
        <is>
          <t>Detroit : Omnigraphics, c1998.</t>
        </is>
      </c>
      <c r="M1110" t="inlineStr">
        <is>
          <t>1998</t>
        </is>
      </c>
      <c r="N1110" t="inlineStr">
        <is>
          <t>1st ed.</t>
        </is>
      </c>
      <c r="O1110" t="inlineStr">
        <is>
          <t>eng</t>
        </is>
      </c>
      <c r="P1110" t="inlineStr">
        <is>
          <t>miu</t>
        </is>
      </c>
      <c r="R1110" t="inlineStr">
        <is>
          <t xml:space="preserve">GT </t>
        </is>
      </c>
      <c r="S1110" t="n">
        <v>4</v>
      </c>
      <c r="T1110" t="n">
        <v>4</v>
      </c>
      <c r="U1110" t="inlineStr">
        <is>
          <t>2002-09-30</t>
        </is>
      </c>
      <c r="V1110" t="inlineStr">
        <is>
          <t>2002-09-30</t>
        </is>
      </c>
      <c r="W1110" t="inlineStr">
        <is>
          <t>1999-01-28</t>
        </is>
      </c>
      <c r="X1110" t="inlineStr">
        <is>
          <t>1999-01-28</t>
        </is>
      </c>
      <c r="Y1110" t="n">
        <v>197</v>
      </c>
      <c r="Z1110" t="n">
        <v>177</v>
      </c>
      <c r="AA1110" t="n">
        <v>184</v>
      </c>
      <c r="AB1110" t="n">
        <v>2</v>
      </c>
      <c r="AC1110" t="n">
        <v>2</v>
      </c>
      <c r="AD1110" t="n">
        <v>6</v>
      </c>
      <c r="AE1110" t="n">
        <v>6</v>
      </c>
      <c r="AF1110" t="n">
        <v>1</v>
      </c>
      <c r="AG1110" t="n">
        <v>1</v>
      </c>
      <c r="AH1110" t="n">
        <v>0</v>
      </c>
      <c r="AI1110" t="n">
        <v>0</v>
      </c>
      <c r="AJ1110" t="n">
        <v>5</v>
      </c>
      <c r="AK1110" t="n">
        <v>5</v>
      </c>
      <c r="AL1110" t="n">
        <v>1</v>
      </c>
      <c r="AM1110" t="n">
        <v>1</v>
      </c>
      <c r="AN1110" t="n">
        <v>0</v>
      </c>
      <c r="AO1110" t="n">
        <v>0</v>
      </c>
      <c r="AP1110" t="inlineStr">
        <is>
          <t>No</t>
        </is>
      </c>
      <c r="AQ1110" t="inlineStr">
        <is>
          <t>Yes</t>
        </is>
      </c>
      <c r="AR1110">
        <f>HYPERLINK("http://catalog.hathitrust.org/Record/004032941","HathiTrust Record")</f>
        <v/>
      </c>
      <c r="AS1110">
        <f>HYPERLINK("https://creighton-primo.hosted.exlibrisgroup.com/primo-explore/search?tab=default_tab&amp;search_scope=EVERYTHING&amp;vid=01CRU&amp;lang=en_US&amp;offset=0&amp;query=any,contains,991002849399702656","Catalog Record")</f>
        <v/>
      </c>
      <c r="AT1110">
        <f>HYPERLINK("http://www.worldcat.org/oclc/37546824","WorldCat Record")</f>
        <v/>
      </c>
      <c r="AU1110" t="inlineStr">
        <is>
          <t>56208190:eng</t>
        </is>
      </c>
      <c r="AV1110" t="inlineStr">
        <is>
          <t>37546824</t>
        </is>
      </c>
      <c r="AW1110" t="inlineStr">
        <is>
          <t>991002849399702656</t>
        </is>
      </c>
      <c r="AX1110" t="inlineStr">
        <is>
          <t>991002849399702656</t>
        </is>
      </c>
      <c r="AY1110" t="inlineStr">
        <is>
          <t>2261384110002656</t>
        </is>
      </c>
      <c r="AZ1110" t="inlineStr">
        <is>
          <t>BOOK</t>
        </is>
      </c>
      <c r="BB1110" t="inlineStr">
        <is>
          <t>9780780800731</t>
        </is>
      </c>
      <c r="BC1110" t="inlineStr">
        <is>
          <t>32285003516894</t>
        </is>
      </c>
      <c r="BD1110" t="inlineStr">
        <is>
          <t>893348000</t>
        </is>
      </c>
    </row>
    <row r="1111">
      <c r="A1111" t="inlineStr">
        <is>
          <t>No</t>
        </is>
      </c>
      <c r="B1111" t="inlineStr">
        <is>
          <t>GT4211.N4 R63 1996</t>
        </is>
      </c>
      <c r="C1111" t="inlineStr">
        <is>
          <t>0                      GT 4211000N  4                  R  63          1996</t>
        </is>
      </c>
      <c r="D1111" t="inlineStr">
        <is>
          <t>Cities of the dead : circum-Atlantic performance / Joseph Roach.</t>
        </is>
      </c>
      <c r="F1111" t="inlineStr">
        <is>
          <t>No</t>
        </is>
      </c>
      <c r="G1111" t="inlineStr">
        <is>
          <t>1</t>
        </is>
      </c>
      <c r="H1111" t="inlineStr">
        <is>
          <t>No</t>
        </is>
      </c>
      <c r="I1111" t="inlineStr">
        <is>
          <t>No</t>
        </is>
      </c>
      <c r="J1111" t="inlineStr">
        <is>
          <t>0</t>
        </is>
      </c>
      <c r="K1111" t="inlineStr">
        <is>
          <t>Roach, Joseph R., 1947-</t>
        </is>
      </c>
      <c r="L1111" t="inlineStr">
        <is>
          <t>New York : Columbia University Press, c1996.</t>
        </is>
      </c>
      <c r="M1111" t="inlineStr">
        <is>
          <t>1996</t>
        </is>
      </c>
      <c r="O1111" t="inlineStr">
        <is>
          <t>eng</t>
        </is>
      </c>
      <c r="P1111" t="inlineStr">
        <is>
          <t>nyu</t>
        </is>
      </c>
      <c r="Q1111" t="inlineStr">
        <is>
          <t>The social foundations of aesthetic forms</t>
        </is>
      </c>
      <c r="R1111" t="inlineStr">
        <is>
          <t xml:space="preserve">GT </t>
        </is>
      </c>
      <c r="S1111" t="n">
        <v>5</v>
      </c>
      <c r="T1111" t="n">
        <v>5</v>
      </c>
      <c r="U1111" t="inlineStr">
        <is>
          <t>2005-11-06</t>
        </is>
      </c>
      <c r="V1111" t="inlineStr">
        <is>
          <t>2005-11-06</t>
        </is>
      </c>
      <c r="W1111" t="inlineStr">
        <is>
          <t>2003-05-13</t>
        </is>
      </c>
      <c r="X1111" t="inlineStr">
        <is>
          <t>2003-05-13</t>
        </is>
      </c>
      <c r="Y1111" t="n">
        <v>565</v>
      </c>
      <c r="Z1111" t="n">
        <v>419</v>
      </c>
      <c r="AA1111" t="n">
        <v>419</v>
      </c>
      <c r="AB1111" t="n">
        <v>4</v>
      </c>
      <c r="AC1111" t="n">
        <v>4</v>
      </c>
      <c r="AD1111" t="n">
        <v>25</v>
      </c>
      <c r="AE1111" t="n">
        <v>25</v>
      </c>
      <c r="AF1111" t="n">
        <v>9</v>
      </c>
      <c r="AG1111" t="n">
        <v>9</v>
      </c>
      <c r="AH1111" t="n">
        <v>7</v>
      </c>
      <c r="AI1111" t="n">
        <v>7</v>
      </c>
      <c r="AJ1111" t="n">
        <v>11</v>
      </c>
      <c r="AK1111" t="n">
        <v>11</v>
      </c>
      <c r="AL1111" t="n">
        <v>3</v>
      </c>
      <c r="AM1111" t="n">
        <v>3</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HYPERLINK("https://creighton-primo.hosted.exlibrisgroup.com/primo-explore/search?tab=default_tab&amp;search_scope=EVERYTHING&amp;vid=01CRU&amp;lang=en_US&amp;offset=0&amp;query=any,contains,991004026109702656","Catalog Record")</f>
        <v/>
      </c>
      <c r="AT1111">
        <f>HYPERLINK("http://www.worldcat.org/oclc/33131513","WorldCat Record")</f>
        <v/>
      </c>
      <c r="AU1111" t="inlineStr">
        <is>
          <t>836996994:eng</t>
        </is>
      </c>
      <c r="AV1111" t="inlineStr">
        <is>
          <t>33131513</t>
        </is>
      </c>
      <c r="AW1111" t="inlineStr">
        <is>
          <t>991004026109702656</t>
        </is>
      </c>
      <c r="AX1111" t="inlineStr">
        <is>
          <t>991004026109702656</t>
        </is>
      </c>
      <c r="AY1111" t="inlineStr">
        <is>
          <t>2270772580002656</t>
        </is>
      </c>
      <c r="AZ1111" t="inlineStr">
        <is>
          <t>BOOK</t>
        </is>
      </c>
      <c r="BB1111" t="inlineStr">
        <is>
          <t>9780231104609</t>
        </is>
      </c>
      <c r="BC1111" t="inlineStr">
        <is>
          <t>32285004745914</t>
        </is>
      </c>
      <c r="BD1111" t="inlineStr">
        <is>
          <t>893445998</t>
        </is>
      </c>
    </row>
    <row r="1112">
      <c r="A1112" t="inlineStr">
        <is>
          <t>No</t>
        </is>
      </c>
      <c r="B1112" t="inlineStr">
        <is>
          <t>GT4226.J33 D35 2002</t>
        </is>
      </c>
      <c r="C1112" t="inlineStr">
        <is>
          <t>0                      GT 4226000J  33                 D  35          2002</t>
        </is>
      </c>
      <c r="D1112" t="inlineStr">
        <is>
          <t>After the dance : a walk through Carnival in Jacmel, Haiti / Edwidge Danticat.</t>
        </is>
      </c>
      <c r="F1112" t="inlineStr">
        <is>
          <t>No</t>
        </is>
      </c>
      <c r="G1112" t="inlineStr">
        <is>
          <t>1</t>
        </is>
      </c>
      <c r="H1112" t="inlineStr">
        <is>
          <t>No</t>
        </is>
      </c>
      <c r="I1112" t="inlineStr">
        <is>
          <t>No</t>
        </is>
      </c>
      <c r="J1112" t="inlineStr">
        <is>
          <t>0</t>
        </is>
      </c>
      <c r="K1112" t="inlineStr">
        <is>
          <t>Danticat, Edwidge, 1969-</t>
        </is>
      </c>
      <c r="L1112" t="inlineStr">
        <is>
          <t>New York : Crown Journeys, c2002</t>
        </is>
      </c>
      <c r="M1112" t="inlineStr">
        <is>
          <t>2002</t>
        </is>
      </c>
      <c r="N1112" t="inlineStr">
        <is>
          <t>1st ed.</t>
        </is>
      </c>
      <c r="O1112" t="inlineStr">
        <is>
          <t>eng</t>
        </is>
      </c>
      <c r="P1112" t="inlineStr">
        <is>
          <t>nyu</t>
        </is>
      </c>
      <c r="R1112" t="inlineStr">
        <is>
          <t xml:space="preserve">GT </t>
        </is>
      </c>
      <c r="S1112" t="n">
        <v>5</v>
      </c>
      <c r="T1112" t="n">
        <v>5</v>
      </c>
      <c r="U1112" t="inlineStr">
        <is>
          <t>2008-04-28</t>
        </is>
      </c>
      <c r="V1112" t="inlineStr">
        <is>
          <t>2008-04-28</t>
        </is>
      </c>
      <c r="W1112" t="inlineStr">
        <is>
          <t>2004-05-03</t>
        </is>
      </c>
      <c r="X1112" t="inlineStr">
        <is>
          <t>2004-05-03</t>
        </is>
      </c>
      <c r="Y1112" t="n">
        <v>531</v>
      </c>
      <c r="Z1112" t="n">
        <v>501</v>
      </c>
      <c r="AA1112" t="n">
        <v>606</v>
      </c>
      <c r="AB1112" t="n">
        <v>3</v>
      </c>
      <c r="AC1112" t="n">
        <v>3</v>
      </c>
      <c r="AD1112" t="n">
        <v>16</v>
      </c>
      <c r="AE1112" t="n">
        <v>19</v>
      </c>
      <c r="AF1112" t="n">
        <v>7</v>
      </c>
      <c r="AG1112" t="n">
        <v>7</v>
      </c>
      <c r="AH1112" t="n">
        <v>5</v>
      </c>
      <c r="AI1112" t="n">
        <v>6</v>
      </c>
      <c r="AJ1112" t="n">
        <v>7</v>
      </c>
      <c r="AK1112" t="n">
        <v>10</v>
      </c>
      <c r="AL1112" t="n">
        <v>1</v>
      </c>
      <c r="AM1112" t="n">
        <v>1</v>
      </c>
      <c r="AN1112" t="n">
        <v>0</v>
      </c>
      <c r="AO1112" t="n">
        <v>0</v>
      </c>
      <c r="AP1112" t="inlineStr">
        <is>
          <t>No</t>
        </is>
      </c>
      <c r="AQ1112" t="inlineStr">
        <is>
          <t>Yes</t>
        </is>
      </c>
      <c r="AR1112">
        <f>HYPERLINK("http://catalog.hathitrust.org/Record/005080311","HathiTrust Record")</f>
        <v/>
      </c>
      <c r="AS1112">
        <f>HYPERLINK("https://creighton-primo.hosted.exlibrisgroup.com/primo-explore/search?tab=default_tab&amp;search_scope=EVERYTHING&amp;vid=01CRU&amp;lang=en_US&amp;offset=0&amp;query=any,contains,991004275189702656","Catalog Record")</f>
        <v/>
      </c>
      <c r="AT1112">
        <f>HYPERLINK("http://www.worldcat.org/oclc/49226319","WorldCat Record")</f>
        <v/>
      </c>
      <c r="AU1112" t="inlineStr">
        <is>
          <t>888928:eng</t>
        </is>
      </c>
      <c r="AV1112" t="inlineStr">
        <is>
          <t>49226319</t>
        </is>
      </c>
      <c r="AW1112" t="inlineStr">
        <is>
          <t>991004275189702656</t>
        </is>
      </c>
      <c r="AX1112" t="inlineStr">
        <is>
          <t>991004275189702656</t>
        </is>
      </c>
      <c r="AY1112" t="inlineStr">
        <is>
          <t>2262761680002656</t>
        </is>
      </c>
      <c r="AZ1112" t="inlineStr">
        <is>
          <t>BOOK</t>
        </is>
      </c>
      <c r="BB1112" t="inlineStr">
        <is>
          <t>9780609609088</t>
        </is>
      </c>
      <c r="BC1112" t="inlineStr">
        <is>
          <t>32285004902978</t>
        </is>
      </c>
      <c r="BD1112" t="inlineStr">
        <is>
          <t>893235274</t>
        </is>
      </c>
    </row>
    <row r="1113">
      <c r="A1113" t="inlineStr">
        <is>
          <t>No</t>
        </is>
      </c>
      <c r="B1113" t="inlineStr">
        <is>
          <t>GT4233.R5 G85 1990</t>
        </is>
      </c>
      <c r="C1113" t="inlineStr">
        <is>
          <t>0                      GT 4233000R  5                  G  85          1990</t>
        </is>
      </c>
      <c r="D1113" t="inlineStr">
        <is>
          <t>Samba / Alma Guillermoprieto.</t>
        </is>
      </c>
      <c r="F1113" t="inlineStr">
        <is>
          <t>No</t>
        </is>
      </c>
      <c r="G1113" t="inlineStr">
        <is>
          <t>1</t>
        </is>
      </c>
      <c r="H1113" t="inlineStr">
        <is>
          <t>No</t>
        </is>
      </c>
      <c r="I1113" t="inlineStr">
        <is>
          <t>No</t>
        </is>
      </c>
      <c r="J1113" t="inlineStr">
        <is>
          <t>0</t>
        </is>
      </c>
      <c r="K1113" t="inlineStr">
        <is>
          <t>Guillermoprieto, Alma, 1949-</t>
        </is>
      </c>
      <c r="L1113" t="inlineStr">
        <is>
          <t>New York : Knopf : Distributed by Random House, 1990.</t>
        </is>
      </c>
      <c r="M1113" t="inlineStr">
        <is>
          <t>1990</t>
        </is>
      </c>
      <c r="N1113" t="inlineStr">
        <is>
          <t>1st ed.</t>
        </is>
      </c>
      <c r="O1113" t="inlineStr">
        <is>
          <t>eng</t>
        </is>
      </c>
      <c r="P1113" t="inlineStr">
        <is>
          <t>nyu</t>
        </is>
      </c>
      <c r="R1113" t="inlineStr">
        <is>
          <t xml:space="preserve">GT </t>
        </is>
      </c>
      <c r="S1113" t="n">
        <v>1</v>
      </c>
      <c r="T1113" t="n">
        <v>1</v>
      </c>
      <c r="U1113" t="inlineStr">
        <is>
          <t>2005-09-19</t>
        </is>
      </c>
      <c r="V1113" t="inlineStr">
        <is>
          <t>2005-09-19</t>
        </is>
      </c>
      <c r="W1113" t="inlineStr">
        <is>
          <t>1991-06-14</t>
        </is>
      </c>
      <c r="X1113" t="inlineStr">
        <is>
          <t>1991-06-14</t>
        </is>
      </c>
      <c r="Y1113" t="n">
        <v>408</v>
      </c>
      <c r="Z1113" t="n">
        <v>378</v>
      </c>
      <c r="AA1113" t="n">
        <v>569</v>
      </c>
      <c r="AB1113" t="n">
        <v>3</v>
      </c>
      <c r="AC1113" t="n">
        <v>4</v>
      </c>
      <c r="AD1113" t="n">
        <v>9</v>
      </c>
      <c r="AE1113" t="n">
        <v>23</v>
      </c>
      <c r="AF1113" t="n">
        <v>5</v>
      </c>
      <c r="AG1113" t="n">
        <v>9</v>
      </c>
      <c r="AH1113" t="n">
        <v>4</v>
      </c>
      <c r="AI1113" t="n">
        <v>7</v>
      </c>
      <c r="AJ1113" t="n">
        <v>3</v>
      </c>
      <c r="AK1113" t="n">
        <v>11</v>
      </c>
      <c r="AL1113" t="n">
        <v>1</v>
      </c>
      <c r="AM1113" t="n">
        <v>2</v>
      </c>
      <c r="AN1113" t="n">
        <v>0</v>
      </c>
      <c r="AO1113" t="n">
        <v>0</v>
      </c>
      <c r="AP1113" t="inlineStr">
        <is>
          <t>No</t>
        </is>
      </c>
      <c r="AQ1113" t="inlineStr">
        <is>
          <t>Yes</t>
        </is>
      </c>
      <c r="AR1113">
        <f>HYPERLINK("http://catalog.hathitrust.org/Record/001944955","HathiTrust Record")</f>
        <v/>
      </c>
      <c r="AS1113">
        <f>HYPERLINK("https://creighton-primo.hosted.exlibrisgroup.com/primo-explore/search?tab=default_tab&amp;search_scope=EVERYTHING&amp;vid=01CRU&amp;lang=en_US&amp;offset=0&amp;query=any,contains,991001545489702656","Catalog Record")</f>
        <v/>
      </c>
      <c r="AT1113">
        <f>HYPERLINK("http://www.worldcat.org/oclc/20167787","WorldCat Record")</f>
        <v/>
      </c>
      <c r="AU1113" t="inlineStr">
        <is>
          <t>21386519:eng</t>
        </is>
      </c>
      <c r="AV1113" t="inlineStr">
        <is>
          <t>20167787</t>
        </is>
      </c>
      <c r="AW1113" t="inlineStr">
        <is>
          <t>991001545489702656</t>
        </is>
      </c>
      <c r="AX1113" t="inlineStr">
        <is>
          <t>991001545489702656</t>
        </is>
      </c>
      <c r="AY1113" t="inlineStr">
        <is>
          <t>2270541030002656</t>
        </is>
      </c>
      <c r="AZ1113" t="inlineStr">
        <is>
          <t>BOOK</t>
        </is>
      </c>
      <c r="BB1113" t="inlineStr">
        <is>
          <t>9780394571898</t>
        </is>
      </c>
      <c r="BC1113" t="inlineStr">
        <is>
          <t>32285000656685</t>
        </is>
      </c>
      <c r="BD1113" t="inlineStr">
        <is>
          <t>893439199</t>
        </is>
      </c>
    </row>
    <row r="1114">
      <c r="A1114" t="inlineStr">
        <is>
          <t>No</t>
        </is>
      </c>
      <c r="B1114" t="inlineStr">
        <is>
          <t>GT4250.A2 D54 2010</t>
        </is>
      </c>
      <c r="C1114" t="inlineStr">
        <is>
          <t>0                      GT 4250000A  2                  D  54          2010</t>
        </is>
      </c>
      <c r="D1114" t="inlineStr">
        <is>
          <t>Alaaf und Heil Hitler : Karneval im Dritten Reich / Carl Dietmar, Marcus Leifeld.</t>
        </is>
      </c>
      <c r="F1114" t="inlineStr">
        <is>
          <t>No</t>
        </is>
      </c>
      <c r="G1114" t="inlineStr">
        <is>
          <t>1</t>
        </is>
      </c>
      <c r="H1114" t="inlineStr">
        <is>
          <t>No</t>
        </is>
      </c>
      <c r="I1114" t="inlineStr">
        <is>
          <t>No</t>
        </is>
      </c>
      <c r="J1114" t="inlineStr">
        <is>
          <t>0</t>
        </is>
      </c>
      <c r="K1114" t="inlineStr">
        <is>
          <t>Dietmar, Carl D.</t>
        </is>
      </c>
      <c r="L1114" t="inlineStr">
        <is>
          <t>München : Herbig, c2010.</t>
        </is>
      </c>
      <c r="M1114" t="inlineStr">
        <is>
          <t>2010</t>
        </is>
      </c>
      <c r="O1114" t="inlineStr">
        <is>
          <t>ger</t>
        </is>
      </c>
      <c r="P1114" t="inlineStr">
        <is>
          <t xml:space="preserve">gw </t>
        </is>
      </c>
      <c r="R1114" t="inlineStr">
        <is>
          <t xml:space="preserve">GT </t>
        </is>
      </c>
      <c r="S1114" t="n">
        <v>1</v>
      </c>
      <c r="T1114" t="n">
        <v>1</v>
      </c>
      <c r="U1114" t="inlineStr">
        <is>
          <t>2010-06-14</t>
        </is>
      </c>
      <c r="V1114" t="inlineStr">
        <is>
          <t>2010-06-14</t>
        </is>
      </c>
      <c r="W1114" t="inlineStr">
        <is>
          <t>2010-06-14</t>
        </is>
      </c>
      <c r="X1114" t="inlineStr">
        <is>
          <t>2010-06-14</t>
        </is>
      </c>
      <c r="Y1114" t="n">
        <v>51</v>
      </c>
      <c r="Z1114" t="n">
        <v>35</v>
      </c>
      <c r="AA1114" t="n">
        <v>35</v>
      </c>
      <c r="AB1114" t="n">
        <v>1</v>
      </c>
      <c r="AC1114" t="n">
        <v>1</v>
      </c>
      <c r="AD1114" t="n">
        <v>2</v>
      </c>
      <c r="AE1114" t="n">
        <v>2</v>
      </c>
      <c r="AF1114" t="n">
        <v>0</v>
      </c>
      <c r="AG1114" t="n">
        <v>0</v>
      </c>
      <c r="AH1114" t="n">
        <v>1</v>
      </c>
      <c r="AI1114" t="n">
        <v>1</v>
      </c>
      <c r="AJ1114" t="n">
        <v>2</v>
      </c>
      <c r="AK1114" t="n">
        <v>2</v>
      </c>
      <c r="AL1114" t="n">
        <v>0</v>
      </c>
      <c r="AM1114" t="n">
        <v>0</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HYPERLINK("https://creighton-primo.hosted.exlibrisgroup.com/primo-explore/search?tab=default_tab&amp;search_scope=EVERYTHING&amp;vid=01CRU&amp;lang=en_US&amp;offset=0&amp;query=any,contains,991005392849702656","Catalog Record")</f>
        <v/>
      </c>
      <c r="AT1114">
        <f>HYPERLINK("http://www.worldcat.org/oclc/600183433","WorldCat Record")</f>
        <v/>
      </c>
      <c r="AU1114" t="inlineStr">
        <is>
          <t>793214320:ger</t>
        </is>
      </c>
      <c r="AV1114" t="inlineStr">
        <is>
          <t>600183433</t>
        </is>
      </c>
      <c r="AW1114" t="inlineStr">
        <is>
          <t>991005392849702656</t>
        </is>
      </c>
      <c r="AX1114" t="inlineStr">
        <is>
          <t>991005392849702656</t>
        </is>
      </c>
      <c r="AY1114" t="inlineStr">
        <is>
          <t>2255011210002656</t>
        </is>
      </c>
      <c r="AZ1114" t="inlineStr">
        <is>
          <t>BOOK</t>
        </is>
      </c>
      <c r="BB1114" t="inlineStr">
        <is>
          <t>9783776626308</t>
        </is>
      </c>
      <c r="BC1114" t="inlineStr">
        <is>
          <t>32285005588339</t>
        </is>
      </c>
      <c r="BD1114" t="inlineStr">
        <is>
          <t>893353900</t>
        </is>
      </c>
    </row>
    <row r="1115">
      <c r="A1115" t="inlineStr">
        <is>
          <t>No</t>
        </is>
      </c>
      <c r="B1115" t="inlineStr">
        <is>
          <t>GT4262.A55 G55 1998</t>
        </is>
      </c>
      <c r="C1115" t="inlineStr">
        <is>
          <t>0                      GT 4262000A  55                 G  55          1998</t>
        </is>
      </c>
      <c r="D1115" t="inlineStr">
        <is>
          <t>Carnival and culture : sex, symbol, and status in Spain / David D. Gilmore.</t>
        </is>
      </c>
      <c r="F1115" t="inlineStr">
        <is>
          <t>No</t>
        </is>
      </c>
      <c r="G1115" t="inlineStr">
        <is>
          <t>1</t>
        </is>
      </c>
      <c r="H1115" t="inlineStr">
        <is>
          <t>No</t>
        </is>
      </c>
      <c r="I1115" t="inlineStr">
        <is>
          <t>No</t>
        </is>
      </c>
      <c r="J1115" t="inlineStr">
        <is>
          <t>0</t>
        </is>
      </c>
      <c r="K1115" t="inlineStr">
        <is>
          <t>Gilmore, David D., 1943-</t>
        </is>
      </c>
      <c r="L1115" t="inlineStr">
        <is>
          <t>New Haven : Yale University Press, c1998.</t>
        </is>
      </c>
      <c r="M1115" t="inlineStr">
        <is>
          <t>1998</t>
        </is>
      </c>
      <c r="O1115" t="inlineStr">
        <is>
          <t>eng</t>
        </is>
      </c>
      <c r="P1115" t="inlineStr">
        <is>
          <t>ctu</t>
        </is>
      </c>
      <c r="R1115" t="inlineStr">
        <is>
          <t xml:space="preserve">GT </t>
        </is>
      </c>
      <c r="S1115" t="n">
        <v>2</v>
      </c>
      <c r="T1115" t="n">
        <v>2</v>
      </c>
      <c r="U1115" t="inlineStr">
        <is>
          <t>2001-11-12</t>
        </is>
      </c>
      <c r="V1115" t="inlineStr">
        <is>
          <t>2001-11-12</t>
        </is>
      </c>
      <c r="W1115" t="inlineStr">
        <is>
          <t>1999-12-09</t>
        </is>
      </c>
      <c r="X1115" t="inlineStr">
        <is>
          <t>1999-12-09</t>
        </is>
      </c>
      <c r="Y1115" t="n">
        <v>466</v>
      </c>
      <c r="Z1115" t="n">
        <v>369</v>
      </c>
      <c r="AA1115" t="n">
        <v>546</v>
      </c>
      <c r="AB1115" t="n">
        <v>3</v>
      </c>
      <c r="AC1115" t="n">
        <v>3</v>
      </c>
      <c r="AD1115" t="n">
        <v>22</v>
      </c>
      <c r="AE1115" t="n">
        <v>31</v>
      </c>
      <c r="AF1115" t="n">
        <v>9</v>
      </c>
      <c r="AG1115" t="n">
        <v>15</v>
      </c>
      <c r="AH1115" t="n">
        <v>7</v>
      </c>
      <c r="AI1115" t="n">
        <v>9</v>
      </c>
      <c r="AJ1115" t="n">
        <v>11</v>
      </c>
      <c r="AK1115" t="n">
        <v>16</v>
      </c>
      <c r="AL1115" t="n">
        <v>2</v>
      </c>
      <c r="AM1115" t="n">
        <v>2</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HYPERLINK("https://creighton-primo.hosted.exlibrisgroup.com/primo-explore/search?tab=default_tab&amp;search_scope=EVERYTHING&amp;vid=01CRU&amp;lang=en_US&amp;offset=0&amp;query=any,contains,991002918089702656","Catalog Record")</f>
        <v/>
      </c>
      <c r="AT1115">
        <f>HYPERLINK("http://www.worldcat.org/oclc/38590363","WorldCat Record")</f>
        <v/>
      </c>
      <c r="AU1115" t="inlineStr">
        <is>
          <t>198127534:eng</t>
        </is>
      </c>
      <c r="AV1115" t="inlineStr">
        <is>
          <t>38590363</t>
        </is>
      </c>
      <c r="AW1115" t="inlineStr">
        <is>
          <t>991002918089702656</t>
        </is>
      </c>
      <c r="AX1115" t="inlineStr">
        <is>
          <t>991002918089702656</t>
        </is>
      </c>
      <c r="AY1115" t="inlineStr">
        <is>
          <t>2269790070002656</t>
        </is>
      </c>
      <c r="AZ1115" t="inlineStr">
        <is>
          <t>BOOK</t>
        </is>
      </c>
      <c r="BB1115" t="inlineStr">
        <is>
          <t>9780300074802</t>
        </is>
      </c>
      <c r="BC1115" t="inlineStr">
        <is>
          <t>32285003631594</t>
        </is>
      </c>
      <c r="BD1115" t="inlineStr">
        <is>
          <t>893685947</t>
        </is>
      </c>
    </row>
    <row r="1116">
      <c r="A1116" t="inlineStr">
        <is>
          <t>No</t>
        </is>
      </c>
      <c r="B1116" t="inlineStr">
        <is>
          <t>GT4403 .K37 1988</t>
        </is>
      </c>
      <c r="C1116" t="inlineStr">
        <is>
          <t>0                      GT 4403000K  37          1988</t>
        </is>
      </c>
      <c r="D1116" t="inlineStr">
        <is>
          <t>The African American holiday of Kwanzaa : a celebration of family, community &amp; culture / Maulana Karenga.</t>
        </is>
      </c>
      <c r="F1116" t="inlineStr">
        <is>
          <t>No</t>
        </is>
      </c>
      <c r="G1116" t="inlineStr">
        <is>
          <t>1</t>
        </is>
      </c>
      <c r="H1116" t="inlineStr">
        <is>
          <t>No</t>
        </is>
      </c>
      <c r="I1116" t="inlineStr">
        <is>
          <t>No</t>
        </is>
      </c>
      <c r="J1116" t="inlineStr">
        <is>
          <t>0</t>
        </is>
      </c>
      <c r="K1116" t="inlineStr">
        <is>
          <t>Karenga, Maulana</t>
        </is>
      </c>
      <c r="L1116" t="inlineStr">
        <is>
          <t>Los Angeles, Calif. : University of Sankore Press, 1988.</t>
        </is>
      </c>
      <c r="M1116" t="inlineStr">
        <is>
          <t>1988</t>
        </is>
      </c>
      <c r="O1116" t="inlineStr">
        <is>
          <t>eng</t>
        </is>
      </c>
      <c r="P1116" t="inlineStr">
        <is>
          <t>cau</t>
        </is>
      </c>
      <c r="R1116" t="inlineStr">
        <is>
          <t xml:space="preserve">GT </t>
        </is>
      </c>
      <c r="S1116" t="n">
        <v>9</v>
      </c>
      <c r="T1116" t="n">
        <v>9</v>
      </c>
      <c r="U1116" t="inlineStr">
        <is>
          <t>1999-03-15</t>
        </is>
      </c>
      <c r="V1116" t="inlineStr">
        <is>
          <t>1999-03-15</t>
        </is>
      </c>
      <c r="W1116" t="inlineStr">
        <is>
          <t>1996-07-03</t>
        </is>
      </c>
      <c r="X1116" t="inlineStr">
        <is>
          <t>1996-07-03</t>
        </is>
      </c>
      <c r="Y1116" t="n">
        <v>355</v>
      </c>
      <c r="Z1116" t="n">
        <v>352</v>
      </c>
      <c r="AA1116" t="n">
        <v>359</v>
      </c>
      <c r="AB1116" t="n">
        <v>2</v>
      </c>
      <c r="AC1116" t="n">
        <v>2</v>
      </c>
      <c r="AD1116" t="n">
        <v>4</v>
      </c>
      <c r="AE1116" t="n">
        <v>4</v>
      </c>
      <c r="AF1116" t="n">
        <v>1</v>
      </c>
      <c r="AG1116" t="n">
        <v>1</v>
      </c>
      <c r="AH1116" t="n">
        <v>0</v>
      </c>
      <c r="AI1116" t="n">
        <v>0</v>
      </c>
      <c r="AJ1116" t="n">
        <v>2</v>
      </c>
      <c r="AK1116" t="n">
        <v>2</v>
      </c>
      <c r="AL1116" t="n">
        <v>1</v>
      </c>
      <c r="AM1116" t="n">
        <v>1</v>
      </c>
      <c r="AN1116" t="n">
        <v>0</v>
      </c>
      <c r="AO1116" t="n">
        <v>0</v>
      </c>
      <c r="AP1116" t="inlineStr">
        <is>
          <t>No</t>
        </is>
      </c>
      <c r="AQ1116" t="inlineStr">
        <is>
          <t>Yes</t>
        </is>
      </c>
      <c r="AR1116">
        <f>HYPERLINK("http://catalog.hathitrust.org/Record/006938813","HathiTrust Record")</f>
        <v/>
      </c>
      <c r="AS1116">
        <f>HYPERLINK("https://creighton-primo.hosted.exlibrisgroup.com/primo-explore/search?tab=default_tab&amp;search_scope=EVERYTHING&amp;vid=01CRU&amp;lang=en_US&amp;offset=0&amp;query=any,contains,991001437049702656","Catalog Record")</f>
        <v/>
      </c>
      <c r="AT1116">
        <f>HYPERLINK("http://www.worldcat.org/oclc/19130829","WorldCat Record")</f>
        <v/>
      </c>
      <c r="AU1116" t="inlineStr">
        <is>
          <t>231138032:eng</t>
        </is>
      </c>
      <c r="AV1116" t="inlineStr">
        <is>
          <t>19130829</t>
        </is>
      </c>
      <c r="AW1116" t="inlineStr">
        <is>
          <t>991001437049702656</t>
        </is>
      </c>
      <c r="AX1116" t="inlineStr">
        <is>
          <t>991001437049702656</t>
        </is>
      </c>
      <c r="AY1116" t="inlineStr">
        <is>
          <t>2261630990002656</t>
        </is>
      </c>
      <c r="AZ1116" t="inlineStr">
        <is>
          <t>BOOK</t>
        </is>
      </c>
      <c r="BB1116" t="inlineStr">
        <is>
          <t>9780943412092</t>
        </is>
      </c>
      <c r="BC1116" t="inlineStr">
        <is>
          <t>32285002206786</t>
        </is>
      </c>
      <c r="BD1116" t="inlineStr">
        <is>
          <t>893432861</t>
        </is>
      </c>
    </row>
    <row r="1117">
      <c r="A1117" t="inlineStr">
        <is>
          <t>No</t>
        </is>
      </c>
      <c r="B1117" t="inlineStr">
        <is>
          <t>GT445 .R6</t>
        </is>
      </c>
      <c r="C1117" t="inlineStr">
        <is>
          <t>0                      GT 0445000R  6</t>
        </is>
      </c>
      <c r="D1117" t="inlineStr">
        <is>
          <t>The story of the lamp (and the candle) by F. W. Robins, with 50 illustrations, showing nearly 500 specimens, mostly from the author's own collection.</t>
        </is>
      </c>
      <c r="F1117" t="inlineStr">
        <is>
          <t>No</t>
        </is>
      </c>
      <c r="G1117" t="inlineStr">
        <is>
          <t>1</t>
        </is>
      </c>
      <c r="H1117" t="inlineStr">
        <is>
          <t>No</t>
        </is>
      </c>
      <c r="I1117" t="inlineStr">
        <is>
          <t>No</t>
        </is>
      </c>
      <c r="J1117" t="inlineStr">
        <is>
          <t>0</t>
        </is>
      </c>
      <c r="K1117" t="inlineStr">
        <is>
          <t>Robins, F. W. (Frederick William)</t>
        </is>
      </c>
      <c r="L1117" t="inlineStr">
        <is>
          <t>London, New York [etc.] Oxford university press, 1939.</t>
        </is>
      </c>
      <c r="M1117" t="inlineStr">
        <is>
          <t>1939</t>
        </is>
      </c>
      <c r="O1117" t="inlineStr">
        <is>
          <t>eng</t>
        </is>
      </c>
      <c r="P1117" t="inlineStr">
        <is>
          <t xml:space="preserve">xx </t>
        </is>
      </c>
      <c r="R1117" t="inlineStr">
        <is>
          <t xml:space="preserve">GT </t>
        </is>
      </c>
      <c r="S1117" t="n">
        <v>8</v>
      </c>
      <c r="T1117" t="n">
        <v>8</v>
      </c>
      <c r="U1117" t="inlineStr">
        <is>
          <t>2003-02-02</t>
        </is>
      </c>
      <c r="V1117" t="inlineStr">
        <is>
          <t>2003-02-02</t>
        </is>
      </c>
      <c r="W1117" t="inlineStr">
        <is>
          <t>1997-05-29</t>
        </is>
      </c>
      <c r="X1117" t="inlineStr">
        <is>
          <t>1997-05-29</t>
        </is>
      </c>
      <c r="Y1117" t="n">
        <v>211</v>
      </c>
      <c r="Z1117" t="n">
        <v>169</v>
      </c>
      <c r="AA1117" t="n">
        <v>196</v>
      </c>
      <c r="AB1117" t="n">
        <v>2</v>
      </c>
      <c r="AC1117" t="n">
        <v>2</v>
      </c>
      <c r="AD1117" t="n">
        <v>4</v>
      </c>
      <c r="AE1117" t="n">
        <v>4</v>
      </c>
      <c r="AF1117" t="n">
        <v>2</v>
      </c>
      <c r="AG1117" t="n">
        <v>2</v>
      </c>
      <c r="AH1117" t="n">
        <v>0</v>
      </c>
      <c r="AI1117" t="n">
        <v>0</v>
      </c>
      <c r="AJ1117" t="n">
        <v>3</v>
      </c>
      <c r="AK1117" t="n">
        <v>3</v>
      </c>
      <c r="AL1117" t="n">
        <v>1</v>
      </c>
      <c r="AM1117" t="n">
        <v>1</v>
      </c>
      <c r="AN1117" t="n">
        <v>0</v>
      </c>
      <c r="AO1117" t="n">
        <v>0</v>
      </c>
      <c r="AP1117" t="inlineStr">
        <is>
          <t>No</t>
        </is>
      </c>
      <c r="AQ1117" t="inlineStr">
        <is>
          <t>No</t>
        </is>
      </c>
      <c r="AR1117">
        <f>HYPERLINK("http://catalog.hathitrust.org/Record/001277348","HathiTrust Record")</f>
        <v/>
      </c>
      <c r="AS1117">
        <f>HYPERLINK("https://creighton-primo.hosted.exlibrisgroup.com/primo-explore/search?tab=default_tab&amp;search_scope=EVERYTHING&amp;vid=01CRU&amp;lang=en_US&amp;offset=0&amp;query=any,contains,991004272009702656","Catalog Record")</f>
        <v/>
      </c>
      <c r="AT1117">
        <f>HYPERLINK("http://www.worldcat.org/oclc/2880826","WorldCat Record")</f>
        <v/>
      </c>
      <c r="AU1117" t="inlineStr">
        <is>
          <t>1188121:eng</t>
        </is>
      </c>
      <c r="AV1117" t="inlineStr">
        <is>
          <t>2880826</t>
        </is>
      </c>
      <c r="AW1117" t="inlineStr">
        <is>
          <t>991004272009702656</t>
        </is>
      </c>
      <c r="AX1117" t="inlineStr">
        <is>
          <t>991004272009702656</t>
        </is>
      </c>
      <c r="AY1117" t="inlineStr">
        <is>
          <t>2272190090002656</t>
        </is>
      </c>
      <c r="AZ1117" t="inlineStr">
        <is>
          <t>BOOK</t>
        </is>
      </c>
      <c r="BC1117" t="inlineStr">
        <is>
          <t>32285002699162</t>
        </is>
      </c>
      <c r="BD1117" t="inlineStr">
        <is>
          <t>893605823</t>
        </is>
      </c>
    </row>
    <row r="1118">
      <c r="A1118" t="inlineStr">
        <is>
          <t>No</t>
        </is>
      </c>
      <c r="B1118" t="inlineStr">
        <is>
          <t>GT4505.42 .B455 2000</t>
        </is>
      </c>
      <c r="C1118" t="inlineStr">
        <is>
          <t>0                      GT 4505420B  455         2000</t>
        </is>
      </c>
      <c r="D1118" t="inlineStr">
        <is>
          <t>Midsummer : a cultural sub-text from Chretien de Troyes to Jean Michel / by Sandra Billington.</t>
        </is>
      </c>
      <c r="F1118" t="inlineStr">
        <is>
          <t>No</t>
        </is>
      </c>
      <c r="G1118" t="inlineStr">
        <is>
          <t>1</t>
        </is>
      </c>
      <c r="H1118" t="inlineStr">
        <is>
          <t>No</t>
        </is>
      </c>
      <c r="I1118" t="inlineStr">
        <is>
          <t>No</t>
        </is>
      </c>
      <c r="J1118" t="inlineStr">
        <is>
          <t>0</t>
        </is>
      </c>
      <c r="K1118" t="inlineStr">
        <is>
          <t>Billington, Sandra.</t>
        </is>
      </c>
      <c r="L1118" t="inlineStr">
        <is>
          <t>Turnhout : Brepols, 2000.</t>
        </is>
      </c>
      <c r="M1118" t="inlineStr">
        <is>
          <t>2000</t>
        </is>
      </c>
      <c r="O1118" t="inlineStr">
        <is>
          <t>eng</t>
        </is>
      </c>
      <c r="P1118" t="inlineStr">
        <is>
          <t xml:space="preserve">be </t>
        </is>
      </c>
      <c r="Q1118" t="inlineStr">
        <is>
          <t>Medieval texts and cultures of Northern Europe ; 3</t>
        </is>
      </c>
      <c r="R1118" t="inlineStr">
        <is>
          <t xml:space="preserve">GT </t>
        </is>
      </c>
      <c r="S1118" t="n">
        <v>1</v>
      </c>
      <c r="T1118" t="n">
        <v>1</v>
      </c>
      <c r="U1118" t="inlineStr">
        <is>
          <t>2003-10-27</t>
        </is>
      </c>
      <c r="V1118" t="inlineStr">
        <is>
          <t>2003-10-27</t>
        </is>
      </c>
      <c r="W1118" t="inlineStr">
        <is>
          <t>2003-10-27</t>
        </is>
      </c>
      <c r="X1118" t="inlineStr">
        <is>
          <t>2003-10-27</t>
        </is>
      </c>
      <c r="Y1118" t="n">
        <v>100</v>
      </c>
      <c r="Z1118" t="n">
        <v>60</v>
      </c>
      <c r="AA1118" t="n">
        <v>71</v>
      </c>
      <c r="AB1118" t="n">
        <v>1</v>
      </c>
      <c r="AC1118" t="n">
        <v>1</v>
      </c>
      <c r="AD1118" t="n">
        <v>2</v>
      </c>
      <c r="AE1118" t="n">
        <v>3</v>
      </c>
      <c r="AF1118" t="n">
        <v>0</v>
      </c>
      <c r="AG1118" t="n">
        <v>1</v>
      </c>
      <c r="AH1118" t="n">
        <v>1</v>
      </c>
      <c r="AI1118" t="n">
        <v>2</v>
      </c>
      <c r="AJ1118" t="n">
        <v>2</v>
      </c>
      <c r="AK1118" t="n">
        <v>2</v>
      </c>
      <c r="AL1118" t="n">
        <v>0</v>
      </c>
      <c r="AM1118" t="n">
        <v>0</v>
      </c>
      <c r="AN1118" t="n">
        <v>0</v>
      </c>
      <c r="AO1118" t="n">
        <v>0</v>
      </c>
      <c r="AP1118" t="inlineStr">
        <is>
          <t>No</t>
        </is>
      </c>
      <c r="AQ1118" t="inlineStr">
        <is>
          <t>Yes</t>
        </is>
      </c>
      <c r="AR1118">
        <f>HYPERLINK("http://catalog.hathitrust.org/Record/004239630","HathiTrust Record")</f>
        <v/>
      </c>
      <c r="AS1118">
        <f>HYPERLINK("https://creighton-primo.hosted.exlibrisgroup.com/primo-explore/search?tab=default_tab&amp;search_scope=EVERYTHING&amp;vid=01CRU&amp;lang=en_US&amp;offset=0&amp;query=any,contains,991004153489702656","Catalog Record")</f>
        <v/>
      </c>
      <c r="AT1118">
        <f>HYPERLINK("http://www.worldcat.org/oclc/47700798","WorldCat Record")</f>
        <v/>
      </c>
      <c r="AU1118" t="inlineStr">
        <is>
          <t>315462520:eng</t>
        </is>
      </c>
      <c r="AV1118" t="inlineStr">
        <is>
          <t>47700798</t>
        </is>
      </c>
      <c r="AW1118" t="inlineStr">
        <is>
          <t>991004153489702656</t>
        </is>
      </c>
      <c r="AX1118" t="inlineStr">
        <is>
          <t>991004153489702656</t>
        </is>
      </c>
      <c r="AY1118" t="inlineStr">
        <is>
          <t>2256283770002656</t>
        </is>
      </c>
      <c r="AZ1118" t="inlineStr">
        <is>
          <t>BOOK</t>
        </is>
      </c>
      <c r="BB1118" t="inlineStr">
        <is>
          <t>9782503510842</t>
        </is>
      </c>
      <c r="BC1118" t="inlineStr">
        <is>
          <t>32285004789409</t>
        </is>
      </c>
      <c r="BD1118" t="inlineStr">
        <is>
          <t>893882115</t>
        </is>
      </c>
    </row>
    <row r="1119">
      <c r="A1119" t="inlineStr">
        <is>
          <t>No</t>
        </is>
      </c>
      <c r="B1119" t="inlineStr">
        <is>
          <t>GT4803 .C45 2001</t>
        </is>
      </c>
      <c r="C1119" t="inlineStr">
        <is>
          <t>0                      GT 4803000C  45          2001</t>
        </is>
      </c>
      <c r="D1119" t="inlineStr">
        <is>
          <t>Celebrating ethnicity and nation : American festive culture from the Revolution to the early twentieth century / edited by Geneviève Fabre, Jürgen Heideking and Kai Dreisbach.</t>
        </is>
      </c>
      <c r="F1119" t="inlineStr">
        <is>
          <t>No</t>
        </is>
      </c>
      <c r="G1119" t="inlineStr">
        <is>
          <t>1</t>
        </is>
      </c>
      <c r="H1119" t="inlineStr">
        <is>
          <t>No</t>
        </is>
      </c>
      <c r="I1119" t="inlineStr">
        <is>
          <t>No</t>
        </is>
      </c>
      <c r="J1119" t="inlineStr">
        <is>
          <t>0</t>
        </is>
      </c>
      <c r="L1119" t="inlineStr">
        <is>
          <t>New York : Berghahn Books, 2001.</t>
        </is>
      </c>
      <c r="M1119" t="inlineStr">
        <is>
          <t>2001</t>
        </is>
      </c>
      <c r="O1119" t="inlineStr">
        <is>
          <t>eng</t>
        </is>
      </c>
      <c r="P1119" t="inlineStr">
        <is>
          <t>nyu</t>
        </is>
      </c>
      <c r="Q1119" t="inlineStr">
        <is>
          <t>European studies in American history ; v. 1</t>
        </is>
      </c>
      <c r="R1119" t="inlineStr">
        <is>
          <t xml:space="preserve">GT </t>
        </is>
      </c>
      <c r="S1119" t="n">
        <v>2</v>
      </c>
      <c r="T1119" t="n">
        <v>2</v>
      </c>
      <c r="U1119" t="inlineStr">
        <is>
          <t>2007-11-11</t>
        </is>
      </c>
      <c r="V1119" t="inlineStr">
        <is>
          <t>2007-11-11</t>
        </is>
      </c>
      <c r="W1119" t="inlineStr">
        <is>
          <t>2006-05-30</t>
        </is>
      </c>
      <c r="X1119" t="inlineStr">
        <is>
          <t>2006-05-30</t>
        </is>
      </c>
      <c r="Y1119" t="n">
        <v>188</v>
      </c>
      <c r="Z1119" t="n">
        <v>139</v>
      </c>
      <c r="AA1119" t="n">
        <v>348</v>
      </c>
      <c r="AB1119" t="n">
        <v>2</v>
      </c>
      <c r="AC1119" t="n">
        <v>2</v>
      </c>
      <c r="AD1119" t="n">
        <v>6</v>
      </c>
      <c r="AE1119" t="n">
        <v>18</v>
      </c>
      <c r="AF1119" t="n">
        <v>3</v>
      </c>
      <c r="AG1119" t="n">
        <v>9</v>
      </c>
      <c r="AH1119" t="n">
        <v>1</v>
      </c>
      <c r="AI1119" t="n">
        <v>4</v>
      </c>
      <c r="AJ1119" t="n">
        <v>4</v>
      </c>
      <c r="AK1119" t="n">
        <v>11</v>
      </c>
      <c r="AL1119" t="n">
        <v>1</v>
      </c>
      <c r="AM1119" t="n">
        <v>1</v>
      </c>
      <c r="AN1119" t="n">
        <v>0</v>
      </c>
      <c r="AO1119" t="n">
        <v>0</v>
      </c>
      <c r="AP1119" t="inlineStr">
        <is>
          <t>No</t>
        </is>
      </c>
      <c r="AQ1119" t="inlineStr">
        <is>
          <t>Yes</t>
        </is>
      </c>
      <c r="AR1119">
        <f>HYPERLINK("http://catalog.hathitrust.org/Record/004200169","HathiTrust Record")</f>
        <v/>
      </c>
      <c r="AS1119">
        <f>HYPERLINK("https://creighton-primo.hosted.exlibrisgroup.com/primo-explore/search?tab=default_tab&amp;search_scope=EVERYTHING&amp;vid=01CRU&amp;lang=en_US&amp;offset=0&amp;query=any,contains,991004777189702656","Catalog Record")</f>
        <v/>
      </c>
      <c r="AT1119">
        <f>HYPERLINK("http://www.worldcat.org/oclc/44802752","WorldCat Record")</f>
        <v/>
      </c>
      <c r="AU1119" t="inlineStr">
        <is>
          <t>837066813:eng</t>
        </is>
      </c>
      <c r="AV1119" t="inlineStr">
        <is>
          <t>44802752</t>
        </is>
      </c>
      <c r="AW1119" t="inlineStr">
        <is>
          <t>991004777189702656</t>
        </is>
      </c>
      <c r="AX1119" t="inlineStr">
        <is>
          <t>991004777189702656</t>
        </is>
      </c>
      <c r="AY1119" t="inlineStr">
        <is>
          <t>2272354450002656</t>
        </is>
      </c>
      <c r="AZ1119" t="inlineStr">
        <is>
          <t>BOOK</t>
        </is>
      </c>
      <c r="BB1119" t="inlineStr">
        <is>
          <t>9781571812377</t>
        </is>
      </c>
      <c r="BC1119" t="inlineStr">
        <is>
          <t>32285005189583</t>
        </is>
      </c>
      <c r="BD1119" t="inlineStr">
        <is>
          <t>893350371</t>
        </is>
      </c>
    </row>
    <row r="1120">
      <c r="A1120" t="inlineStr">
        <is>
          <t>No</t>
        </is>
      </c>
      <c r="B1120" t="inlineStr">
        <is>
          <t>GT4803 .M48</t>
        </is>
      </c>
      <c r="C1120" t="inlineStr">
        <is>
          <t>0                      GT 4803000M  48</t>
        </is>
      </c>
      <c r="D1120" t="inlineStr">
        <is>
          <t>Festivals U.S.A.; illustrated by Lee Owens.</t>
        </is>
      </c>
      <c r="F1120" t="inlineStr">
        <is>
          <t>No</t>
        </is>
      </c>
      <c r="G1120" t="inlineStr">
        <is>
          <t>1</t>
        </is>
      </c>
      <c r="H1120" t="inlineStr">
        <is>
          <t>No</t>
        </is>
      </c>
      <c r="I1120" t="inlineStr">
        <is>
          <t>No</t>
        </is>
      </c>
      <c r="J1120" t="inlineStr">
        <is>
          <t>0</t>
        </is>
      </c>
      <c r="K1120" t="inlineStr">
        <is>
          <t>Meyer, Robert, 1911-</t>
        </is>
      </c>
      <c r="L1120" t="inlineStr">
        <is>
          <t>New York, Washburn [1950]</t>
        </is>
      </c>
      <c r="M1120" t="inlineStr">
        <is>
          <t>1950</t>
        </is>
      </c>
      <c r="O1120" t="inlineStr">
        <is>
          <t>eng</t>
        </is>
      </c>
      <c r="P1120" t="inlineStr">
        <is>
          <t>nyu</t>
        </is>
      </c>
      <c r="R1120" t="inlineStr">
        <is>
          <t xml:space="preserve">GT </t>
        </is>
      </c>
      <c r="S1120" t="n">
        <v>4</v>
      </c>
      <c r="T1120" t="n">
        <v>4</v>
      </c>
      <c r="U1120" t="inlineStr">
        <is>
          <t>2002-09-30</t>
        </is>
      </c>
      <c r="V1120" t="inlineStr">
        <is>
          <t>2002-09-30</t>
        </is>
      </c>
      <c r="W1120" t="inlineStr">
        <is>
          <t>1992-04-16</t>
        </is>
      </c>
      <c r="X1120" t="inlineStr">
        <is>
          <t>1992-04-16</t>
        </is>
      </c>
      <c r="Y1120" t="n">
        <v>331</v>
      </c>
      <c r="Z1120" t="n">
        <v>316</v>
      </c>
      <c r="AA1120" t="n">
        <v>332</v>
      </c>
      <c r="AB1120" t="n">
        <v>8</v>
      </c>
      <c r="AC1120" t="n">
        <v>8</v>
      </c>
      <c r="AD1120" t="n">
        <v>8</v>
      </c>
      <c r="AE1120" t="n">
        <v>8</v>
      </c>
      <c r="AF1120" t="n">
        <v>2</v>
      </c>
      <c r="AG1120" t="n">
        <v>2</v>
      </c>
      <c r="AH1120" t="n">
        <v>1</v>
      </c>
      <c r="AI1120" t="n">
        <v>1</v>
      </c>
      <c r="AJ1120" t="n">
        <v>3</v>
      </c>
      <c r="AK1120" t="n">
        <v>3</v>
      </c>
      <c r="AL1120" t="n">
        <v>3</v>
      </c>
      <c r="AM1120" t="n">
        <v>3</v>
      </c>
      <c r="AN1120" t="n">
        <v>0</v>
      </c>
      <c r="AO1120" t="n">
        <v>0</v>
      </c>
      <c r="AP1120" t="inlineStr">
        <is>
          <t>No</t>
        </is>
      </c>
      <c r="AQ1120" t="inlineStr">
        <is>
          <t>Yes</t>
        </is>
      </c>
      <c r="AR1120">
        <f>HYPERLINK("http://catalog.hathitrust.org/Record/009063283","HathiTrust Record")</f>
        <v/>
      </c>
      <c r="AS1120">
        <f>HYPERLINK("https://creighton-primo.hosted.exlibrisgroup.com/primo-explore/search?tab=default_tab&amp;search_scope=EVERYTHING&amp;vid=01CRU&amp;lang=en_US&amp;offset=0&amp;query=any,contains,991003322299702656","Catalog Record")</f>
        <v/>
      </c>
      <c r="AT1120">
        <f>HYPERLINK("http://www.worldcat.org/oclc/850444","WorldCat Record")</f>
        <v/>
      </c>
      <c r="AU1120" t="inlineStr">
        <is>
          <t>3373564436:eng</t>
        </is>
      </c>
      <c r="AV1120" t="inlineStr">
        <is>
          <t>850444</t>
        </is>
      </c>
      <c r="AW1120" t="inlineStr">
        <is>
          <t>991003322299702656</t>
        </is>
      </c>
      <c r="AX1120" t="inlineStr">
        <is>
          <t>991003322299702656</t>
        </is>
      </c>
      <c r="AY1120" t="inlineStr">
        <is>
          <t>2265896280002656</t>
        </is>
      </c>
      <c r="AZ1120" t="inlineStr">
        <is>
          <t>BOOK</t>
        </is>
      </c>
      <c r="BC1120" t="inlineStr">
        <is>
          <t>32285001068831</t>
        </is>
      </c>
      <c r="BD1120" t="inlineStr">
        <is>
          <t>893524683</t>
        </is>
      </c>
    </row>
    <row r="1121">
      <c r="A1121" t="inlineStr">
        <is>
          <t>No</t>
        </is>
      </c>
      <c r="B1121" t="inlineStr">
        <is>
          <t>GT4842 .S75 1984a</t>
        </is>
      </c>
      <c r="C1121" t="inlineStr">
        <is>
          <t>0                      GT 4842000S  75          1984a</t>
        </is>
      </c>
      <c r="D1121" t="inlineStr">
        <is>
          <t>Art and power : Renaissance festivals, 1450-1650 / Roy Strong.</t>
        </is>
      </c>
      <c r="F1121" t="inlineStr">
        <is>
          <t>No</t>
        </is>
      </c>
      <c r="G1121" t="inlineStr">
        <is>
          <t>1</t>
        </is>
      </c>
      <c r="H1121" t="inlineStr">
        <is>
          <t>No</t>
        </is>
      </c>
      <c r="I1121" t="inlineStr">
        <is>
          <t>No</t>
        </is>
      </c>
      <c r="J1121" t="inlineStr">
        <is>
          <t>0</t>
        </is>
      </c>
      <c r="K1121" t="inlineStr">
        <is>
          <t>Strong, Roy.</t>
        </is>
      </c>
      <c r="L1121" t="inlineStr">
        <is>
          <t>Berkeley, Calif. : University of California Press, 1984.</t>
        </is>
      </c>
      <c r="M1121" t="inlineStr">
        <is>
          <t>1984</t>
        </is>
      </c>
      <c r="O1121" t="inlineStr">
        <is>
          <t>eng</t>
        </is>
      </c>
      <c r="P1121" t="inlineStr">
        <is>
          <t>cau</t>
        </is>
      </c>
      <c r="R1121" t="inlineStr">
        <is>
          <t xml:space="preserve">GT </t>
        </is>
      </c>
      <c r="S1121" t="n">
        <v>8</v>
      </c>
      <c r="T1121" t="n">
        <v>8</v>
      </c>
      <c r="U1121" t="inlineStr">
        <is>
          <t>1999-09-20</t>
        </is>
      </c>
      <c r="V1121" t="inlineStr">
        <is>
          <t>1999-09-20</t>
        </is>
      </c>
      <c r="W1121" t="inlineStr">
        <is>
          <t>1990-10-02</t>
        </is>
      </c>
      <c r="X1121" t="inlineStr">
        <is>
          <t>1990-10-02</t>
        </is>
      </c>
      <c r="Y1121" t="n">
        <v>443</v>
      </c>
      <c r="Z1121" t="n">
        <v>410</v>
      </c>
      <c r="AA1121" t="n">
        <v>554</v>
      </c>
      <c r="AB1121" t="n">
        <v>2</v>
      </c>
      <c r="AC1121" t="n">
        <v>4</v>
      </c>
      <c r="AD1121" t="n">
        <v>14</v>
      </c>
      <c r="AE1121" t="n">
        <v>22</v>
      </c>
      <c r="AF1121" t="n">
        <v>4</v>
      </c>
      <c r="AG1121" t="n">
        <v>7</v>
      </c>
      <c r="AH1121" t="n">
        <v>4</v>
      </c>
      <c r="AI1121" t="n">
        <v>6</v>
      </c>
      <c r="AJ1121" t="n">
        <v>10</v>
      </c>
      <c r="AK1121" t="n">
        <v>13</v>
      </c>
      <c r="AL1121" t="n">
        <v>1</v>
      </c>
      <c r="AM1121" t="n">
        <v>3</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HYPERLINK("https://creighton-primo.hosted.exlibrisgroup.com/primo-explore/search?tab=default_tab&amp;search_scope=EVERYTHING&amp;vid=01CRU&amp;lang=en_US&amp;offset=0&amp;query=any,contains,991000599889702656","Catalog Record")</f>
        <v/>
      </c>
      <c r="AT1121">
        <f>HYPERLINK("http://www.worldcat.org/oclc/11837856","WorldCat Record")</f>
        <v/>
      </c>
      <c r="AU1121" t="inlineStr">
        <is>
          <t>4664736:eng</t>
        </is>
      </c>
      <c r="AV1121" t="inlineStr">
        <is>
          <t>11837856</t>
        </is>
      </c>
      <c r="AW1121" t="inlineStr">
        <is>
          <t>991000599889702656</t>
        </is>
      </c>
      <c r="AX1121" t="inlineStr">
        <is>
          <t>991000599889702656</t>
        </is>
      </c>
      <c r="AY1121" t="inlineStr">
        <is>
          <t>2270431400002656</t>
        </is>
      </c>
      <c r="AZ1121" t="inlineStr">
        <is>
          <t>BOOK</t>
        </is>
      </c>
      <c r="BB1121" t="inlineStr">
        <is>
          <t>9780520054790</t>
        </is>
      </c>
      <c r="BC1121" t="inlineStr">
        <is>
          <t>32285000318872</t>
        </is>
      </c>
      <c r="BD1121" t="inlineStr">
        <is>
          <t>893683566</t>
        </is>
      </c>
    </row>
    <row r="1122">
      <c r="A1122" t="inlineStr">
        <is>
          <t>No</t>
        </is>
      </c>
      <c r="B1122" t="inlineStr">
        <is>
          <t>GT4852.R6 R36 1997</t>
        </is>
      </c>
      <c r="C1122" t="inlineStr">
        <is>
          <t>0                      GT 4852000R  6                  R  36          1997</t>
        </is>
      </c>
      <c r="D1122" t="inlineStr">
        <is>
          <t>The comet of 44 B.C. and Caesar's funeral games / John T. Ramsey and A. Lewis Licht ; foreword by Brian G. Marsden.</t>
        </is>
      </c>
      <c r="F1122" t="inlineStr">
        <is>
          <t>No</t>
        </is>
      </c>
      <c r="G1122" t="inlineStr">
        <is>
          <t>1</t>
        </is>
      </c>
      <c r="H1122" t="inlineStr">
        <is>
          <t>No</t>
        </is>
      </c>
      <c r="I1122" t="inlineStr">
        <is>
          <t>No</t>
        </is>
      </c>
      <c r="J1122" t="inlineStr">
        <is>
          <t>0</t>
        </is>
      </c>
      <c r="K1122" t="inlineStr">
        <is>
          <t>Ramsey, J. T. (John T.)</t>
        </is>
      </c>
      <c r="L1122" t="inlineStr">
        <is>
          <t>Atlanta, Ga. : Scholars Press, c1997.</t>
        </is>
      </c>
      <c r="M1122" t="inlineStr">
        <is>
          <t>1997</t>
        </is>
      </c>
      <c r="O1122" t="inlineStr">
        <is>
          <t>eng</t>
        </is>
      </c>
      <c r="P1122" t="inlineStr">
        <is>
          <t>gau</t>
        </is>
      </c>
      <c r="Q1122" t="inlineStr">
        <is>
          <t>American classical studies ; no. 39</t>
        </is>
      </c>
      <c r="R1122" t="inlineStr">
        <is>
          <t xml:space="preserve">GT </t>
        </is>
      </c>
      <c r="S1122" t="n">
        <v>3</v>
      </c>
      <c r="T1122" t="n">
        <v>3</v>
      </c>
      <c r="U1122" t="inlineStr">
        <is>
          <t>1998-07-20</t>
        </is>
      </c>
      <c r="V1122" t="inlineStr">
        <is>
          <t>1998-07-20</t>
        </is>
      </c>
      <c r="W1122" t="inlineStr">
        <is>
          <t>1997-12-16</t>
        </is>
      </c>
      <c r="X1122" t="inlineStr">
        <is>
          <t>1997-12-16</t>
        </is>
      </c>
      <c r="Y1122" t="n">
        <v>258</v>
      </c>
      <c r="Z1122" t="n">
        <v>189</v>
      </c>
      <c r="AA1122" t="n">
        <v>191</v>
      </c>
      <c r="AB1122" t="n">
        <v>2</v>
      </c>
      <c r="AC1122" t="n">
        <v>2</v>
      </c>
      <c r="AD1122" t="n">
        <v>10</v>
      </c>
      <c r="AE1122" t="n">
        <v>10</v>
      </c>
      <c r="AF1122" t="n">
        <v>1</v>
      </c>
      <c r="AG1122" t="n">
        <v>1</v>
      </c>
      <c r="AH1122" t="n">
        <v>5</v>
      </c>
      <c r="AI1122" t="n">
        <v>5</v>
      </c>
      <c r="AJ1122" t="n">
        <v>6</v>
      </c>
      <c r="AK1122" t="n">
        <v>6</v>
      </c>
      <c r="AL1122" t="n">
        <v>1</v>
      </c>
      <c r="AM1122" t="n">
        <v>1</v>
      </c>
      <c r="AN1122" t="n">
        <v>0</v>
      </c>
      <c r="AO1122" t="n">
        <v>0</v>
      </c>
      <c r="AP1122" t="inlineStr">
        <is>
          <t>No</t>
        </is>
      </c>
      <c r="AQ1122" t="inlineStr">
        <is>
          <t>Yes</t>
        </is>
      </c>
      <c r="AR1122">
        <f>HYPERLINK("http://catalog.hathitrust.org/Record/004093909","HathiTrust Record")</f>
        <v/>
      </c>
      <c r="AS1122">
        <f>HYPERLINK("https://creighton-primo.hosted.exlibrisgroup.com/primo-explore/search?tab=default_tab&amp;search_scope=EVERYTHING&amp;vid=01CRU&amp;lang=en_US&amp;offset=0&amp;query=any,contains,991002647699702656","Catalog Record")</f>
        <v/>
      </c>
      <c r="AT1122">
        <f>HYPERLINK("http://www.worldcat.org/oclc/34640748","WorldCat Record")</f>
        <v/>
      </c>
      <c r="AU1122" t="inlineStr">
        <is>
          <t>40808789:eng</t>
        </is>
      </c>
      <c r="AV1122" t="inlineStr">
        <is>
          <t>34640748</t>
        </is>
      </c>
      <c r="AW1122" t="inlineStr">
        <is>
          <t>991002647699702656</t>
        </is>
      </c>
      <c r="AX1122" t="inlineStr">
        <is>
          <t>991002647699702656</t>
        </is>
      </c>
      <c r="AY1122" t="inlineStr">
        <is>
          <t>2254893710002656</t>
        </is>
      </c>
      <c r="AZ1122" t="inlineStr">
        <is>
          <t>BOOK</t>
        </is>
      </c>
      <c r="BB1122" t="inlineStr">
        <is>
          <t>9780788502736</t>
        </is>
      </c>
      <c r="BC1122" t="inlineStr">
        <is>
          <t>32285003283701</t>
        </is>
      </c>
      <c r="BD1122" t="inlineStr">
        <is>
          <t>893867505</t>
        </is>
      </c>
    </row>
    <row r="1123">
      <c r="A1123" t="inlineStr">
        <is>
          <t>No</t>
        </is>
      </c>
      <c r="B1123" t="inlineStr">
        <is>
          <t>GT4856.A2 P48 2000</t>
        </is>
      </c>
      <c r="C1123" t="inlineStr">
        <is>
          <t>0                      GT 4856000A  2                  P  48          2000</t>
        </is>
      </c>
      <c r="D1123" t="inlineStr">
        <is>
          <t>Life has become more joyous, comrades : celebrations in the time of Stalin / Karen Petrone.</t>
        </is>
      </c>
      <c r="F1123" t="inlineStr">
        <is>
          <t>No</t>
        </is>
      </c>
      <c r="G1123" t="inlineStr">
        <is>
          <t>1</t>
        </is>
      </c>
      <c r="H1123" t="inlineStr">
        <is>
          <t>No</t>
        </is>
      </c>
      <c r="I1123" t="inlineStr">
        <is>
          <t>No</t>
        </is>
      </c>
      <c r="J1123" t="inlineStr">
        <is>
          <t>0</t>
        </is>
      </c>
      <c r="K1123" t="inlineStr">
        <is>
          <t>Petrone, Karen.</t>
        </is>
      </c>
      <c r="L1123" t="inlineStr">
        <is>
          <t>Bloomington, Ind. : Indiana University Press, c2000.</t>
        </is>
      </c>
      <c r="M1123" t="inlineStr">
        <is>
          <t>2000</t>
        </is>
      </c>
      <c r="O1123" t="inlineStr">
        <is>
          <t>eng</t>
        </is>
      </c>
      <c r="P1123" t="inlineStr">
        <is>
          <t>inu</t>
        </is>
      </c>
      <c r="Q1123" t="inlineStr">
        <is>
          <t>Indiana-Michigan series in Russian and East European studies</t>
        </is>
      </c>
      <c r="R1123" t="inlineStr">
        <is>
          <t xml:space="preserve">GT </t>
        </is>
      </c>
      <c r="S1123" t="n">
        <v>1</v>
      </c>
      <c r="T1123" t="n">
        <v>1</v>
      </c>
      <c r="U1123" t="inlineStr">
        <is>
          <t>2002-10-17</t>
        </is>
      </c>
      <c r="V1123" t="inlineStr">
        <is>
          <t>2002-10-17</t>
        </is>
      </c>
      <c r="W1123" t="inlineStr">
        <is>
          <t>2002-10-17</t>
        </is>
      </c>
      <c r="X1123" t="inlineStr">
        <is>
          <t>2002-10-17</t>
        </is>
      </c>
      <c r="Y1123" t="n">
        <v>442</v>
      </c>
      <c r="Z1123" t="n">
        <v>337</v>
      </c>
      <c r="AA1123" t="n">
        <v>489</v>
      </c>
      <c r="AB1123" t="n">
        <v>3</v>
      </c>
      <c r="AC1123" t="n">
        <v>4</v>
      </c>
      <c r="AD1123" t="n">
        <v>18</v>
      </c>
      <c r="AE1123" t="n">
        <v>27</v>
      </c>
      <c r="AF1123" t="n">
        <v>7</v>
      </c>
      <c r="AG1123" t="n">
        <v>11</v>
      </c>
      <c r="AH1123" t="n">
        <v>4</v>
      </c>
      <c r="AI1123" t="n">
        <v>7</v>
      </c>
      <c r="AJ1123" t="n">
        <v>11</v>
      </c>
      <c r="AK1123" t="n">
        <v>14</v>
      </c>
      <c r="AL1123" t="n">
        <v>2</v>
      </c>
      <c r="AM1123" t="n">
        <v>3</v>
      </c>
      <c r="AN1123" t="n">
        <v>0</v>
      </c>
      <c r="AO1123" t="n">
        <v>0</v>
      </c>
      <c r="AP1123" t="inlineStr">
        <is>
          <t>No</t>
        </is>
      </c>
      <c r="AQ1123" t="inlineStr">
        <is>
          <t>Yes</t>
        </is>
      </c>
      <c r="AR1123">
        <f>HYPERLINK("http://catalog.hathitrust.org/Record/004131882","HathiTrust Record")</f>
        <v/>
      </c>
      <c r="AS1123">
        <f>HYPERLINK("https://creighton-primo.hosted.exlibrisgroup.com/primo-explore/search?tab=default_tab&amp;search_scope=EVERYTHING&amp;vid=01CRU&amp;lang=en_US&amp;offset=0&amp;query=any,contains,991003864639702656","Catalog Record")</f>
        <v/>
      </c>
      <c r="AT1123">
        <f>HYPERLINK("http://www.worldcat.org/oclc/43445542","WorldCat Record")</f>
        <v/>
      </c>
      <c r="AU1123" t="inlineStr">
        <is>
          <t>10894852:eng</t>
        </is>
      </c>
      <c r="AV1123" t="inlineStr">
        <is>
          <t>43445542</t>
        </is>
      </c>
      <c r="AW1123" t="inlineStr">
        <is>
          <t>991003864639702656</t>
        </is>
      </c>
      <c r="AX1123" t="inlineStr">
        <is>
          <t>991003864639702656</t>
        </is>
      </c>
      <c r="AY1123" t="inlineStr">
        <is>
          <t>2256291690002656</t>
        </is>
      </c>
      <c r="AZ1123" t="inlineStr">
        <is>
          <t>BOOK</t>
        </is>
      </c>
      <c r="BB1123" t="inlineStr">
        <is>
          <t>9780253214010</t>
        </is>
      </c>
      <c r="BC1123" t="inlineStr">
        <is>
          <t>32285004655964</t>
        </is>
      </c>
      <c r="BD1123" t="inlineStr">
        <is>
          <t>893416898</t>
        </is>
      </c>
    </row>
    <row r="1124">
      <c r="A1124" t="inlineStr">
        <is>
          <t>No</t>
        </is>
      </c>
      <c r="B1124" t="inlineStr">
        <is>
          <t>GT495 .B63 1987b</t>
        </is>
      </c>
      <c r="C1124" t="inlineStr">
        <is>
          <t>0                      GT 0495000B  63          1987b</t>
        </is>
      </c>
      <c r="D1124" t="inlineStr">
        <is>
          <t>Body invaders : panic sex in America / edited and introduced by Arthur and Marilouise Kroker.</t>
        </is>
      </c>
      <c r="F1124" t="inlineStr">
        <is>
          <t>No</t>
        </is>
      </c>
      <c r="G1124" t="inlineStr">
        <is>
          <t>1</t>
        </is>
      </c>
      <c r="H1124" t="inlineStr">
        <is>
          <t>No</t>
        </is>
      </c>
      <c r="I1124" t="inlineStr">
        <is>
          <t>No</t>
        </is>
      </c>
      <c r="J1124" t="inlineStr">
        <is>
          <t>0</t>
        </is>
      </c>
      <c r="L1124" t="inlineStr">
        <is>
          <t>Montréal : New World Perspectives, c1987.</t>
        </is>
      </c>
      <c r="M1124" t="inlineStr">
        <is>
          <t>1987</t>
        </is>
      </c>
      <c r="O1124" t="inlineStr">
        <is>
          <t>eng</t>
        </is>
      </c>
      <c r="P1124" t="inlineStr">
        <is>
          <t>quc</t>
        </is>
      </c>
      <c r="Q1124" t="inlineStr">
        <is>
          <t>CultureTexts</t>
        </is>
      </c>
      <c r="R1124" t="inlineStr">
        <is>
          <t xml:space="preserve">GT </t>
        </is>
      </c>
      <c r="S1124" t="n">
        <v>3</v>
      </c>
      <c r="T1124" t="n">
        <v>3</v>
      </c>
      <c r="U1124" t="inlineStr">
        <is>
          <t>2005-04-14</t>
        </is>
      </c>
      <c r="V1124" t="inlineStr">
        <is>
          <t>2005-04-14</t>
        </is>
      </c>
      <c r="W1124" t="inlineStr">
        <is>
          <t>1996-03-13</t>
        </is>
      </c>
      <c r="X1124" t="inlineStr">
        <is>
          <t>1996-03-13</t>
        </is>
      </c>
      <c r="Y1124" t="n">
        <v>54</v>
      </c>
      <c r="Z1124" t="n">
        <v>12</v>
      </c>
      <c r="AA1124" t="n">
        <v>234</v>
      </c>
      <c r="AB1124" t="n">
        <v>1</v>
      </c>
      <c r="AC1124" t="n">
        <v>1</v>
      </c>
      <c r="AD1124" t="n">
        <v>0</v>
      </c>
      <c r="AE1124" t="n">
        <v>11</v>
      </c>
      <c r="AF1124" t="n">
        <v>0</v>
      </c>
      <c r="AG1124" t="n">
        <v>3</v>
      </c>
      <c r="AH1124" t="n">
        <v>0</v>
      </c>
      <c r="AI1124" t="n">
        <v>5</v>
      </c>
      <c r="AJ1124" t="n">
        <v>0</v>
      </c>
      <c r="AK1124" t="n">
        <v>8</v>
      </c>
      <c r="AL1124" t="n">
        <v>0</v>
      </c>
      <c r="AM1124" t="n">
        <v>0</v>
      </c>
      <c r="AN1124" t="n">
        <v>0</v>
      </c>
      <c r="AO1124" t="n">
        <v>0</v>
      </c>
      <c r="AP1124" t="inlineStr">
        <is>
          <t>No</t>
        </is>
      </c>
      <c r="AQ1124" t="inlineStr">
        <is>
          <t>Yes</t>
        </is>
      </c>
      <c r="AR1124">
        <f>HYPERLINK("http://catalog.hathitrust.org/Record/009922907","HathiTrust Record")</f>
        <v/>
      </c>
      <c r="AS1124">
        <f>HYPERLINK("https://creighton-primo.hosted.exlibrisgroup.com/primo-explore/search?tab=default_tab&amp;search_scope=EVERYTHING&amp;vid=01CRU&amp;lang=en_US&amp;offset=0&amp;query=any,contains,991001471259702656","Catalog Record")</f>
        <v/>
      </c>
      <c r="AT1124">
        <f>HYPERLINK("http://www.worldcat.org/oclc/19553390","WorldCat Record")</f>
        <v/>
      </c>
      <c r="AU1124" t="inlineStr">
        <is>
          <t>901725826:eng</t>
        </is>
      </c>
      <c r="AV1124" t="inlineStr">
        <is>
          <t>19553390</t>
        </is>
      </c>
      <c r="AW1124" t="inlineStr">
        <is>
          <t>991001471259702656</t>
        </is>
      </c>
      <c r="AX1124" t="inlineStr">
        <is>
          <t>991001471259702656</t>
        </is>
      </c>
      <c r="AY1124" t="inlineStr">
        <is>
          <t>2272281450002656</t>
        </is>
      </c>
      <c r="AZ1124" t="inlineStr">
        <is>
          <t>BOOK</t>
        </is>
      </c>
      <c r="BB1124" t="inlineStr">
        <is>
          <t>9780920393963</t>
        </is>
      </c>
      <c r="BC1124" t="inlineStr">
        <is>
          <t>32285002142015</t>
        </is>
      </c>
      <c r="BD1124" t="inlineStr">
        <is>
          <t>893509642</t>
        </is>
      </c>
    </row>
    <row r="1125">
      <c r="A1125" t="inlineStr">
        <is>
          <t>No</t>
        </is>
      </c>
      <c r="B1125" t="inlineStr">
        <is>
          <t>GT495 .G88</t>
        </is>
      </c>
      <c r="C1125" t="inlineStr">
        <is>
          <t>0                      GT 0495000G  88</t>
        </is>
      </c>
      <c r="D1125" t="inlineStr">
        <is>
          <t>Body hot spots : the anatomy of human social organs and behavior / R. Dale Guthrie.</t>
        </is>
      </c>
      <c r="F1125" t="inlineStr">
        <is>
          <t>No</t>
        </is>
      </c>
      <c r="G1125" t="inlineStr">
        <is>
          <t>1</t>
        </is>
      </c>
      <c r="H1125" t="inlineStr">
        <is>
          <t>No</t>
        </is>
      </c>
      <c r="I1125" t="inlineStr">
        <is>
          <t>No</t>
        </is>
      </c>
      <c r="J1125" t="inlineStr">
        <is>
          <t>0</t>
        </is>
      </c>
      <c r="K1125" t="inlineStr">
        <is>
          <t>Guthrie, R. Dale, 1936-</t>
        </is>
      </c>
      <c r="L1125" t="inlineStr">
        <is>
          <t>New York : Van Nostrand Reinhold, c1976.</t>
        </is>
      </c>
      <c r="M1125" t="inlineStr">
        <is>
          <t>1976</t>
        </is>
      </c>
      <c r="O1125" t="inlineStr">
        <is>
          <t>eng</t>
        </is>
      </c>
      <c r="P1125" t="inlineStr">
        <is>
          <t>nyu</t>
        </is>
      </c>
      <c r="R1125" t="inlineStr">
        <is>
          <t xml:space="preserve">GT </t>
        </is>
      </c>
      <c r="S1125" t="n">
        <v>7</v>
      </c>
      <c r="T1125" t="n">
        <v>7</v>
      </c>
      <c r="U1125" t="inlineStr">
        <is>
          <t>1993-02-16</t>
        </is>
      </c>
      <c r="V1125" t="inlineStr">
        <is>
          <t>1993-02-16</t>
        </is>
      </c>
      <c r="W1125" t="inlineStr">
        <is>
          <t>1990-11-30</t>
        </is>
      </c>
      <c r="X1125" t="inlineStr">
        <is>
          <t>1990-11-30</t>
        </is>
      </c>
      <c r="Y1125" t="n">
        <v>523</v>
      </c>
      <c r="Z1125" t="n">
        <v>461</v>
      </c>
      <c r="AA1125" t="n">
        <v>468</v>
      </c>
      <c r="AB1125" t="n">
        <v>6</v>
      </c>
      <c r="AC1125" t="n">
        <v>6</v>
      </c>
      <c r="AD1125" t="n">
        <v>19</v>
      </c>
      <c r="AE1125" t="n">
        <v>19</v>
      </c>
      <c r="AF1125" t="n">
        <v>5</v>
      </c>
      <c r="AG1125" t="n">
        <v>5</v>
      </c>
      <c r="AH1125" t="n">
        <v>4</v>
      </c>
      <c r="AI1125" t="n">
        <v>4</v>
      </c>
      <c r="AJ1125" t="n">
        <v>7</v>
      </c>
      <c r="AK1125" t="n">
        <v>7</v>
      </c>
      <c r="AL1125" t="n">
        <v>5</v>
      </c>
      <c r="AM1125" t="n">
        <v>5</v>
      </c>
      <c r="AN1125" t="n">
        <v>0</v>
      </c>
      <c r="AO1125" t="n">
        <v>0</v>
      </c>
      <c r="AP1125" t="inlineStr">
        <is>
          <t>No</t>
        </is>
      </c>
      <c r="AQ1125" t="inlineStr">
        <is>
          <t>Yes</t>
        </is>
      </c>
      <c r="AR1125">
        <f>HYPERLINK("http://catalog.hathitrust.org/Record/000685271","HathiTrust Record")</f>
        <v/>
      </c>
      <c r="AS1125">
        <f>HYPERLINK("https://creighton-primo.hosted.exlibrisgroup.com/primo-explore/search?tab=default_tab&amp;search_scope=EVERYTHING&amp;vid=01CRU&amp;lang=en_US&amp;offset=0&amp;query=any,contains,991003961639702656","Catalog Record")</f>
        <v/>
      </c>
      <c r="AT1125">
        <f>HYPERLINK("http://www.worldcat.org/oclc/1975347","WorldCat Record")</f>
        <v/>
      </c>
      <c r="AU1125" t="inlineStr">
        <is>
          <t>2736355:eng</t>
        </is>
      </c>
      <c r="AV1125" t="inlineStr">
        <is>
          <t>1975347</t>
        </is>
      </c>
      <c r="AW1125" t="inlineStr">
        <is>
          <t>991003961639702656</t>
        </is>
      </c>
      <c r="AX1125" t="inlineStr">
        <is>
          <t>991003961639702656</t>
        </is>
      </c>
      <c r="AY1125" t="inlineStr">
        <is>
          <t>2266844900002656</t>
        </is>
      </c>
      <c r="AZ1125" t="inlineStr">
        <is>
          <t>BOOK</t>
        </is>
      </c>
      <c r="BB1125" t="inlineStr">
        <is>
          <t>9780442229825</t>
        </is>
      </c>
      <c r="BC1125" t="inlineStr">
        <is>
          <t>32285000410851</t>
        </is>
      </c>
      <c r="BD1125" t="inlineStr">
        <is>
          <t>893429482</t>
        </is>
      </c>
    </row>
    <row r="1126">
      <c r="A1126" t="inlineStr">
        <is>
          <t>No</t>
        </is>
      </c>
      <c r="B1126" t="inlineStr">
        <is>
          <t>GT497.U6 A447 2001</t>
        </is>
      </c>
      <c r="C1126" t="inlineStr">
        <is>
          <t>0                      GT 0497000U  6                  A  447         2001</t>
        </is>
      </c>
      <c r="D1126" t="inlineStr">
        <is>
          <t>The American body in context : an anthology / edited by Jessica R. Johnston.</t>
        </is>
      </c>
      <c r="F1126" t="inlineStr">
        <is>
          <t>No</t>
        </is>
      </c>
      <c r="G1126" t="inlineStr">
        <is>
          <t>1</t>
        </is>
      </c>
      <c r="H1126" t="inlineStr">
        <is>
          <t>No</t>
        </is>
      </c>
      <c r="I1126" t="inlineStr">
        <is>
          <t>No</t>
        </is>
      </c>
      <c r="J1126" t="inlineStr">
        <is>
          <t>0</t>
        </is>
      </c>
      <c r="L1126" t="inlineStr">
        <is>
          <t>Wilmington, Del. : Scholarly Resources, c2001.</t>
        </is>
      </c>
      <c r="M1126" t="inlineStr">
        <is>
          <t>2001</t>
        </is>
      </c>
      <c r="O1126" t="inlineStr">
        <is>
          <t>eng</t>
        </is>
      </c>
      <c r="P1126" t="inlineStr">
        <is>
          <t>deu</t>
        </is>
      </c>
      <c r="Q1126" t="inlineStr">
        <is>
          <t>American visions ; no. 3</t>
        </is>
      </c>
      <c r="R1126" t="inlineStr">
        <is>
          <t xml:space="preserve">GT </t>
        </is>
      </c>
      <c r="S1126" t="n">
        <v>1</v>
      </c>
      <c r="T1126" t="n">
        <v>1</v>
      </c>
      <c r="U1126" t="inlineStr">
        <is>
          <t>2007-04-11</t>
        </is>
      </c>
      <c r="V1126" t="inlineStr">
        <is>
          <t>2007-04-11</t>
        </is>
      </c>
      <c r="W1126" t="inlineStr">
        <is>
          <t>2007-04-11</t>
        </is>
      </c>
      <c r="X1126" t="inlineStr">
        <is>
          <t>2007-04-11</t>
        </is>
      </c>
      <c r="Y1126" t="n">
        <v>206</v>
      </c>
      <c r="Z1126" t="n">
        <v>171</v>
      </c>
      <c r="AA1126" t="n">
        <v>172</v>
      </c>
      <c r="AB1126" t="n">
        <v>1</v>
      </c>
      <c r="AC1126" t="n">
        <v>1</v>
      </c>
      <c r="AD1126" t="n">
        <v>12</v>
      </c>
      <c r="AE1126" t="n">
        <v>12</v>
      </c>
      <c r="AF1126" t="n">
        <v>3</v>
      </c>
      <c r="AG1126" t="n">
        <v>3</v>
      </c>
      <c r="AH1126" t="n">
        <v>6</v>
      </c>
      <c r="AI1126" t="n">
        <v>6</v>
      </c>
      <c r="AJ1126" t="n">
        <v>7</v>
      </c>
      <c r="AK1126" t="n">
        <v>7</v>
      </c>
      <c r="AL1126" t="n">
        <v>0</v>
      </c>
      <c r="AM1126" t="n">
        <v>0</v>
      </c>
      <c r="AN1126" t="n">
        <v>0</v>
      </c>
      <c r="AO1126" t="n">
        <v>0</v>
      </c>
      <c r="AP1126" t="inlineStr">
        <is>
          <t>No</t>
        </is>
      </c>
      <c r="AQ1126" t="inlineStr">
        <is>
          <t>Yes</t>
        </is>
      </c>
      <c r="AR1126">
        <f>HYPERLINK("http://catalog.hathitrust.org/Record/004177026","HathiTrust Record")</f>
        <v/>
      </c>
      <c r="AS1126">
        <f>HYPERLINK("https://creighton-primo.hosted.exlibrisgroup.com/primo-explore/search?tab=default_tab&amp;search_scope=EVERYTHING&amp;vid=01CRU&amp;lang=en_US&amp;offset=0&amp;query=any,contains,991005063819702656","Catalog Record")</f>
        <v/>
      </c>
      <c r="AT1126">
        <f>HYPERLINK("http://www.worldcat.org/oclc/45460857","WorldCat Record")</f>
        <v/>
      </c>
      <c r="AU1126" t="inlineStr">
        <is>
          <t>836992441:eng</t>
        </is>
      </c>
      <c r="AV1126" t="inlineStr">
        <is>
          <t>45460857</t>
        </is>
      </c>
      <c r="AW1126" t="inlineStr">
        <is>
          <t>991005063819702656</t>
        </is>
      </c>
      <c r="AX1126" t="inlineStr">
        <is>
          <t>991005063819702656</t>
        </is>
      </c>
      <c r="AY1126" t="inlineStr">
        <is>
          <t>2270477040002656</t>
        </is>
      </c>
      <c r="AZ1126" t="inlineStr">
        <is>
          <t>BOOK</t>
        </is>
      </c>
      <c r="BB1126" t="inlineStr">
        <is>
          <t>9780842028585</t>
        </is>
      </c>
      <c r="BC1126" t="inlineStr">
        <is>
          <t>32285005286405</t>
        </is>
      </c>
      <c r="BD1126" t="inlineStr">
        <is>
          <t>893443339</t>
        </is>
      </c>
    </row>
    <row r="1127">
      <c r="A1127" t="inlineStr">
        <is>
          <t>No</t>
        </is>
      </c>
      <c r="B1127" t="inlineStr">
        <is>
          <t>GT4985 .S23 1968</t>
        </is>
      </c>
      <c r="C1127" t="inlineStr">
        <is>
          <t>0                      GT 4985000S  23          1968</t>
        </is>
      </c>
      <c r="D1127" t="inlineStr">
        <is>
          <t>A book of Christmas.</t>
        </is>
      </c>
      <c r="F1127" t="inlineStr">
        <is>
          <t>No</t>
        </is>
      </c>
      <c r="G1127" t="inlineStr">
        <is>
          <t>1</t>
        </is>
      </c>
      <c r="H1127" t="inlineStr">
        <is>
          <t>No</t>
        </is>
      </c>
      <c r="I1127" t="inlineStr">
        <is>
          <t>No</t>
        </is>
      </c>
      <c r="J1127" t="inlineStr">
        <is>
          <t>0</t>
        </is>
      </c>
      <c r="K1127" t="inlineStr">
        <is>
          <t>Sansom, William, 1912-1976.</t>
        </is>
      </c>
      <c r="L1127" t="inlineStr">
        <is>
          <t>New York : McGraw-Hill, [1968]</t>
        </is>
      </c>
      <c r="M1127" t="inlineStr">
        <is>
          <t>1968</t>
        </is>
      </c>
      <c r="O1127" t="inlineStr">
        <is>
          <t>eng</t>
        </is>
      </c>
      <c r="P1127" t="inlineStr">
        <is>
          <t>nyu</t>
        </is>
      </c>
      <c r="R1127" t="inlineStr">
        <is>
          <t xml:space="preserve">GT </t>
        </is>
      </c>
      <c r="S1127" t="n">
        <v>12</v>
      </c>
      <c r="T1127" t="n">
        <v>12</v>
      </c>
      <c r="U1127" t="inlineStr">
        <is>
          <t>2001-11-06</t>
        </is>
      </c>
      <c r="V1127" t="inlineStr">
        <is>
          <t>2001-11-06</t>
        </is>
      </c>
      <c r="W1127" t="inlineStr">
        <is>
          <t>1991-12-02</t>
        </is>
      </c>
      <c r="X1127" t="inlineStr">
        <is>
          <t>1991-12-02</t>
        </is>
      </c>
      <c r="Y1127" t="n">
        <v>936</v>
      </c>
      <c r="Z1127" t="n">
        <v>900</v>
      </c>
      <c r="AA1127" t="n">
        <v>908</v>
      </c>
      <c r="AB1127" t="n">
        <v>8</v>
      </c>
      <c r="AC1127" t="n">
        <v>8</v>
      </c>
      <c r="AD1127" t="n">
        <v>15</v>
      </c>
      <c r="AE1127" t="n">
        <v>15</v>
      </c>
      <c r="AF1127" t="n">
        <v>6</v>
      </c>
      <c r="AG1127" t="n">
        <v>6</v>
      </c>
      <c r="AH1127" t="n">
        <v>2</v>
      </c>
      <c r="AI1127" t="n">
        <v>2</v>
      </c>
      <c r="AJ1127" t="n">
        <v>8</v>
      </c>
      <c r="AK1127" t="n">
        <v>8</v>
      </c>
      <c r="AL1127" t="n">
        <v>2</v>
      </c>
      <c r="AM1127" t="n">
        <v>2</v>
      </c>
      <c r="AN1127" t="n">
        <v>0</v>
      </c>
      <c r="AO1127" t="n">
        <v>0</v>
      </c>
      <c r="AP1127" t="inlineStr">
        <is>
          <t>No</t>
        </is>
      </c>
      <c r="AQ1127" t="inlineStr">
        <is>
          <t>Yes</t>
        </is>
      </c>
      <c r="AR1127">
        <f>HYPERLINK("http://catalog.hathitrust.org/Record/007124851","HathiTrust Record")</f>
        <v/>
      </c>
      <c r="AS1127">
        <f>HYPERLINK("https://creighton-primo.hosted.exlibrisgroup.com/primo-explore/search?tab=default_tab&amp;search_scope=EVERYTHING&amp;vid=01CRU&amp;lang=en_US&amp;offset=0&amp;query=any,contains,991002804409702656","Catalog Record")</f>
        <v/>
      </c>
      <c r="AT1127">
        <f>HYPERLINK("http://www.worldcat.org/oclc/449024","WorldCat Record")</f>
        <v/>
      </c>
      <c r="AU1127" t="inlineStr">
        <is>
          <t>3944082642:eng</t>
        </is>
      </c>
      <c r="AV1127" t="inlineStr">
        <is>
          <t>449024</t>
        </is>
      </c>
      <c r="AW1127" t="inlineStr">
        <is>
          <t>991002804409702656</t>
        </is>
      </c>
      <c r="AX1127" t="inlineStr">
        <is>
          <t>991002804409702656</t>
        </is>
      </c>
      <c r="AY1127" t="inlineStr">
        <is>
          <t>2265170870002656</t>
        </is>
      </c>
      <c r="AZ1127" t="inlineStr">
        <is>
          <t>BOOK</t>
        </is>
      </c>
      <c r="BC1127" t="inlineStr">
        <is>
          <t>32285000844752</t>
        </is>
      </c>
      <c r="BD1127" t="inlineStr">
        <is>
          <t>893317274</t>
        </is>
      </c>
    </row>
    <row r="1128">
      <c r="A1128" t="inlineStr">
        <is>
          <t>No</t>
        </is>
      </c>
      <c r="B1128" t="inlineStr">
        <is>
          <t>GT4985 .U55 1993</t>
        </is>
      </c>
      <c r="C1128" t="inlineStr">
        <is>
          <t>0                      GT 4985000U  55          1993</t>
        </is>
      </c>
      <c r="D1128" t="inlineStr">
        <is>
          <t>Unwrapping Christmas / edited by Daniel Miller.</t>
        </is>
      </c>
      <c r="F1128" t="inlineStr">
        <is>
          <t>No</t>
        </is>
      </c>
      <c r="G1128" t="inlineStr">
        <is>
          <t>1</t>
        </is>
      </c>
      <c r="H1128" t="inlineStr">
        <is>
          <t>No</t>
        </is>
      </c>
      <c r="I1128" t="inlineStr">
        <is>
          <t>No</t>
        </is>
      </c>
      <c r="J1128" t="inlineStr">
        <is>
          <t>0</t>
        </is>
      </c>
      <c r="L1128" t="inlineStr">
        <is>
          <t>Oxford : Clarendon Press ; New York : Oxford University Press, 1993.</t>
        </is>
      </c>
      <c r="M1128" t="inlineStr">
        <is>
          <t>1993</t>
        </is>
      </c>
      <c r="O1128" t="inlineStr">
        <is>
          <t>eng</t>
        </is>
      </c>
      <c r="P1128" t="inlineStr">
        <is>
          <t>enk</t>
        </is>
      </c>
      <c r="Q1128" t="inlineStr">
        <is>
          <t>Oxford studies in social and cultural anthropology</t>
        </is>
      </c>
      <c r="R1128" t="inlineStr">
        <is>
          <t xml:space="preserve">GT </t>
        </is>
      </c>
      <c r="S1128" t="n">
        <v>10</v>
      </c>
      <c r="T1128" t="n">
        <v>10</v>
      </c>
      <c r="U1128" t="inlineStr">
        <is>
          <t>2006-04-05</t>
        </is>
      </c>
      <c r="V1128" t="inlineStr">
        <is>
          <t>2006-04-05</t>
        </is>
      </c>
      <c r="W1128" t="inlineStr">
        <is>
          <t>1995-04-18</t>
        </is>
      </c>
      <c r="X1128" t="inlineStr">
        <is>
          <t>1995-04-18</t>
        </is>
      </c>
      <c r="Y1128" t="n">
        <v>399</v>
      </c>
      <c r="Z1128" t="n">
        <v>269</v>
      </c>
      <c r="AA1128" t="n">
        <v>293</v>
      </c>
      <c r="AB1128" t="n">
        <v>2</v>
      </c>
      <c r="AC1128" t="n">
        <v>2</v>
      </c>
      <c r="AD1128" t="n">
        <v>14</v>
      </c>
      <c r="AE1128" t="n">
        <v>15</v>
      </c>
      <c r="AF1128" t="n">
        <v>2</v>
      </c>
      <c r="AG1128" t="n">
        <v>3</v>
      </c>
      <c r="AH1128" t="n">
        <v>5</v>
      </c>
      <c r="AI1128" t="n">
        <v>5</v>
      </c>
      <c r="AJ1128" t="n">
        <v>10</v>
      </c>
      <c r="AK1128" t="n">
        <v>10</v>
      </c>
      <c r="AL1128" t="n">
        <v>1</v>
      </c>
      <c r="AM1128" t="n">
        <v>1</v>
      </c>
      <c r="AN1128" t="n">
        <v>0</v>
      </c>
      <c r="AO1128" t="n">
        <v>0</v>
      </c>
      <c r="AP1128" t="inlineStr">
        <is>
          <t>No</t>
        </is>
      </c>
      <c r="AQ1128" t="inlineStr">
        <is>
          <t>Yes</t>
        </is>
      </c>
      <c r="AR1128">
        <f>HYPERLINK("http://catalog.hathitrust.org/Record/002738161","HathiTrust Record")</f>
        <v/>
      </c>
      <c r="AS1128">
        <f>HYPERLINK("https://creighton-primo.hosted.exlibrisgroup.com/primo-explore/search?tab=default_tab&amp;search_scope=EVERYTHING&amp;vid=01CRU&amp;lang=en_US&amp;offset=0&amp;query=any,contains,991002153929702656","Catalog Record")</f>
        <v/>
      </c>
      <c r="AT1128">
        <f>HYPERLINK("http://www.worldcat.org/oclc/27768368","WorldCat Record")</f>
        <v/>
      </c>
      <c r="AU1128" t="inlineStr">
        <is>
          <t>55685644:eng</t>
        </is>
      </c>
      <c r="AV1128" t="inlineStr">
        <is>
          <t>27768368</t>
        </is>
      </c>
      <c r="AW1128" t="inlineStr">
        <is>
          <t>991002153929702656</t>
        </is>
      </c>
      <c r="AX1128" t="inlineStr">
        <is>
          <t>991002153929702656</t>
        </is>
      </c>
      <c r="AY1128" t="inlineStr">
        <is>
          <t>2267836050002656</t>
        </is>
      </c>
      <c r="AZ1128" t="inlineStr">
        <is>
          <t>BOOK</t>
        </is>
      </c>
      <c r="BB1128" t="inlineStr">
        <is>
          <t>9780198279037</t>
        </is>
      </c>
      <c r="BC1128" t="inlineStr">
        <is>
          <t>32285002019338</t>
        </is>
      </c>
      <c r="BD1128" t="inlineStr">
        <is>
          <t>893414879</t>
        </is>
      </c>
    </row>
    <row r="1129">
      <c r="A1129" t="inlineStr">
        <is>
          <t>No</t>
        </is>
      </c>
      <c r="B1129" t="inlineStr">
        <is>
          <t>GT4986.A1 F35 1984</t>
        </is>
      </c>
      <c r="C1129" t="inlineStr">
        <is>
          <t>0                      GT 4986000A  1                  F  35          1984</t>
        </is>
      </c>
      <c r="D1129" t="inlineStr">
        <is>
          <t>A Family Christmas / the Reader's Digest Association.</t>
        </is>
      </c>
      <c r="F1129" t="inlineStr">
        <is>
          <t>No</t>
        </is>
      </c>
      <c r="G1129" t="inlineStr">
        <is>
          <t>1</t>
        </is>
      </c>
      <c r="H1129" t="inlineStr">
        <is>
          <t>No</t>
        </is>
      </c>
      <c r="I1129" t="inlineStr">
        <is>
          <t>No</t>
        </is>
      </c>
      <c r="J1129" t="inlineStr">
        <is>
          <t>0</t>
        </is>
      </c>
      <c r="L1129" t="inlineStr">
        <is>
          <t>Pleasantville, N.Y. : Reader's Digest Association, c1984.</t>
        </is>
      </c>
      <c r="M1129" t="inlineStr">
        <is>
          <t>1984</t>
        </is>
      </c>
      <c r="N1129" t="inlineStr">
        <is>
          <t>1st ed.</t>
        </is>
      </c>
      <c r="O1129" t="inlineStr">
        <is>
          <t>eng</t>
        </is>
      </c>
      <c r="P1129" t="inlineStr">
        <is>
          <t>nyu</t>
        </is>
      </c>
      <c r="R1129" t="inlineStr">
        <is>
          <t xml:space="preserve">GT </t>
        </is>
      </c>
      <c r="S1129" t="n">
        <v>9</v>
      </c>
      <c r="T1129" t="n">
        <v>9</v>
      </c>
      <c r="U1129" t="inlineStr">
        <is>
          <t>1999-10-12</t>
        </is>
      </c>
      <c r="V1129" t="inlineStr">
        <is>
          <t>1999-10-12</t>
        </is>
      </c>
      <c r="W1129" t="inlineStr">
        <is>
          <t>1994-06-07</t>
        </is>
      </c>
      <c r="X1129" t="inlineStr">
        <is>
          <t>1994-06-07</t>
        </is>
      </c>
      <c r="Y1129" t="n">
        <v>860</v>
      </c>
      <c r="Z1129" t="n">
        <v>812</v>
      </c>
      <c r="AA1129" t="n">
        <v>817</v>
      </c>
      <c r="AB1129" t="n">
        <v>8</v>
      </c>
      <c r="AC1129" t="n">
        <v>8</v>
      </c>
      <c r="AD1129" t="n">
        <v>2</v>
      </c>
      <c r="AE1129" t="n">
        <v>2</v>
      </c>
      <c r="AF1129" t="n">
        <v>1</v>
      </c>
      <c r="AG1129" t="n">
        <v>1</v>
      </c>
      <c r="AH1129" t="n">
        <v>0</v>
      </c>
      <c r="AI1129" t="n">
        <v>0</v>
      </c>
      <c r="AJ1129" t="n">
        <v>1</v>
      </c>
      <c r="AK1129" t="n">
        <v>1</v>
      </c>
      <c r="AL1129" t="n">
        <v>1</v>
      </c>
      <c r="AM1129" t="n">
        <v>1</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HYPERLINK("https://creighton-primo.hosted.exlibrisgroup.com/primo-explore/search?tab=default_tab&amp;search_scope=EVERYTHING&amp;vid=01CRU&amp;lang=en_US&amp;offset=0&amp;query=any,contains,991000425479702656","Catalog Record")</f>
        <v/>
      </c>
      <c r="AT1129">
        <f>HYPERLINK("http://www.worldcat.org/oclc/10753150","WorldCat Record")</f>
        <v/>
      </c>
      <c r="AU1129" t="inlineStr">
        <is>
          <t>3900996230:eng</t>
        </is>
      </c>
      <c r="AV1129" t="inlineStr">
        <is>
          <t>10753150</t>
        </is>
      </c>
      <c r="AW1129" t="inlineStr">
        <is>
          <t>991000425479702656</t>
        </is>
      </c>
      <c r="AX1129" t="inlineStr">
        <is>
          <t>991000425479702656</t>
        </is>
      </c>
      <c r="AY1129" t="inlineStr">
        <is>
          <t>2265425070002656</t>
        </is>
      </c>
      <c r="AZ1129" t="inlineStr">
        <is>
          <t>BOOK</t>
        </is>
      </c>
      <c r="BB1129" t="inlineStr">
        <is>
          <t>9780895771933</t>
        </is>
      </c>
      <c r="BC1129" t="inlineStr">
        <is>
          <t>32285001915999</t>
        </is>
      </c>
      <c r="BD1129" t="inlineStr">
        <is>
          <t>893314911</t>
        </is>
      </c>
    </row>
    <row r="1130">
      <c r="A1130" t="inlineStr">
        <is>
          <t>No</t>
        </is>
      </c>
      <c r="B1130" t="inlineStr">
        <is>
          <t>GT4987.23 .P74 1994</t>
        </is>
      </c>
      <c r="C1130" t="inlineStr">
        <is>
          <t>0                      GT 4987230P  74          1994</t>
        </is>
      </c>
      <c r="D1130" t="inlineStr">
        <is>
          <t>Feliz Nochebuena, Feliz Navidad : Christmas feasts of the Hispanic Caribbean / Maricel E. Presilla ; pictures by Ismael Espinosa Ferrer.</t>
        </is>
      </c>
      <c r="F1130" t="inlineStr">
        <is>
          <t>No</t>
        </is>
      </c>
      <c r="G1130" t="inlineStr">
        <is>
          <t>1</t>
        </is>
      </c>
      <c r="H1130" t="inlineStr">
        <is>
          <t>No</t>
        </is>
      </c>
      <c r="I1130" t="inlineStr">
        <is>
          <t>No</t>
        </is>
      </c>
      <c r="J1130" t="inlineStr">
        <is>
          <t>0</t>
        </is>
      </c>
      <c r="K1130" t="inlineStr">
        <is>
          <t>Presilla, Maricel E.</t>
        </is>
      </c>
      <c r="L1130" t="inlineStr">
        <is>
          <t>New York : H. Holt, 1994.</t>
        </is>
      </c>
      <c r="M1130" t="inlineStr">
        <is>
          <t>1994</t>
        </is>
      </c>
      <c r="N1130" t="inlineStr">
        <is>
          <t>1st ed.</t>
        </is>
      </c>
      <c r="O1130" t="inlineStr">
        <is>
          <t>eng</t>
        </is>
      </c>
      <c r="P1130" t="inlineStr">
        <is>
          <t>nyu</t>
        </is>
      </c>
      <c r="R1130" t="inlineStr">
        <is>
          <t xml:space="preserve">GT </t>
        </is>
      </c>
      <c r="S1130" t="n">
        <v>3</v>
      </c>
      <c r="T1130" t="n">
        <v>3</v>
      </c>
      <c r="U1130" t="inlineStr">
        <is>
          <t>2004-12-01</t>
        </is>
      </c>
      <c r="V1130" t="inlineStr">
        <is>
          <t>2004-12-01</t>
        </is>
      </c>
      <c r="W1130" t="inlineStr">
        <is>
          <t>1996-09-06</t>
        </is>
      </c>
      <c r="X1130" t="inlineStr">
        <is>
          <t>1996-09-06</t>
        </is>
      </c>
      <c r="Y1130" t="n">
        <v>346</v>
      </c>
      <c r="Z1130" t="n">
        <v>338</v>
      </c>
      <c r="AA1130" t="n">
        <v>368</v>
      </c>
      <c r="AB1130" t="n">
        <v>4</v>
      </c>
      <c r="AC1130" t="n">
        <v>4</v>
      </c>
      <c r="AD1130" t="n">
        <v>5</v>
      </c>
      <c r="AE1130" t="n">
        <v>5</v>
      </c>
      <c r="AF1130" t="n">
        <v>0</v>
      </c>
      <c r="AG1130" t="n">
        <v>0</v>
      </c>
      <c r="AH1130" t="n">
        <v>1</v>
      </c>
      <c r="AI1130" t="n">
        <v>1</v>
      </c>
      <c r="AJ1130" t="n">
        <v>3</v>
      </c>
      <c r="AK1130" t="n">
        <v>3</v>
      </c>
      <c r="AL1130" t="n">
        <v>1</v>
      </c>
      <c r="AM1130" t="n">
        <v>1</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HYPERLINK("https://creighton-primo.hosted.exlibrisgroup.com/primo-explore/search?tab=default_tab&amp;search_scope=EVERYTHING&amp;vid=01CRU&amp;lang=en_US&amp;offset=0&amp;query=any,contains,991004574279702656","Catalog Record")</f>
        <v/>
      </c>
      <c r="AT1130">
        <f>HYPERLINK("http://www.worldcat.org/oclc/29566314","WorldCat Record")</f>
        <v/>
      </c>
      <c r="AU1130" t="inlineStr">
        <is>
          <t>31404087:eng</t>
        </is>
      </c>
      <c r="AV1130" t="inlineStr">
        <is>
          <t>29566314</t>
        </is>
      </c>
      <c r="AW1130" t="inlineStr">
        <is>
          <t>991004574279702656</t>
        </is>
      </c>
      <c r="AX1130" t="inlineStr">
        <is>
          <t>991004574279702656</t>
        </is>
      </c>
      <c r="AY1130" t="inlineStr">
        <is>
          <t>2255001470002656</t>
        </is>
      </c>
      <c r="AZ1130" t="inlineStr">
        <is>
          <t>BOOK</t>
        </is>
      </c>
      <c r="BB1130" t="inlineStr">
        <is>
          <t>9780805025125</t>
        </is>
      </c>
      <c r="BC1130" t="inlineStr">
        <is>
          <t>32285002315389</t>
        </is>
      </c>
      <c r="BD1130" t="inlineStr">
        <is>
          <t>893861737</t>
        </is>
      </c>
    </row>
    <row r="1131">
      <c r="A1131" t="inlineStr">
        <is>
          <t>No</t>
        </is>
      </c>
      <c r="B1131" t="inlineStr">
        <is>
          <t>GT4987.33 .C48 1991</t>
        </is>
      </c>
      <c r="C1131" t="inlineStr">
        <is>
          <t>0                      GT 4987330C  48          1991</t>
        </is>
      </c>
      <c r="D1131" t="inlineStr">
        <is>
          <t>Christmas in Brazil.</t>
        </is>
      </c>
      <c r="F1131" t="inlineStr">
        <is>
          <t>No</t>
        </is>
      </c>
      <c r="G1131" t="inlineStr">
        <is>
          <t>1</t>
        </is>
      </c>
      <c r="H1131" t="inlineStr">
        <is>
          <t>No</t>
        </is>
      </c>
      <c r="I1131" t="inlineStr">
        <is>
          <t>No</t>
        </is>
      </c>
      <c r="J1131" t="inlineStr">
        <is>
          <t>0</t>
        </is>
      </c>
      <c r="L1131" t="inlineStr">
        <is>
          <t>Chicago : World Book, c1991.</t>
        </is>
      </c>
      <c r="M1131" t="inlineStr">
        <is>
          <t>1991</t>
        </is>
      </c>
      <c r="O1131" t="inlineStr">
        <is>
          <t>eng</t>
        </is>
      </c>
      <c r="P1131" t="inlineStr">
        <is>
          <t>ilu</t>
        </is>
      </c>
      <c r="Q1131" t="inlineStr">
        <is>
          <t>Christmas around the world from World Book</t>
        </is>
      </c>
      <c r="R1131" t="inlineStr">
        <is>
          <t xml:space="preserve">GT </t>
        </is>
      </c>
      <c r="S1131" t="n">
        <v>7</v>
      </c>
      <c r="T1131" t="n">
        <v>7</v>
      </c>
      <c r="U1131" t="inlineStr">
        <is>
          <t>2009-02-24</t>
        </is>
      </c>
      <c r="V1131" t="inlineStr">
        <is>
          <t>2009-02-24</t>
        </is>
      </c>
      <c r="W1131" t="inlineStr">
        <is>
          <t>1996-12-17</t>
        </is>
      </c>
      <c r="X1131" t="inlineStr">
        <is>
          <t>1996-12-17</t>
        </is>
      </c>
      <c r="Y1131" t="n">
        <v>596</v>
      </c>
      <c r="Z1131" t="n">
        <v>567</v>
      </c>
      <c r="AA1131" t="n">
        <v>579</v>
      </c>
      <c r="AB1131" t="n">
        <v>5</v>
      </c>
      <c r="AC1131" t="n">
        <v>5</v>
      </c>
      <c r="AD1131" t="n">
        <v>1</v>
      </c>
      <c r="AE1131" t="n">
        <v>1</v>
      </c>
      <c r="AF1131" t="n">
        <v>0</v>
      </c>
      <c r="AG1131" t="n">
        <v>0</v>
      </c>
      <c r="AH1131" t="n">
        <v>0</v>
      </c>
      <c r="AI1131" t="n">
        <v>0</v>
      </c>
      <c r="AJ1131" t="n">
        <v>0</v>
      </c>
      <c r="AK1131" t="n">
        <v>0</v>
      </c>
      <c r="AL1131" t="n">
        <v>1</v>
      </c>
      <c r="AM1131" t="n">
        <v>1</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HYPERLINK("https://creighton-primo.hosted.exlibrisgroup.com/primo-explore/search?tab=default_tab&amp;search_scope=EVERYTHING&amp;vid=01CRU&amp;lang=en_US&amp;offset=0&amp;query=any,contains,991004562189702656","Catalog Record")</f>
        <v/>
      </c>
      <c r="AT1131">
        <f>HYPERLINK("http://www.worldcat.org/oclc/25088773","WorldCat Record")</f>
        <v/>
      </c>
      <c r="AU1131" t="inlineStr">
        <is>
          <t>141641326:eng</t>
        </is>
      </c>
      <c r="AV1131" t="inlineStr">
        <is>
          <t>25088773</t>
        </is>
      </c>
      <c r="AW1131" t="inlineStr">
        <is>
          <t>991004562189702656</t>
        </is>
      </c>
      <c r="AX1131" t="inlineStr">
        <is>
          <t>991004562189702656</t>
        </is>
      </c>
      <c r="AY1131" t="inlineStr">
        <is>
          <t>2267795030002656</t>
        </is>
      </c>
      <c r="AZ1131" t="inlineStr">
        <is>
          <t>BOOK</t>
        </is>
      </c>
      <c r="BB1131" t="inlineStr">
        <is>
          <t>9780716608912</t>
        </is>
      </c>
      <c r="BC1131" t="inlineStr">
        <is>
          <t>32285002394046</t>
        </is>
      </c>
      <c r="BD1131" t="inlineStr">
        <is>
          <t>893585470</t>
        </is>
      </c>
    </row>
    <row r="1132">
      <c r="A1132" t="inlineStr">
        <is>
          <t>No</t>
        </is>
      </c>
      <c r="B1132" t="inlineStr">
        <is>
          <t>GT4987.43 .C48 1996</t>
        </is>
      </c>
      <c r="C1132" t="inlineStr">
        <is>
          <t>0                      GT 4987430C  48          1996</t>
        </is>
      </c>
      <c r="D1132" t="inlineStr">
        <is>
          <t>Christmas in Britain.</t>
        </is>
      </c>
      <c r="F1132" t="inlineStr">
        <is>
          <t>No</t>
        </is>
      </c>
      <c r="G1132" t="inlineStr">
        <is>
          <t>1</t>
        </is>
      </c>
      <c r="H1132" t="inlineStr">
        <is>
          <t>No</t>
        </is>
      </c>
      <c r="I1132" t="inlineStr">
        <is>
          <t>No</t>
        </is>
      </c>
      <c r="J1132" t="inlineStr">
        <is>
          <t>0</t>
        </is>
      </c>
      <c r="L1132" t="inlineStr">
        <is>
          <t>Chicago : World Book, c1996.</t>
        </is>
      </c>
      <c r="M1132" t="inlineStr">
        <is>
          <t>1996</t>
        </is>
      </c>
      <c r="O1132" t="inlineStr">
        <is>
          <t>eng</t>
        </is>
      </c>
      <c r="P1132" t="inlineStr">
        <is>
          <t>ilu</t>
        </is>
      </c>
      <c r="Q1132" t="inlineStr">
        <is>
          <t>Christmas around the world from World Book</t>
        </is>
      </c>
      <c r="R1132" t="inlineStr">
        <is>
          <t xml:space="preserve">GT </t>
        </is>
      </c>
      <c r="S1132" t="n">
        <v>9</v>
      </c>
      <c r="T1132" t="n">
        <v>9</v>
      </c>
      <c r="U1132" t="inlineStr">
        <is>
          <t>2000-11-28</t>
        </is>
      </c>
      <c r="V1132" t="inlineStr">
        <is>
          <t>2000-11-28</t>
        </is>
      </c>
      <c r="W1132" t="inlineStr">
        <is>
          <t>1996-12-17</t>
        </is>
      </c>
      <c r="X1132" t="inlineStr">
        <is>
          <t>1996-12-17</t>
        </is>
      </c>
      <c r="Y1132" t="n">
        <v>657</v>
      </c>
      <c r="Z1132" t="n">
        <v>622</v>
      </c>
      <c r="AA1132" t="n">
        <v>1108</v>
      </c>
      <c r="AB1132" t="n">
        <v>4</v>
      </c>
      <c r="AC1132" t="n">
        <v>11</v>
      </c>
      <c r="AD1132" t="n">
        <v>1</v>
      </c>
      <c r="AE1132" t="n">
        <v>1</v>
      </c>
      <c r="AF1132" t="n">
        <v>1</v>
      </c>
      <c r="AG1132" t="n">
        <v>1</v>
      </c>
      <c r="AH1132" t="n">
        <v>0</v>
      </c>
      <c r="AI1132" t="n">
        <v>0</v>
      </c>
      <c r="AJ1132" t="n">
        <v>1</v>
      </c>
      <c r="AK1132" t="n">
        <v>1</v>
      </c>
      <c r="AL1132" t="n">
        <v>0</v>
      </c>
      <c r="AM1132" t="n">
        <v>0</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HYPERLINK("https://creighton-primo.hosted.exlibrisgroup.com/primo-explore/search?tab=default_tab&amp;search_scope=EVERYTHING&amp;vid=01CRU&amp;lang=en_US&amp;offset=0&amp;query=any,contains,991004621069702656","Catalog Record")</f>
        <v/>
      </c>
      <c r="AT1132">
        <f>HYPERLINK("http://www.worldcat.org/oclc/34844547","WorldCat Record")</f>
        <v/>
      </c>
      <c r="AU1132" t="inlineStr">
        <is>
          <t>424926679:eng</t>
        </is>
      </c>
      <c r="AV1132" t="inlineStr">
        <is>
          <t>34844547</t>
        </is>
      </c>
      <c r="AW1132" t="inlineStr">
        <is>
          <t>991004621069702656</t>
        </is>
      </c>
      <c r="AX1132" t="inlineStr">
        <is>
          <t>991004621069702656</t>
        </is>
      </c>
      <c r="AY1132" t="inlineStr">
        <is>
          <t>2260490810002656</t>
        </is>
      </c>
      <c r="AZ1132" t="inlineStr">
        <is>
          <t>BOOK</t>
        </is>
      </c>
      <c r="BB1132" t="inlineStr">
        <is>
          <t>9780716608745</t>
        </is>
      </c>
      <c r="BC1132" t="inlineStr">
        <is>
          <t>32285002394020</t>
        </is>
      </c>
      <c r="BD1132" t="inlineStr">
        <is>
          <t>893220996</t>
        </is>
      </c>
    </row>
    <row r="1133">
      <c r="A1133" t="inlineStr">
        <is>
          <t>No</t>
        </is>
      </c>
      <c r="B1133" t="inlineStr">
        <is>
          <t>GT4987.467 .C48 1996</t>
        </is>
      </c>
      <c r="C1133" t="inlineStr">
        <is>
          <t>0                      GT 4987467C  48          1996</t>
        </is>
      </c>
      <c r="D1133" t="inlineStr">
        <is>
          <t>Christmas in Ireland.</t>
        </is>
      </c>
      <c r="F1133" t="inlineStr">
        <is>
          <t>No</t>
        </is>
      </c>
      <c r="G1133" t="inlineStr">
        <is>
          <t>1</t>
        </is>
      </c>
      <c r="H1133" t="inlineStr">
        <is>
          <t>No</t>
        </is>
      </c>
      <c r="I1133" t="inlineStr">
        <is>
          <t>No</t>
        </is>
      </c>
      <c r="J1133" t="inlineStr">
        <is>
          <t>0</t>
        </is>
      </c>
      <c r="L1133" t="inlineStr">
        <is>
          <t>Chicago : World Book, Inc., c1996.</t>
        </is>
      </c>
      <c r="M1133" t="inlineStr">
        <is>
          <t>1996</t>
        </is>
      </c>
      <c r="O1133" t="inlineStr">
        <is>
          <t>eng</t>
        </is>
      </c>
      <c r="P1133" t="inlineStr">
        <is>
          <t>ilu</t>
        </is>
      </c>
      <c r="Q1133" t="inlineStr">
        <is>
          <t>Christmas around the world from World Book</t>
        </is>
      </c>
      <c r="R1133" t="inlineStr">
        <is>
          <t xml:space="preserve">GT </t>
        </is>
      </c>
      <c r="S1133" t="n">
        <v>3</v>
      </c>
      <c r="T1133" t="n">
        <v>3</v>
      </c>
      <c r="U1133" t="inlineStr">
        <is>
          <t>2004-12-01</t>
        </is>
      </c>
      <c r="V1133" t="inlineStr">
        <is>
          <t>2004-12-01</t>
        </is>
      </c>
      <c r="W1133" t="inlineStr">
        <is>
          <t>1996-12-17</t>
        </is>
      </c>
      <c r="X1133" t="inlineStr">
        <is>
          <t>1996-12-17</t>
        </is>
      </c>
      <c r="Y1133" t="n">
        <v>560</v>
      </c>
      <c r="Z1133" t="n">
        <v>534</v>
      </c>
      <c r="AA1133" t="n">
        <v>992</v>
      </c>
      <c r="AB1133" t="n">
        <v>3</v>
      </c>
      <c r="AC1133" t="n">
        <v>7</v>
      </c>
      <c r="AD1133" t="n">
        <v>1</v>
      </c>
      <c r="AE1133" t="n">
        <v>1</v>
      </c>
      <c r="AF1133" t="n">
        <v>1</v>
      </c>
      <c r="AG1133" t="n">
        <v>1</v>
      </c>
      <c r="AH1133" t="n">
        <v>0</v>
      </c>
      <c r="AI1133" t="n">
        <v>0</v>
      </c>
      <c r="AJ1133" t="n">
        <v>1</v>
      </c>
      <c r="AK1133" t="n">
        <v>1</v>
      </c>
      <c r="AL1133" t="n">
        <v>0</v>
      </c>
      <c r="AM1133" t="n">
        <v>0</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HYPERLINK("https://creighton-primo.hosted.exlibrisgroup.com/primo-explore/search?tab=default_tab&amp;search_scope=EVERYTHING&amp;vid=01CRU&amp;lang=en_US&amp;offset=0&amp;query=any,contains,991004621339702656","Catalog Record")</f>
        <v/>
      </c>
      <c r="AT1133">
        <f>HYPERLINK("http://www.worldcat.org/oclc/34900164","WorldCat Record")</f>
        <v/>
      </c>
      <c r="AU1133" t="inlineStr">
        <is>
          <t>54800186:eng</t>
        </is>
      </c>
      <c r="AV1133" t="inlineStr">
        <is>
          <t>34900164</t>
        </is>
      </c>
      <c r="AW1133" t="inlineStr">
        <is>
          <t>991004621339702656</t>
        </is>
      </c>
      <c r="AX1133" t="inlineStr">
        <is>
          <t>991004621339702656</t>
        </is>
      </c>
      <c r="AY1133" t="inlineStr">
        <is>
          <t>2258920880002656</t>
        </is>
      </c>
      <c r="AZ1133" t="inlineStr">
        <is>
          <t>BOOK</t>
        </is>
      </c>
      <c r="BB1133" t="inlineStr">
        <is>
          <t>9780716608783</t>
        </is>
      </c>
      <c r="BC1133" t="inlineStr">
        <is>
          <t>32285002393980</t>
        </is>
      </c>
      <c r="BD1133" t="inlineStr">
        <is>
          <t>893220997</t>
        </is>
      </c>
    </row>
    <row r="1134">
      <c r="A1134" t="inlineStr">
        <is>
          <t>No</t>
        </is>
      </c>
      <c r="B1134" t="inlineStr">
        <is>
          <t>GT4987.48 .C48 1996</t>
        </is>
      </c>
      <c r="C1134" t="inlineStr">
        <is>
          <t>0                      GT 4987480C  48          1996</t>
        </is>
      </c>
      <c r="D1134" t="inlineStr">
        <is>
          <t>Christmas in France.</t>
        </is>
      </c>
      <c r="F1134" t="inlineStr">
        <is>
          <t>No</t>
        </is>
      </c>
      <c r="G1134" t="inlineStr">
        <is>
          <t>1</t>
        </is>
      </c>
      <c r="H1134" t="inlineStr">
        <is>
          <t>No</t>
        </is>
      </c>
      <c r="I1134" t="inlineStr">
        <is>
          <t>No</t>
        </is>
      </c>
      <c r="J1134" t="inlineStr">
        <is>
          <t>0</t>
        </is>
      </c>
      <c r="L1134" t="inlineStr">
        <is>
          <t>Chicago : World Book, c1996.</t>
        </is>
      </c>
      <c r="M1134" t="inlineStr">
        <is>
          <t>1996</t>
        </is>
      </c>
      <c r="O1134" t="inlineStr">
        <is>
          <t>eng</t>
        </is>
      </c>
      <c r="P1134" t="inlineStr">
        <is>
          <t>ilu</t>
        </is>
      </c>
      <c r="Q1134" t="inlineStr">
        <is>
          <t>Christmas around the world from World Book</t>
        </is>
      </c>
      <c r="R1134" t="inlineStr">
        <is>
          <t xml:space="preserve">GT </t>
        </is>
      </c>
      <c r="S1134" t="n">
        <v>5</v>
      </c>
      <c r="T1134" t="n">
        <v>5</v>
      </c>
      <c r="U1134" t="inlineStr">
        <is>
          <t>2004-12-01</t>
        </is>
      </c>
      <c r="V1134" t="inlineStr">
        <is>
          <t>2004-12-01</t>
        </is>
      </c>
      <c r="W1134" t="inlineStr">
        <is>
          <t>1996-12-17</t>
        </is>
      </c>
      <c r="X1134" t="inlineStr">
        <is>
          <t>1996-12-17</t>
        </is>
      </c>
      <c r="Y1134" t="n">
        <v>638</v>
      </c>
      <c r="Z1134" t="n">
        <v>601</v>
      </c>
      <c r="AA1134" t="n">
        <v>670</v>
      </c>
      <c r="AB1134" t="n">
        <v>4</v>
      </c>
      <c r="AC1134" t="n">
        <v>4</v>
      </c>
      <c r="AD1134" t="n">
        <v>1</v>
      </c>
      <c r="AE1134" t="n">
        <v>1</v>
      </c>
      <c r="AF1134" t="n">
        <v>1</v>
      </c>
      <c r="AG1134" t="n">
        <v>1</v>
      </c>
      <c r="AH1134" t="n">
        <v>0</v>
      </c>
      <c r="AI1134" t="n">
        <v>0</v>
      </c>
      <c r="AJ1134" t="n">
        <v>1</v>
      </c>
      <c r="AK1134" t="n">
        <v>1</v>
      </c>
      <c r="AL1134" t="n">
        <v>0</v>
      </c>
      <c r="AM1134" t="n">
        <v>0</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HYPERLINK("https://creighton-primo.hosted.exlibrisgroup.com/primo-explore/search?tab=default_tab&amp;search_scope=EVERYTHING&amp;vid=01CRU&amp;lang=en_US&amp;offset=0&amp;query=any,contains,991004621099702656","Catalog Record")</f>
        <v/>
      </c>
      <c r="AT1134">
        <f>HYPERLINK("http://www.worldcat.org/oclc/34844605","WorldCat Record")</f>
        <v/>
      </c>
      <c r="AU1134" t="inlineStr">
        <is>
          <t>55484423:eng</t>
        </is>
      </c>
      <c r="AV1134" t="inlineStr">
        <is>
          <t>34844605</t>
        </is>
      </c>
      <c r="AW1134" t="inlineStr">
        <is>
          <t>991004621099702656</t>
        </is>
      </c>
      <c r="AX1134" t="inlineStr">
        <is>
          <t>991004621099702656</t>
        </is>
      </c>
      <c r="AY1134" t="inlineStr">
        <is>
          <t>2260444730002656</t>
        </is>
      </c>
      <c r="AZ1134" t="inlineStr">
        <is>
          <t>BOOK</t>
        </is>
      </c>
      <c r="BB1134" t="inlineStr">
        <is>
          <t>9780716608769</t>
        </is>
      </c>
      <c r="BC1134" t="inlineStr">
        <is>
          <t>32285002394053</t>
        </is>
      </c>
      <c r="BD1134" t="inlineStr">
        <is>
          <t>893682626</t>
        </is>
      </c>
    </row>
    <row r="1135">
      <c r="A1135" t="inlineStr">
        <is>
          <t>No</t>
        </is>
      </c>
      <c r="B1135" t="inlineStr">
        <is>
          <t>GT4987.49 .R8413 1978</t>
        </is>
      </c>
      <c r="C1135" t="inlineStr">
        <is>
          <t>0                      GT 4987490R  8413        1978</t>
        </is>
      </c>
      <c r="D1135" t="inlineStr">
        <is>
          <t>Christmas in Germany / Josef Ruland ; [with contributions by Emil Barth ... et al. ; transl. by Timothy Nevill].</t>
        </is>
      </c>
      <c r="F1135" t="inlineStr">
        <is>
          <t>No</t>
        </is>
      </c>
      <c r="G1135" t="inlineStr">
        <is>
          <t>1</t>
        </is>
      </c>
      <c r="H1135" t="inlineStr">
        <is>
          <t>No</t>
        </is>
      </c>
      <c r="I1135" t="inlineStr">
        <is>
          <t>No</t>
        </is>
      </c>
      <c r="J1135" t="inlineStr">
        <is>
          <t>0</t>
        </is>
      </c>
      <c r="K1135" t="inlineStr">
        <is>
          <t>Ruland, Josef.</t>
        </is>
      </c>
      <c r="L1135" t="inlineStr">
        <is>
          <t>Bonn : Hohwacht, 1978.</t>
        </is>
      </c>
      <c r="M1135" t="inlineStr">
        <is>
          <t>1978</t>
        </is>
      </c>
      <c r="O1135" t="inlineStr">
        <is>
          <t>eng</t>
        </is>
      </c>
      <c r="P1135" t="inlineStr">
        <is>
          <t xml:space="preserve">gw </t>
        </is>
      </c>
      <c r="R1135" t="inlineStr">
        <is>
          <t xml:space="preserve">GT </t>
        </is>
      </c>
      <c r="S1135" t="n">
        <v>14</v>
      </c>
      <c r="T1135" t="n">
        <v>14</v>
      </c>
      <c r="U1135" t="inlineStr">
        <is>
          <t>2006-03-21</t>
        </is>
      </c>
      <c r="V1135" t="inlineStr">
        <is>
          <t>2006-03-21</t>
        </is>
      </c>
      <c r="W1135" t="inlineStr">
        <is>
          <t>1990-10-02</t>
        </is>
      </c>
      <c r="X1135" t="inlineStr">
        <is>
          <t>1990-10-02</t>
        </is>
      </c>
      <c r="Y1135" t="n">
        <v>158</v>
      </c>
      <c r="Z1135" t="n">
        <v>120</v>
      </c>
      <c r="AA1135" t="n">
        <v>131</v>
      </c>
      <c r="AB1135" t="n">
        <v>1</v>
      </c>
      <c r="AC1135" t="n">
        <v>1</v>
      </c>
      <c r="AD1135" t="n">
        <v>2</v>
      </c>
      <c r="AE1135" t="n">
        <v>2</v>
      </c>
      <c r="AF1135" t="n">
        <v>2</v>
      </c>
      <c r="AG1135" t="n">
        <v>2</v>
      </c>
      <c r="AH1135" t="n">
        <v>0</v>
      </c>
      <c r="AI1135" t="n">
        <v>0</v>
      </c>
      <c r="AJ1135" t="n">
        <v>1</v>
      </c>
      <c r="AK1135" t="n">
        <v>1</v>
      </c>
      <c r="AL1135" t="n">
        <v>0</v>
      </c>
      <c r="AM1135" t="n">
        <v>0</v>
      </c>
      <c r="AN1135" t="n">
        <v>0</v>
      </c>
      <c r="AO1135" t="n">
        <v>0</v>
      </c>
      <c r="AP1135" t="inlineStr">
        <is>
          <t>No</t>
        </is>
      </c>
      <c r="AQ1135" t="inlineStr">
        <is>
          <t>Yes</t>
        </is>
      </c>
      <c r="AR1135">
        <f>HYPERLINK("http://catalog.hathitrust.org/Record/003551614","HathiTrust Record")</f>
        <v/>
      </c>
      <c r="AS1135">
        <f>HYPERLINK("https://creighton-primo.hosted.exlibrisgroup.com/primo-explore/search?tab=default_tab&amp;search_scope=EVERYTHING&amp;vid=01CRU&amp;lang=en_US&amp;offset=0&amp;query=any,contains,991004689619702656","Catalog Record")</f>
        <v/>
      </c>
      <c r="AT1135">
        <f>HYPERLINK("http://www.worldcat.org/oclc/4601122","WorldCat Record")</f>
        <v/>
      </c>
      <c r="AU1135" t="inlineStr">
        <is>
          <t>3901443907:eng</t>
        </is>
      </c>
      <c r="AV1135" t="inlineStr">
        <is>
          <t>4601122</t>
        </is>
      </c>
      <c r="AW1135" t="inlineStr">
        <is>
          <t>991004689619702656</t>
        </is>
      </c>
      <c r="AX1135" t="inlineStr">
        <is>
          <t>991004689619702656</t>
        </is>
      </c>
      <c r="AY1135" t="inlineStr">
        <is>
          <t>2270273200002656</t>
        </is>
      </c>
      <c r="AZ1135" t="inlineStr">
        <is>
          <t>BOOK</t>
        </is>
      </c>
      <c r="BB1135" t="inlineStr">
        <is>
          <t>9783873530652</t>
        </is>
      </c>
      <c r="BC1135" t="inlineStr">
        <is>
          <t>32285000318898</t>
        </is>
      </c>
      <c r="BD1135" t="inlineStr">
        <is>
          <t>893882813</t>
        </is>
      </c>
    </row>
    <row r="1136">
      <c r="A1136" t="inlineStr">
        <is>
          <t>No</t>
        </is>
      </c>
      <c r="B1136" t="inlineStr">
        <is>
          <t>GT4987.51 .C47 1996</t>
        </is>
      </c>
      <c r="C1136" t="inlineStr">
        <is>
          <t>0                      GT 4987510C  47          1996</t>
        </is>
      </c>
      <c r="D1136" t="inlineStr">
        <is>
          <t>Christmas in Italy.</t>
        </is>
      </c>
      <c r="F1136" t="inlineStr">
        <is>
          <t>No</t>
        </is>
      </c>
      <c r="G1136" t="inlineStr">
        <is>
          <t>1</t>
        </is>
      </c>
      <c r="H1136" t="inlineStr">
        <is>
          <t>No</t>
        </is>
      </c>
      <c r="I1136" t="inlineStr">
        <is>
          <t>No</t>
        </is>
      </c>
      <c r="J1136" t="inlineStr">
        <is>
          <t>0</t>
        </is>
      </c>
      <c r="L1136" t="inlineStr">
        <is>
          <t>Chicago : World Book, Inc., c1996.</t>
        </is>
      </c>
      <c r="M1136" t="inlineStr">
        <is>
          <t>1996</t>
        </is>
      </c>
      <c r="O1136" t="inlineStr">
        <is>
          <t>eng</t>
        </is>
      </c>
      <c r="P1136" t="inlineStr">
        <is>
          <t>ilu</t>
        </is>
      </c>
      <c r="Q1136" t="inlineStr">
        <is>
          <t>Christmas around the world from World Book</t>
        </is>
      </c>
      <c r="R1136" t="inlineStr">
        <is>
          <t xml:space="preserve">GT </t>
        </is>
      </c>
      <c r="S1136" t="n">
        <v>4</v>
      </c>
      <c r="T1136" t="n">
        <v>4</v>
      </c>
      <c r="U1136" t="inlineStr">
        <is>
          <t>2009-02-24</t>
        </is>
      </c>
      <c r="V1136" t="inlineStr">
        <is>
          <t>2009-02-24</t>
        </is>
      </c>
      <c r="W1136" t="inlineStr">
        <is>
          <t>1996-12-17</t>
        </is>
      </c>
      <c r="X1136" t="inlineStr">
        <is>
          <t>1996-12-17</t>
        </is>
      </c>
      <c r="Y1136" t="n">
        <v>586</v>
      </c>
      <c r="Z1136" t="n">
        <v>554</v>
      </c>
      <c r="AA1136" t="n">
        <v>691</v>
      </c>
      <c r="AB1136" t="n">
        <v>4</v>
      </c>
      <c r="AC1136" t="n">
        <v>5</v>
      </c>
      <c r="AD1136" t="n">
        <v>2</v>
      </c>
      <c r="AE1136" t="n">
        <v>2</v>
      </c>
      <c r="AF1136" t="n">
        <v>1</v>
      </c>
      <c r="AG1136" t="n">
        <v>1</v>
      </c>
      <c r="AH1136" t="n">
        <v>1</v>
      </c>
      <c r="AI1136" t="n">
        <v>1</v>
      </c>
      <c r="AJ1136" t="n">
        <v>1</v>
      </c>
      <c r="AK1136" t="n">
        <v>1</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HYPERLINK("https://creighton-primo.hosted.exlibrisgroup.com/primo-explore/search?tab=default_tab&amp;search_scope=EVERYTHING&amp;vid=01CRU&amp;lang=en_US&amp;offset=0&amp;query=any,contains,991004621309702656","Catalog Record")</f>
        <v/>
      </c>
      <c r="AT1136">
        <f>HYPERLINK("http://www.worldcat.org/oclc/34900079","WorldCat Record")</f>
        <v/>
      </c>
      <c r="AU1136" t="inlineStr">
        <is>
          <t>8908533403:eng</t>
        </is>
      </c>
      <c r="AV1136" t="inlineStr">
        <is>
          <t>34900079</t>
        </is>
      </c>
      <c r="AW1136" t="inlineStr">
        <is>
          <t>991004621309702656</t>
        </is>
      </c>
      <c r="AX1136" t="inlineStr">
        <is>
          <t>991004621309702656</t>
        </is>
      </c>
      <c r="AY1136" t="inlineStr">
        <is>
          <t>2258861940002656</t>
        </is>
      </c>
      <c r="AZ1136" t="inlineStr">
        <is>
          <t>BOOK</t>
        </is>
      </c>
      <c r="BB1136" t="inlineStr">
        <is>
          <t>9780716608776</t>
        </is>
      </c>
      <c r="BC1136" t="inlineStr">
        <is>
          <t>32285002393998</t>
        </is>
      </c>
      <c r="BD1136" t="inlineStr">
        <is>
          <t>893682627</t>
        </is>
      </c>
    </row>
    <row r="1137">
      <c r="A1137" t="inlineStr">
        <is>
          <t>No</t>
        </is>
      </c>
      <c r="B1137" t="inlineStr">
        <is>
          <t>GT4987.55 .C47 1992</t>
        </is>
      </c>
      <c r="C1137" t="inlineStr">
        <is>
          <t>0                      GT 4987550C  47          1992</t>
        </is>
      </c>
      <c r="D1137" t="inlineStr">
        <is>
          <t>Christmas in Russia.</t>
        </is>
      </c>
      <c r="F1137" t="inlineStr">
        <is>
          <t>No</t>
        </is>
      </c>
      <c r="G1137" t="inlineStr">
        <is>
          <t>1</t>
        </is>
      </c>
      <c r="H1137" t="inlineStr">
        <is>
          <t>No</t>
        </is>
      </c>
      <c r="I1137" t="inlineStr">
        <is>
          <t>No</t>
        </is>
      </c>
      <c r="J1137" t="inlineStr">
        <is>
          <t>0</t>
        </is>
      </c>
      <c r="L1137" t="inlineStr">
        <is>
          <t>Chicago, Ill. : World Book, c1992.</t>
        </is>
      </c>
      <c r="M1137" t="inlineStr">
        <is>
          <t>1992</t>
        </is>
      </c>
      <c r="O1137" t="inlineStr">
        <is>
          <t>eng</t>
        </is>
      </c>
      <c r="P1137" t="inlineStr">
        <is>
          <t>ilu</t>
        </is>
      </c>
      <c r="Q1137" t="inlineStr">
        <is>
          <t>Christmas around the world from World Book</t>
        </is>
      </c>
      <c r="R1137" t="inlineStr">
        <is>
          <t xml:space="preserve">GT </t>
        </is>
      </c>
      <c r="S1137" t="n">
        <v>6</v>
      </c>
      <c r="T1137" t="n">
        <v>6</v>
      </c>
      <c r="U1137" t="inlineStr">
        <is>
          <t>2004-12-01</t>
        </is>
      </c>
      <c r="V1137" t="inlineStr">
        <is>
          <t>2004-12-01</t>
        </is>
      </c>
      <c r="W1137" t="inlineStr">
        <is>
          <t>1996-12-17</t>
        </is>
      </c>
      <c r="X1137" t="inlineStr">
        <is>
          <t>1996-12-17</t>
        </is>
      </c>
      <c r="Y1137" t="n">
        <v>715</v>
      </c>
      <c r="Z1137" t="n">
        <v>694</v>
      </c>
      <c r="AA1137" t="n">
        <v>1147</v>
      </c>
      <c r="AB1137" t="n">
        <v>5</v>
      </c>
      <c r="AC1137" t="n">
        <v>8</v>
      </c>
      <c r="AD1137" t="n">
        <v>2</v>
      </c>
      <c r="AE1137" t="n">
        <v>3</v>
      </c>
      <c r="AF1137" t="n">
        <v>1</v>
      </c>
      <c r="AG1137" t="n">
        <v>1</v>
      </c>
      <c r="AH1137" t="n">
        <v>0</v>
      </c>
      <c r="AI1137" t="n">
        <v>0</v>
      </c>
      <c r="AJ1137" t="n">
        <v>1</v>
      </c>
      <c r="AK1137" t="n">
        <v>2</v>
      </c>
      <c r="AL1137" t="n">
        <v>1</v>
      </c>
      <c r="AM1137" t="n">
        <v>1</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HYPERLINK("https://creighton-primo.hosted.exlibrisgroup.com/primo-explore/search?tab=default_tab&amp;search_scope=EVERYTHING&amp;vid=01CRU&amp;lang=en_US&amp;offset=0&amp;query=any,contains,991004566399702656","Catalog Record")</f>
        <v/>
      </c>
      <c r="AT1137">
        <f>HYPERLINK("http://www.worldcat.org/oclc/26987806","WorldCat Record")</f>
        <v/>
      </c>
      <c r="AU1137" t="inlineStr">
        <is>
          <t>344765473:eng</t>
        </is>
      </c>
      <c r="AV1137" t="inlineStr">
        <is>
          <t>26987806</t>
        </is>
      </c>
      <c r="AW1137" t="inlineStr">
        <is>
          <t>991004566399702656</t>
        </is>
      </c>
      <c r="AX1137" t="inlineStr">
        <is>
          <t>991004566399702656</t>
        </is>
      </c>
      <c r="AY1137" t="inlineStr">
        <is>
          <t>2257261490002656</t>
        </is>
      </c>
      <c r="AZ1137" t="inlineStr">
        <is>
          <t>BOOK</t>
        </is>
      </c>
      <c r="BB1137" t="inlineStr">
        <is>
          <t>9780716608929</t>
        </is>
      </c>
      <c r="BC1137" t="inlineStr">
        <is>
          <t>32285002394079</t>
        </is>
      </c>
      <c r="BD1137" t="inlineStr">
        <is>
          <t>893679531</t>
        </is>
      </c>
    </row>
    <row r="1138">
      <c r="A1138" t="inlineStr">
        <is>
          <t>No</t>
        </is>
      </c>
      <c r="B1138" t="inlineStr">
        <is>
          <t>GT4987.76 .C47 1990</t>
        </is>
      </c>
      <c r="C1138" t="inlineStr">
        <is>
          <t>0                      GT 4987760C  47          1990</t>
        </is>
      </c>
      <c r="D1138" t="inlineStr">
        <is>
          <t>Christmas in the Philippines.</t>
        </is>
      </c>
      <c r="F1138" t="inlineStr">
        <is>
          <t>No</t>
        </is>
      </c>
      <c r="G1138" t="inlineStr">
        <is>
          <t>1</t>
        </is>
      </c>
      <c r="H1138" t="inlineStr">
        <is>
          <t>No</t>
        </is>
      </c>
      <c r="I1138" t="inlineStr">
        <is>
          <t>No</t>
        </is>
      </c>
      <c r="J1138" t="inlineStr">
        <is>
          <t>0</t>
        </is>
      </c>
      <c r="L1138" t="inlineStr">
        <is>
          <t>Chicago : World Book, c1990.</t>
        </is>
      </c>
      <c r="M1138" t="inlineStr">
        <is>
          <t>1990</t>
        </is>
      </c>
      <c r="O1138" t="inlineStr">
        <is>
          <t>eng</t>
        </is>
      </c>
      <c r="P1138" t="inlineStr">
        <is>
          <t>ilu</t>
        </is>
      </c>
      <c r="Q1138" t="inlineStr">
        <is>
          <t>Christmas around the world from World Book</t>
        </is>
      </c>
      <c r="R1138" t="inlineStr">
        <is>
          <t xml:space="preserve">GT </t>
        </is>
      </c>
      <c r="S1138" t="n">
        <v>13</v>
      </c>
      <c r="T1138" t="n">
        <v>13</v>
      </c>
      <c r="U1138" t="inlineStr">
        <is>
          <t>2005-12-07</t>
        </is>
      </c>
      <c r="V1138" t="inlineStr">
        <is>
          <t>2005-12-07</t>
        </is>
      </c>
      <c r="W1138" t="inlineStr">
        <is>
          <t>1996-12-17</t>
        </is>
      </c>
      <c r="X1138" t="inlineStr">
        <is>
          <t>1996-12-17</t>
        </is>
      </c>
      <c r="Y1138" t="n">
        <v>715</v>
      </c>
      <c r="Z1138" t="n">
        <v>691</v>
      </c>
      <c r="AA1138" t="n">
        <v>930</v>
      </c>
      <c r="AB1138" t="n">
        <v>4</v>
      </c>
      <c r="AC1138" t="n">
        <v>5</v>
      </c>
      <c r="AD1138" t="n">
        <v>1</v>
      </c>
      <c r="AE1138" t="n">
        <v>2</v>
      </c>
      <c r="AF1138" t="n">
        <v>0</v>
      </c>
      <c r="AG1138" t="n">
        <v>1</v>
      </c>
      <c r="AH1138" t="n">
        <v>0</v>
      </c>
      <c r="AI1138" t="n">
        <v>0</v>
      </c>
      <c r="AJ1138" t="n">
        <v>0</v>
      </c>
      <c r="AK1138" t="n">
        <v>1</v>
      </c>
      <c r="AL1138" t="n">
        <v>1</v>
      </c>
      <c r="AM1138" t="n">
        <v>1</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HYPERLINK("https://creighton-primo.hosted.exlibrisgroup.com/primo-explore/search?tab=default_tab&amp;search_scope=EVERYTHING&amp;vid=01CRU&amp;lang=en_US&amp;offset=0&amp;query=any,contains,991004571569702656","Catalog Record")</f>
        <v/>
      </c>
      <c r="AT1138">
        <f>HYPERLINK("http://www.worldcat.org/oclc/28674613","WorldCat Record")</f>
        <v/>
      </c>
      <c r="AU1138" t="inlineStr">
        <is>
          <t>1151494773:eng</t>
        </is>
      </c>
      <c r="AV1138" t="inlineStr">
        <is>
          <t>28674613</t>
        </is>
      </c>
      <c r="AW1138" t="inlineStr">
        <is>
          <t>991004571569702656</t>
        </is>
      </c>
      <c r="AX1138" t="inlineStr">
        <is>
          <t>991004571569702656</t>
        </is>
      </c>
      <c r="AY1138" t="inlineStr">
        <is>
          <t>2271390370002656</t>
        </is>
      </c>
      <c r="AZ1138" t="inlineStr">
        <is>
          <t>BOOK</t>
        </is>
      </c>
      <c r="BB1138" t="inlineStr">
        <is>
          <t>9780716608905</t>
        </is>
      </c>
      <c r="BC1138" t="inlineStr">
        <is>
          <t>32285002393972</t>
        </is>
      </c>
      <c r="BD1138" t="inlineStr">
        <is>
          <t>893861734</t>
        </is>
      </c>
    </row>
    <row r="1139">
      <c r="A1139" t="inlineStr">
        <is>
          <t>No</t>
        </is>
      </c>
      <c r="B1139" t="inlineStr">
        <is>
          <t>GT4989 .B97 1989</t>
        </is>
      </c>
      <c r="C1139" t="inlineStr">
        <is>
          <t>0                      GT 4989000B  97          1989</t>
        </is>
      </c>
      <c r="D1139" t="inlineStr">
        <is>
          <t>O Christmas tree / Byron Keith Byrd ; photography, Dennis Krukowski.</t>
        </is>
      </c>
      <c r="F1139" t="inlineStr">
        <is>
          <t>No</t>
        </is>
      </c>
      <c r="G1139" t="inlineStr">
        <is>
          <t>1</t>
        </is>
      </c>
      <c r="H1139" t="inlineStr">
        <is>
          <t>No</t>
        </is>
      </c>
      <c r="I1139" t="inlineStr">
        <is>
          <t>No</t>
        </is>
      </c>
      <c r="J1139" t="inlineStr">
        <is>
          <t>0</t>
        </is>
      </c>
      <c r="K1139" t="inlineStr">
        <is>
          <t>Byrd, Byron Keith.</t>
        </is>
      </c>
      <c r="L1139" t="inlineStr">
        <is>
          <t>New York, NY : Rizzoli, 1989.</t>
        </is>
      </c>
      <c r="M1139" t="inlineStr">
        <is>
          <t>1989</t>
        </is>
      </c>
      <c r="O1139" t="inlineStr">
        <is>
          <t>eng</t>
        </is>
      </c>
      <c r="P1139" t="inlineStr">
        <is>
          <t>nyu</t>
        </is>
      </c>
      <c r="R1139" t="inlineStr">
        <is>
          <t xml:space="preserve">GT </t>
        </is>
      </c>
      <c r="S1139" t="n">
        <v>7</v>
      </c>
      <c r="T1139" t="n">
        <v>7</v>
      </c>
      <c r="U1139" t="inlineStr">
        <is>
          <t>1993-10-19</t>
        </is>
      </c>
      <c r="V1139" t="inlineStr">
        <is>
          <t>1993-10-19</t>
        </is>
      </c>
      <c r="W1139" t="inlineStr">
        <is>
          <t>1990-02-24</t>
        </is>
      </c>
      <c r="X1139" t="inlineStr">
        <is>
          <t>1990-02-24</t>
        </is>
      </c>
      <c r="Y1139" t="n">
        <v>165</v>
      </c>
      <c r="Z1139" t="n">
        <v>158</v>
      </c>
      <c r="AA1139" t="n">
        <v>163</v>
      </c>
      <c r="AB1139" t="n">
        <v>1</v>
      </c>
      <c r="AC1139" t="n">
        <v>1</v>
      </c>
      <c r="AD1139" t="n">
        <v>1</v>
      </c>
      <c r="AE1139" t="n">
        <v>1</v>
      </c>
      <c r="AF1139" t="n">
        <v>0</v>
      </c>
      <c r="AG1139" t="n">
        <v>0</v>
      </c>
      <c r="AH1139" t="n">
        <v>0</v>
      </c>
      <c r="AI1139" t="n">
        <v>0</v>
      </c>
      <c r="AJ1139" t="n">
        <v>1</v>
      </c>
      <c r="AK1139" t="n">
        <v>1</v>
      </c>
      <c r="AL1139" t="n">
        <v>0</v>
      </c>
      <c r="AM1139" t="n">
        <v>0</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HYPERLINK("https://creighton-primo.hosted.exlibrisgroup.com/primo-explore/search?tab=default_tab&amp;search_scope=EVERYTHING&amp;vid=01CRU&amp;lang=en_US&amp;offset=0&amp;query=any,contains,991001607529702656","Catalog Record")</f>
        <v/>
      </c>
      <c r="AT1139">
        <f>HYPERLINK("http://www.worldcat.org/oclc/20710092","WorldCat Record")</f>
        <v/>
      </c>
      <c r="AU1139" t="inlineStr">
        <is>
          <t>22143829:eng</t>
        </is>
      </c>
      <c r="AV1139" t="inlineStr">
        <is>
          <t>20710092</t>
        </is>
      </c>
      <c r="AW1139" t="inlineStr">
        <is>
          <t>991001607529702656</t>
        </is>
      </c>
      <c r="AX1139" t="inlineStr">
        <is>
          <t>991001607529702656</t>
        </is>
      </c>
      <c r="AY1139" t="inlineStr">
        <is>
          <t>2256858690002656</t>
        </is>
      </c>
      <c r="AZ1139" t="inlineStr">
        <is>
          <t>BOOK</t>
        </is>
      </c>
      <c r="BB1139" t="inlineStr">
        <is>
          <t>9780847811175</t>
        </is>
      </c>
      <c r="BC1139" t="inlineStr">
        <is>
          <t>32285000040880</t>
        </is>
      </c>
      <c r="BD1139" t="inlineStr">
        <is>
          <t>893791531</t>
        </is>
      </c>
    </row>
    <row r="1140">
      <c r="A1140" t="inlineStr">
        <is>
          <t>No</t>
        </is>
      </c>
      <c r="B1140" t="inlineStr">
        <is>
          <t>GT4995.P3 C76 2002</t>
        </is>
      </c>
      <c r="C1140" t="inlineStr">
        <is>
          <t>0                      GT 4995000P  3                  C  76          2002</t>
        </is>
      </c>
      <c r="D1140" t="inlineStr">
        <is>
          <t>The wearing of the green : a history of St. Patrick's Day / Mike Cronin and Daryl Adair.</t>
        </is>
      </c>
      <c r="F1140" t="inlineStr">
        <is>
          <t>No</t>
        </is>
      </c>
      <c r="G1140" t="inlineStr">
        <is>
          <t>1</t>
        </is>
      </c>
      <c r="H1140" t="inlineStr">
        <is>
          <t>No</t>
        </is>
      </c>
      <c r="I1140" t="inlineStr">
        <is>
          <t>No</t>
        </is>
      </c>
      <c r="J1140" t="inlineStr">
        <is>
          <t>0</t>
        </is>
      </c>
      <c r="K1140" t="inlineStr">
        <is>
          <t>Cronin, Mike.</t>
        </is>
      </c>
      <c r="L1140" t="inlineStr">
        <is>
          <t>London ; New York : Routledge, 2002.</t>
        </is>
      </c>
      <c r="M1140" t="inlineStr">
        <is>
          <t>2002</t>
        </is>
      </c>
      <c r="O1140" t="inlineStr">
        <is>
          <t>eng</t>
        </is>
      </c>
      <c r="P1140" t="inlineStr">
        <is>
          <t>enk</t>
        </is>
      </c>
      <c r="R1140" t="inlineStr">
        <is>
          <t xml:space="preserve">GT </t>
        </is>
      </c>
      <c r="S1140" t="n">
        <v>3</v>
      </c>
      <c r="T1140" t="n">
        <v>3</v>
      </c>
      <c r="U1140" t="inlineStr">
        <is>
          <t>2005-09-11</t>
        </is>
      </c>
      <c r="V1140" t="inlineStr">
        <is>
          <t>2005-09-11</t>
        </is>
      </c>
      <c r="W1140" t="inlineStr">
        <is>
          <t>2003-02-26</t>
        </is>
      </c>
      <c r="X1140" t="inlineStr">
        <is>
          <t>2003-02-26</t>
        </is>
      </c>
      <c r="Y1140" t="n">
        <v>608</v>
      </c>
      <c r="Z1140" t="n">
        <v>506</v>
      </c>
      <c r="AA1140" t="n">
        <v>790</v>
      </c>
      <c r="AB1140" t="n">
        <v>4</v>
      </c>
      <c r="AC1140" t="n">
        <v>5</v>
      </c>
      <c r="AD1140" t="n">
        <v>19</v>
      </c>
      <c r="AE1140" t="n">
        <v>28</v>
      </c>
      <c r="AF1140" t="n">
        <v>7</v>
      </c>
      <c r="AG1140" t="n">
        <v>15</v>
      </c>
      <c r="AH1140" t="n">
        <v>5</v>
      </c>
      <c r="AI1140" t="n">
        <v>7</v>
      </c>
      <c r="AJ1140" t="n">
        <v>12</v>
      </c>
      <c r="AK1140" t="n">
        <v>13</v>
      </c>
      <c r="AL1140" t="n">
        <v>2</v>
      </c>
      <c r="AM1140" t="n">
        <v>2</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HYPERLINK("https://creighton-primo.hosted.exlibrisgroup.com/primo-explore/search?tab=default_tab&amp;search_scope=EVERYTHING&amp;vid=01CRU&amp;lang=en_US&amp;offset=0&amp;query=any,contains,991003969819702656","Catalog Record")</f>
        <v/>
      </c>
      <c r="AT1140">
        <f>HYPERLINK("http://www.worldcat.org/oclc/48140557","WorldCat Record")</f>
        <v/>
      </c>
      <c r="AU1140" t="inlineStr">
        <is>
          <t>802224816:eng</t>
        </is>
      </c>
      <c r="AV1140" t="inlineStr">
        <is>
          <t>48140557</t>
        </is>
      </c>
      <c r="AW1140" t="inlineStr">
        <is>
          <t>991003969819702656</t>
        </is>
      </c>
      <c r="AX1140" t="inlineStr">
        <is>
          <t>991003969819702656</t>
        </is>
      </c>
      <c r="AY1140" t="inlineStr">
        <is>
          <t>2269952610002656</t>
        </is>
      </c>
      <c r="AZ1140" t="inlineStr">
        <is>
          <t>BOOK</t>
        </is>
      </c>
      <c r="BB1140" t="inlineStr">
        <is>
          <t>9780415180047</t>
        </is>
      </c>
      <c r="BC1140" t="inlineStr">
        <is>
          <t>32285004681135</t>
        </is>
      </c>
      <c r="BD1140" t="inlineStr">
        <is>
          <t>893417058</t>
        </is>
      </c>
    </row>
    <row r="1141">
      <c r="A1141" t="inlineStr">
        <is>
          <t>No</t>
        </is>
      </c>
      <c r="B1141" t="inlineStr">
        <is>
          <t>GT507 .C8 1960a</t>
        </is>
      </c>
      <c r="C1141" t="inlineStr">
        <is>
          <t>0                      GT 0507000C  8           1960a</t>
        </is>
      </c>
      <c r="D1141" t="inlineStr">
        <is>
          <t>A dictionary of English costume / by C. Willett Cunnington, Phillis Cunnington, and Charles Beard. Illus. by Cecil Everitt and Phillis Cunnington.</t>
        </is>
      </c>
      <c r="F1141" t="inlineStr">
        <is>
          <t>No</t>
        </is>
      </c>
      <c r="G1141" t="inlineStr">
        <is>
          <t>1</t>
        </is>
      </c>
      <c r="H1141" t="inlineStr">
        <is>
          <t>No</t>
        </is>
      </c>
      <c r="I1141" t="inlineStr">
        <is>
          <t>No</t>
        </is>
      </c>
      <c r="J1141" t="inlineStr">
        <is>
          <t>0</t>
        </is>
      </c>
      <c r="K1141" t="inlineStr">
        <is>
          <t>Cunnington, C. Willett (Cecil Willett), 1878-1961.</t>
        </is>
      </c>
      <c r="L1141" t="inlineStr">
        <is>
          <t>London : A. &amp; C. Black, [1960]</t>
        </is>
      </c>
      <c r="M1141" t="inlineStr">
        <is>
          <t>1960</t>
        </is>
      </c>
      <c r="O1141" t="inlineStr">
        <is>
          <t>eng</t>
        </is>
      </c>
      <c r="P1141" t="inlineStr">
        <is>
          <t>enk</t>
        </is>
      </c>
      <c r="R1141" t="inlineStr">
        <is>
          <t xml:space="preserve">GT </t>
        </is>
      </c>
      <c r="S1141" t="n">
        <v>8</v>
      </c>
      <c r="T1141" t="n">
        <v>8</v>
      </c>
      <c r="U1141" t="inlineStr">
        <is>
          <t>2002-02-19</t>
        </is>
      </c>
      <c r="V1141" t="inlineStr">
        <is>
          <t>2002-02-19</t>
        </is>
      </c>
      <c r="W1141" t="inlineStr">
        <is>
          <t>1993-12-06</t>
        </is>
      </c>
      <c r="X1141" t="inlineStr">
        <is>
          <t>1993-12-06</t>
        </is>
      </c>
      <c r="Y1141" t="n">
        <v>519</v>
      </c>
      <c r="Z1141" t="n">
        <v>374</v>
      </c>
      <c r="AA1141" t="n">
        <v>672</v>
      </c>
      <c r="AB1141" t="n">
        <v>2</v>
      </c>
      <c r="AC1141" t="n">
        <v>3</v>
      </c>
      <c r="AD1141" t="n">
        <v>12</v>
      </c>
      <c r="AE1141" t="n">
        <v>18</v>
      </c>
      <c r="AF1141" t="n">
        <v>5</v>
      </c>
      <c r="AG1141" t="n">
        <v>7</v>
      </c>
      <c r="AH1141" t="n">
        <v>3</v>
      </c>
      <c r="AI1141" t="n">
        <v>3</v>
      </c>
      <c r="AJ1141" t="n">
        <v>5</v>
      </c>
      <c r="AK1141" t="n">
        <v>8</v>
      </c>
      <c r="AL1141" t="n">
        <v>1</v>
      </c>
      <c r="AM1141" t="n">
        <v>2</v>
      </c>
      <c r="AN1141" t="n">
        <v>0</v>
      </c>
      <c r="AO1141" t="n">
        <v>0</v>
      </c>
      <c r="AP1141" t="inlineStr">
        <is>
          <t>No</t>
        </is>
      </c>
      <c r="AQ1141" t="inlineStr">
        <is>
          <t>Yes</t>
        </is>
      </c>
      <c r="AR1141">
        <f>HYPERLINK("http://catalog.hathitrust.org/Record/001287093","HathiTrust Record")</f>
        <v/>
      </c>
      <c r="AS1141">
        <f>HYPERLINK("https://creighton-primo.hosted.exlibrisgroup.com/primo-explore/search?tab=default_tab&amp;search_scope=EVERYTHING&amp;vid=01CRU&amp;lang=en_US&amp;offset=0&amp;query=any,contains,991002485079702656","Catalog Record")</f>
        <v/>
      </c>
      <c r="AT1141">
        <f>HYPERLINK("http://www.worldcat.org/oclc/360727","WorldCat Record")</f>
        <v/>
      </c>
      <c r="AU1141" t="inlineStr">
        <is>
          <t>349145397:eng</t>
        </is>
      </c>
      <c r="AV1141" t="inlineStr">
        <is>
          <t>360727</t>
        </is>
      </c>
      <c r="AW1141" t="inlineStr">
        <is>
          <t>991002485079702656</t>
        </is>
      </c>
      <c r="AX1141" t="inlineStr">
        <is>
          <t>991002485079702656</t>
        </is>
      </c>
      <c r="AY1141" t="inlineStr">
        <is>
          <t>2263697220002656</t>
        </is>
      </c>
      <c r="AZ1141" t="inlineStr">
        <is>
          <t>BOOK</t>
        </is>
      </c>
      <c r="BC1141" t="inlineStr">
        <is>
          <t>32285001805844</t>
        </is>
      </c>
      <c r="BD1141" t="inlineStr">
        <is>
          <t>893798654</t>
        </is>
      </c>
    </row>
    <row r="1142">
      <c r="A1142" t="inlineStr">
        <is>
          <t>No</t>
        </is>
      </c>
      <c r="B1142" t="inlineStr">
        <is>
          <t>GT513 .C8 1964</t>
        </is>
      </c>
      <c r="C1142" t="inlineStr">
        <is>
          <t>0                      GT 0513000C  8           1964</t>
        </is>
      </c>
      <c r="D1142" t="inlineStr">
        <is>
          <t>Costume in pictures.</t>
        </is>
      </c>
      <c r="F1142" t="inlineStr">
        <is>
          <t>No</t>
        </is>
      </c>
      <c r="G1142" t="inlineStr">
        <is>
          <t>1</t>
        </is>
      </c>
      <c r="H1142" t="inlineStr">
        <is>
          <t>No</t>
        </is>
      </c>
      <c r="I1142" t="inlineStr">
        <is>
          <t>No</t>
        </is>
      </c>
      <c r="J1142" t="inlineStr">
        <is>
          <t>0</t>
        </is>
      </c>
      <c r="K1142" t="inlineStr">
        <is>
          <t>Cunnington, Phillis, 1887-1974.</t>
        </is>
      </c>
      <c r="L1142" t="inlineStr">
        <is>
          <t>[London : Studio Vista ; New York : Dutton, 1964]</t>
        </is>
      </c>
      <c r="M1142" t="inlineStr">
        <is>
          <t>1964</t>
        </is>
      </c>
      <c r="O1142" t="inlineStr">
        <is>
          <t>eng</t>
        </is>
      </c>
      <c r="P1142" t="inlineStr">
        <is>
          <t xml:space="preserve">xx </t>
        </is>
      </c>
      <c r="Q1142" t="inlineStr">
        <is>
          <t>A Dutton Vista pictureback, 1</t>
        </is>
      </c>
      <c r="R1142" t="inlineStr">
        <is>
          <t xml:space="preserve">GT </t>
        </is>
      </c>
      <c r="S1142" t="n">
        <v>10</v>
      </c>
      <c r="T1142" t="n">
        <v>10</v>
      </c>
      <c r="U1142" t="inlineStr">
        <is>
          <t>2000-04-04</t>
        </is>
      </c>
      <c r="V1142" t="inlineStr">
        <is>
          <t>2000-04-04</t>
        </is>
      </c>
      <c r="W1142" t="inlineStr">
        <is>
          <t>1992-04-30</t>
        </is>
      </c>
      <c r="X1142" t="inlineStr">
        <is>
          <t>1992-04-30</t>
        </is>
      </c>
      <c r="Y1142" t="n">
        <v>378</v>
      </c>
      <c r="Z1142" t="n">
        <v>292</v>
      </c>
      <c r="AA1142" t="n">
        <v>473</v>
      </c>
      <c r="AB1142" t="n">
        <v>2</v>
      </c>
      <c r="AC1142" t="n">
        <v>2</v>
      </c>
      <c r="AD1142" t="n">
        <v>6</v>
      </c>
      <c r="AE1142" t="n">
        <v>15</v>
      </c>
      <c r="AF1142" t="n">
        <v>1</v>
      </c>
      <c r="AG1142" t="n">
        <v>5</v>
      </c>
      <c r="AH1142" t="n">
        <v>1</v>
      </c>
      <c r="AI1142" t="n">
        <v>2</v>
      </c>
      <c r="AJ1142" t="n">
        <v>3</v>
      </c>
      <c r="AK1142" t="n">
        <v>8</v>
      </c>
      <c r="AL1142" t="n">
        <v>1</v>
      </c>
      <c r="AM1142" t="n">
        <v>1</v>
      </c>
      <c r="AN1142" t="n">
        <v>0</v>
      </c>
      <c r="AO1142" t="n">
        <v>0</v>
      </c>
      <c r="AP1142" t="inlineStr">
        <is>
          <t>No</t>
        </is>
      </c>
      <c r="AQ1142" t="inlineStr">
        <is>
          <t>Yes</t>
        </is>
      </c>
      <c r="AR1142">
        <f>HYPERLINK("http://catalog.hathitrust.org/Record/007286434","HathiTrust Record")</f>
        <v/>
      </c>
      <c r="AS1142">
        <f>HYPERLINK("https://creighton-primo.hosted.exlibrisgroup.com/primo-explore/search?tab=default_tab&amp;search_scope=EVERYTHING&amp;vid=01CRU&amp;lang=en_US&amp;offset=0&amp;query=any,contains,991002812749702656","Catalog Record")</f>
        <v/>
      </c>
      <c r="AT1142">
        <f>HYPERLINK("http://www.worldcat.org/oclc/456636","WorldCat Record")</f>
        <v/>
      </c>
      <c r="AU1142" t="inlineStr">
        <is>
          <t>765885853:eng</t>
        </is>
      </c>
      <c r="AV1142" t="inlineStr">
        <is>
          <t>456636</t>
        </is>
      </c>
      <c r="AW1142" t="inlineStr">
        <is>
          <t>991002812749702656</t>
        </is>
      </c>
      <c r="AX1142" t="inlineStr">
        <is>
          <t>991002812749702656</t>
        </is>
      </c>
      <c r="AY1142" t="inlineStr">
        <is>
          <t>2260865050002656</t>
        </is>
      </c>
      <c r="AZ1142" t="inlineStr">
        <is>
          <t>BOOK</t>
        </is>
      </c>
      <c r="BC1142" t="inlineStr">
        <is>
          <t>32285001090280</t>
        </is>
      </c>
      <c r="BD1142" t="inlineStr">
        <is>
          <t>893428075</t>
        </is>
      </c>
    </row>
    <row r="1143">
      <c r="A1143" t="inlineStr">
        <is>
          <t>No</t>
        </is>
      </c>
      <c r="B1143" t="inlineStr">
        <is>
          <t>GT513 .D38 V.2</t>
        </is>
      </c>
      <c r="C1143" t="inlineStr">
        <is>
          <t>0                      GT 0513000D  38                                                      V.2</t>
        </is>
      </c>
      <c r="D1143" t="inlineStr">
        <is>
          <t>The book of costume.</t>
        </is>
      </c>
      <c r="E1143" t="inlineStr">
        <is>
          <t>V.2*</t>
        </is>
      </c>
      <c r="F1143" t="inlineStr">
        <is>
          <t>Yes</t>
        </is>
      </c>
      <c r="G1143" t="inlineStr">
        <is>
          <t>1</t>
        </is>
      </c>
      <c r="H1143" t="inlineStr">
        <is>
          <t>No</t>
        </is>
      </c>
      <c r="I1143" t="inlineStr">
        <is>
          <t>No</t>
        </is>
      </c>
      <c r="J1143" t="inlineStr">
        <is>
          <t>0</t>
        </is>
      </c>
      <c r="K1143" t="inlineStr">
        <is>
          <t>Davenport, Millia.</t>
        </is>
      </c>
      <c r="L1143" t="inlineStr">
        <is>
          <t>New York : Crown Publishers, [1948]</t>
        </is>
      </c>
      <c r="M1143" t="inlineStr">
        <is>
          <t>1948</t>
        </is>
      </c>
      <c r="O1143" t="inlineStr">
        <is>
          <t>eng</t>
        </is>
      </c>
      <c r="P1143" t="inlineStr">
        <is>
          <t>nyu</t>
        </is>
      </c>
      <c r="R1143" t="inlineStr">
        <is>
          <t xml:space="preserve">GT </t>
        </is>
      </c>
      <c r="S1143" t="n">
        <v>10</v>
      </c>
      <c r="T1143" t="n">
        <v>25</v>
      </c>
      <c r="U1143" t="inlineStr">
        <is>
          <t>1996-12-09</t>
        </is>
      </c>
      <c r="V1143" t="inlineStr">
        <is>
          <t>2000-02-10</t>
        </is>
      </c>
      <c r="W1143" t="inlineStr">
        <is>
          <t>1992-04-30</t>
        </is>
      </c>
      <c r="X1143" t="inlineStr">
        <is>
          <t>1993-10-26</t>
        </is>
      </c>
      <c r="Y1143" t="n">
        <v>1852</v>
      </c>
      <c r="Z1143" t="n">
        <v>1706</v>
      </c>
      <c r="AA1143" t="n">
        <v>1871</v>
      </c>
      <c r="AB1143" t="n">
        <v>14</v>
      </c>
      <c r="AC1143" t="n">
        <v>15</v>
      </c>
      <c r="AD1143" t="n">
        <v>41</v>
      </c>
      <c r="AE1143" t="n">
        <v>44</v>
      </c>
      <c r="AF1143" t="n">
        <v>20</v>
      </c>
      <c r="AG1143" t="n">
        <v>22</v>
      </c>
      <c r="AH1143" t="n">
        <v>7</v>
      </c>
      <c r="AI1143" t="n">
        <v>8</v>
      </c>
      <c r="AJ1143" t="n">
        <v>15</v>
      </c>
      <c r="AK1143" t="n">
        <v>18</v>
      </c>
      <c r="AL1143" t="n">
        <v>7</v>
      </c>
      <c r="AM1143" t="n">
        <v>7</v>
      </c>
      <c r="AN1143" t="n">
        <v>0</v>
      </c>
      <c r="AO1143" t="n">
        <v>0</v>
      </c>
      <c r="AP1143" t="inlineStr">
        <is>
          <t>No</t>
        </is>
      </c>
      <c r="AQ1143" t="inlineStr">
        <is>
          <t>Yes</t>
        </is>
      </c>
      <c r="AR1143">
        <f>HYPERLINK("http://catalog.hathitrust.org/Record/001277387","HathiTrust Record")</f>
        <v/>
      </c>
      <c r="AS1143">
        <f>HYPERLINK("https://creighton-primo.hosted.exlibrisgroup.com/primo-explore/search?tab=default_tab&amp;search_scope=EVERYTHING&amp;vid=01CRU&amp;lang=en_US&amp;offset=0&amp;query=any,contains,991001178439702656","Catalog Record")</f>
        <v/>
      </c>
      <c r="AT1143">
        <f>HYPERLINK("http://www.worldcat.org/oclc/189398","WorldCat Record")</f>
        <v/>
      </c>
      <c r="AU1143" t="inlineStr">
        <is>
          <t>4417596841:eng</t>
        </is>
      </c>
      <c r="AV1143" t="inlineStr">
        <is>
          <t>189398</t>
        </is>
      </c>
      <c r="AW1143" t="inlineStr">
        <is>
          <t>991001178439702656</t>
        </is>
      </c>
      <c r="AX1143" t="inlineStr">
        <is>
          <t>991001178439702656</t>
        </is>
      </c>
      <c r="AY1143" t="inlineStr">
        <is>
          <t>2268164610002656</t>
        </is>
      </c>
      <c r="AZ1143" t="inlineStr">
        <is>
          <t>BOOK</t>
        </is>
      </c>
      <c r="BC1143" t="inlineStr">
        <is>
          <t>32285001090272</t>
        </is>
      </c>
      <c r="BD1143" t="inlineStr">
        <is>
          <t>893496889</t>
        </is>
      </c>
    </row>
    <row r="1144">
      <c r="A1144" t="inlineStr">
        <is>
          <t>No</t>
        </is>
      </c>
      <c r="B1144" t="inlineStr">
        <is>
          <t>GT523 .P76 2004</t>
        </is>
      </c>
      <c r="C1144" t="inlineStr">
        <is>
          <t>0                      GT 0523000P  76          2004</t>
        </is>
      </c>
      <c r="D1144" t="inlineStr">
        <is>
          <t>Progetto : memorie sottratte al tempo : moda, arte, design, cinema, fotografia 1960- 1980 / a cura di Diora Fraglica.</t>
        </is>
      </c>
      <c r="F1144" t="inlineStr">
        <is>
          <t>No</t>
        </is>
      </c>
      <c r="G1144" t="inlineStr">
        <is>
          <t>1</t>
        </is>
      </c>
      <c r="H1144" t="inlineStr">
        <is>
          <t>No</t>
        </is>
      </c>
      <c r="I1144" t="inlineStr">
        <is>
          <t>No</t>
        </is>
      </c>
      <c r="J1144" t="inlineStr">
        <is>
          <t>0</t>
        </is>
      </c>
      <c r="L1144" t="inlineStr">
        <is>
          <t>Milano : Electa, c2004.</t>
        </is>
      </c>
      <c r="M1144" t="inlineStr">
        <is>
          <t>2004</t>
        </is>
      </c>
      <c r="O1144" t="inlineStr">
        <is>
          <t>ita</t>
        </is>
      </c>
      <c r="P1144" t="inlineStr">
        <is>
          <t xml:space="preserve">it </t>
        </is>
      </c>
      <c r="R1144" t="inlineStr">
        <is>
          <t xml:space="preserve">GT </t>
        </is>
      </c>
      <c r="S1144" t="n">
        <v>2</v>
      </c>
      <c r="T1144" t="n">
        <v>2</v>
      </c>
      <c r="U1144" t="inlineStr">
        <is>
          <t>2006-01-27</t>
        </is>
      </c>
      <c r="V1144" t="inlineStr">
        <is>
          <t>2006-01-27</t>
        </is>
      </c>
      <c r="W1144" t="inlineStr">
        <is>
          <t>2005-11-30</t>
        </is>
      </c>
      <c r="X1144" t="inlineStr">
        <is>
          <t>2005-11-30</t>
        </is>
      </c>
      <c r="Y1144" t="n">
        <v>6</v>
      </c>
      <c r="Z1144" t="n">
        <v>4</v>
      </c>
      <c r="AA1144" t="n">
        <v>4</v>
      </c>
      <c r="AB1144" t="n">
        <v>1</v>
      </c>
      <c r="AC1144" t="n">
        <v>1</v>
      </c>
      <c r="AD1144" t="n">
        <v>0</v>
      </c>
      <c r="AE1144" t="n">
        <v>0</v>
      </c>
      <c r="AF1144" t="n">
        <v>0</v>
      </c>
      <c r="AG1144" t="n">
        <v>0</v>
      </c>
      <c r="AH1144" t="n">
        <v>0</v>
      </c>
      <c r="AI1144" t="n">
        <v>0</v>
      </c>
      <c r="AJ1144" t="n">
        <v>0</v>
      </c>
      <c r="AK1144" t="n">
        <v>0</v>
      </c>
      <c r="AL1144" t="n">
        <v>0</v>
      </c>
      <c r="AM1144" t="n">
        <v>0</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HYPERLINK("https://creighton-primo.hosted.exlibrisgroup.com/primo-explore/search?tab=default_tab&amp;search_scope=EVERYTHING&amp;vid=01CRU&amp;lang=en_US&amp;offset=0&amp;query=any,contains,991004674889702656","Catalog Record")</f>
        <v/>
      </c>
      <c r="AT1144">
        <f>HYPERLINK("http://www.worldcat.org/oclc/57075403","WorldCat Record")</f>
        <v/>
      </c>
      <c r="AU1144" t="inlineStr">
        <is>
          <t>324531:ita</t>
        </is>
      </c>
      <c r="AV1144" t="inlineStr">
        <is>
          <t>57075403</t>
        </is>
      </c>
      <c r="AW1144" t="inlineStr">
        <is>
          <t>991004674889702656</t>
        </is>
      </c>
      <c r="AX1144" t="inlineStr">
        <is>
          <t>991004674889702656</t>
        </is>
      </c>
      <c r="AY1144" t="inlineStr">
        <is>
          <t>2266209130002656</t>
        </is>
      </c>
      <c r="AZ1144" t="inlineStr">
        <is>
          <t>BOOK</t>
        </is>
      </c>
      <c r="BB1144" t="inlineStr">
        <is>
          <t>9788837033200</t>
        </is>
      </c>
      <c r="BC1144" t="inlineStr">
        <is>
          <t>32285005149926</t>
        </is>
      </c>
      <c r="BD1144" t="inlineStr">
        <is>
          <t>893606326</t>
        </is>
      </c>
    </row>
    <row r="1145">
      <c r="A1145" t="inlineStr">
        <is>
          <t>No</t>
        </is>
      </c>
      <c r="B1145" t="inlineStr">
        <is>
          <t>GT525 .M39 2004</t>
        </is>
      </c>
      <c r="C1145" t="inlineStr">
        <is>
          <t>0                      GT 0525000M  39          2004</t>
        </is>
      </c>
      <c r="D1145" t="inlineStr">
        <is>
          <t>Dress and globalisation / Margaret Maynard.</t>
        </is>
      </c>
      <c r="F1145" t="inlineStr">
        <is>
          <t>No</t>
        </is>
      </c>
      <c r="G1145" t="inlineStr">
        <is>
          <t>1</t>
        </is>
      </c>
      <c r="H1145" t="inlineStr">
        <is>
          <t>No</t>
        </is>
      </c>
      <c r="I1145" t="inlineStr">
        <is>
          <t>No</t>
        </is>
      </c>
      <c r="J1145" t="inlineStr">
        <is>
          <t>0</t>
        </is>
      </c>
      <c r="K1145" t="inlineStr">
        <is>
          <t>Maynard, Margaret.</t>
        </is>
      </c>
      <c r="L1145" t="inlineStr">
        <is>
          <t>Manchester ; New York : Manchester University Press ; New York : Distributed exclusively in the USA by Palgrave, 2004.</t>
        </is>
      </c>
      <c r="M1145" t="inlineStr">
        <is>
          <t>2004</t>
        </is>
      </c>
      <c r="O1145" t="inlineStr">
        <is>
          <t>eng</t>
        </is>
      </c>
      <c r="P1145" t="inlineStr">
        <is>
          <t>enk</t>
        </is>
      </c>
      <c r="Q1145" t="inlineStr">
        <is>
          <t>Studies in design</t>
        </is>
      </c>
      <c r="R1145" t="inlineStr">
        <is>
          <t xml:space="preserve">GT </t>
        </is>
      </c>
      <c r="S1145" t="n">
        <v>3</v>
      </c>
      <c r="T1145" t="n">
        <v>3</v>
      </c>
      <c r="U1145" t="inlineStr">
        <is>
          <t>2007-04-19</t>
        </is>
      </c>
      <c r="V1145" t="inlineStr">
        <is>
          <t>2007-04-19</t>
        </is>
      </c>
      <c r="W1145" t="inlineStr">
        <is>
          <t>2005-10-06</t>
        </is>
      </c>
      <c r="X1145" t="inlineStr">
        <is>
          <t>2005-10-06</t>
        </is>
      </c>
      <c r="Y1145" t="n">
        <v>551</v>
      </c>
      <c r="Z1145" t="n">
        <v>414</v>
      </c>
      <c r="AA1145" t="n">
        <v>415</v>
      </c>
      <c r="AB1145" t="n">
        <v>3</v>
      </c>
      <c r="AC1145" t="n">
        <v>3</v>
      </c>
      <c r="AD1145" t="n">
        <v>19</v>
      </c>
      <c r="AE1145" t="n">
        <v>19</v>
      </c>
      <c r="AF1145" t="n">
        <v>10</v>
      </c>
      <c r="AG1145" t="n">
        <v>10</v>
      </c>
      <c r="AH1145" t="n">
        <v>3</v>
      </c>
      <c r="AI1145" t="n">
        <v>3</v>
      </c>
      <c r="AJ1145" t="n">
        <v>8</v>
      </c>
      <c r="AK1145" t="n">
        <v>8</v>
      </c>
      <c r="AL1145" t="n">
        <v>2</v>
      </c>
      <c r="AM1145" t="n">
        <v>2</v>
      </c>
      <c r="AN1145" t="n">
        <v>0</v>
      </c>
      <c r="AO1145" t="n">
        <v>0</v>
      </c>
      <c r="AP1145" t="inlineStr">
        <is>
          <t>No</t>
        </is>
      </c>
      <c r="AQ1145" t="inlineStr">
        <is>
          <t>Yes</t>
        </is>
      </c>
      <c r="AR1145">
        <f>HYPERLINK("http://catalog.hathitrust.org/Record/004740163","HathiTrust Record")</f>
        <v/>
      </c>
      <c r="AS1145">
        <f>HYPERLINK("https://creighton-primo.hosted.exlibrisgroup.com/primo-explore/search?tab=default_tab&amp;search_scope=EVERYTHING&amp;vid=01CRU&amp;lang=en_US&amp;offset=0&amp;query=any,contains,991004644979702656","Catalog Record")</f>
        <v/>
      </c>
      <c r="AT1145">
        <f>HYPERLINK("http://www.worldcat.org/oclc/55639228","WorldCat Record")</f>
        <v/>
      </c>
      <c r="AU1145" t="inlineStr">
        <is>
          <t>618496:eng</t>
        </is>
      </c>
      <c r="AV1145" t="inlineStr">
        <is>
          <t>55639228</t>
        </is>
      </c>
      <c r="AW1145" t="inlineStr">
        <is>
          <t>991004644979702656</t>
        </is>
      </c>
      <c r="AX1145" t="inlineStr">
        <is>
          <t>991004644979702656</t>
        </is>
      </c>
      <c r="AY1145" t="inlineStr">
        <is>
          <t>2271764950002656</t>
        </is>
      </c>
      <c r="AZ1145" t="inlineStr">
        <is>
          <t>BOOK</t>
        </is>
      </c>
      <c r="BB1145" t="inlineStr">
        <is>
          <t>9780719063886</t>
        </is>
      </c>
      <c r="BC1145" t="inlineStr">
        <is>
          <t>32285005088462</t>
        </is>
      </c>
      <c r="BD1145" t="inlineStr">
        <is>
          <t>893882702</t>
        </is>
      </c>
    </row>
    <row r="1146">
      <c r="A1146" t="inlineStr">
        <is>
          <t>No</t>
        </is>
      </c>
      <c r="B1146" t="inlineStr">
        <is>
          <t>GT550 .G8 1970</t>
        </is>
      </c>
      <c r="C1146" t="inlineStr">
        <is>
          <t>0                      GT 0550000G  8           1970</t>
        </is>
      </c>
      <c r="D1146" t="inlineStr">
        <is>
          <t>The thread of Ariadne : a study of ancient Greek dress / by Elsa Gullberg and Paul Åström.</t>
        </is>
      </c>
      <c r="F1146" t="inlineStr">
        <is>
          <t>No</t>
        </is>
      </c>
      <c r="G1146" t="inlineStr">
        <is>
          <t>1</t>
        </is>
      </c>
      <c r="H1146" t="inlineStr">
        <is>
          <t>No</t>
        </is>
      </c>
      <c r="I1146" t="inlineStr">
        <is>
          <t>No</t>
        </is>
      </c>
      <c r="J1146" t="inlineStr">
        <is>
          <t>0</t>
        </is>
      </c>
      <c r="K1146" t="inlineStr">
        <is>
          <t>Gullberg, Elsa.</t>
        </is>
      </c>
      <c r="L1146" t="inlineStr">
        <is>
          <t>Göteborg : P. Åström, (S. Vägen 61), 1970.</t>
        </is>
      </c>
      <c r="M1146" t="inlineStr">
        <is>
          <t>1970</t>
        </is>
      </c>
      <c r="O1146" t="inlineStr">
        <is>
          <t>eng</t>
        </is>
      </c>
      <c r="P1146" t="inlineStr">
        <is>
          <t xml:space="preserve">sw </t>
        </is>
      </c>
      <c r="Q1146" t="inlineStr">
        <is>
          <t>Studies in Mediterranean archaeology ; v. 21</t>
        </is>
      </c>
      <c r="R1146" t="inlineStr">
        <is>
          <t xml:space="preserve">GT </t>
        </is>
      </c>
      <c r="S1146" t="n">
        <v>2</v>
      </c>
      <c r="T1146" t="n">
        <v>2</v>
      </c>
      <c r="U1146" t="inlineStr">
        <is>
          <t>1997-09-19</t>
        </is>
      </c>
      <c r="V1146" t="inlineStr">
        <is>
          <t>1997-09-19</t>
        </is>
      </c>
      <c r="W1146" t="inlineStr">
        <is>
          <t>1997-05-19</t>
        </is>
      </c>
      <c r="X1146" t="inlineStr">
        <is>
          <t>1997-05-19</t>
        </is>
      </c>
      <c r="Y1146" t="n">
        <v>233</v>
      </c>
      <c r="Z1146" t="n">
        <v>146</v>
      </c>
      <c r="AA1146" t="n">
        <v>148</v>
      </c>
      <c r="AB1146" t="n">
        <v>1</v>
      </c>
      <c r="AC1146" t="n">
        <v>1</v>
      </c>
      <c r="AD1146" t="n">
        <v>7</v>
      </c>
      <c r="AE1146" t="n">
        <v>7</v>
      </c>
      <c r="AF1146" t="n">
        <v>2</v>
      </c>
      <c r="AG1146" t="n">
        <v>2</v>
      </c>
      <c r="AH1146" t="n">
        <v>3</v>
      </c>
      <c r="AI1146" t="n">
        <v>3</v>
      </c>
      <c r="AJ1146" t="n">
        <v>6</v>
      </c>
      <c r="AK1146" t="n">
        <v>6</v>
      </c>
      <c r="AL1146" t="n">
        <v>0</v>
      </c>
      <c r="AM1146" t="n">
        <v>0</v>
      </c>
      <c r="AN1146" t="n">
        <v>0</v>
      </c>
      <c r="AO1146" t="n">
        <v>0</v>
      </c>
      <c r="AP1146" t="inlineStr">
        <is>
          <t>No</t>
        </is>
      </c>
      <c r="AQ1146" t="inlineStr">
        <is>
          <t>Yes</t>
        </is>
      </c>
      <c r="AR1146">
        <f>HYPERLINK("http://catalog.hathitrust.org/Record/006811092","HathiTrust Record")</f>
        <v/>
      </c>
      <c r="AS1146">
        <f>HYPERLINK("https://creighton-primo.hosted.exlibrisgroup.com/primo-explore/search?tab=default_tab&amp;search_scope=EVERYTHING&amp;vid=01CRU&amp;lang=en_US&amp;offset=0&amp;query=any,contains,991000935379702656","Catalog Record")</f>
        <v/>
      </c>
      <c r="AT1146">
        <f>HYPERLINK("http://www.worldcat.org/oclc/164504","WorldCat Record")</f>
        <v/>
      </c>
      <c r="AU1146" t="inlineStr">
        <is>
          <t>197767764:eng</t>
        </is>
      </c>
      <c r="AV1146" t="inlineStr">
        <is>
          <t>164504</t>
        </is>
      </c>
      <c r="AW1146" t="inlineStr">
        <is>
          <t>991000935379702656</t>
        </is>
      </c>
      <c r="AX1146" t="inlineStr">
        <is>
          <t>991000935379702656</t>
        </is>
      </c>
      <c r="AY1146" t="inlineStr">
        <is>
          <t>2269981250002656</t>
        </is>
      </c>
      <c r="AZ1146" t="inlineStr">
        <is>
          <t>BOOK</t>
        </is>
      </c>
      <c r="BC1146" t="inlineStr">
        <is>
          <t>32285002609161</t>
        </is>
      </c>
      <c r="BD1146" t="inlineStr">
        <is>
          <t>893413814</t>
        </is>
      </c>
    </row>
    <row r="1147">
      <c r="A1147" t="inlineStr">
        <is>
          <t>No</t>
        </is>
      </c>
      <c r="B1147" t="inlineStr">
        <is>
          <t>GT595 .G62 1979</t>
        </is>
      </c>
      <c r="C1147" t="inlineStr">
        <is>
          <t>0                      GT 0595000G  62          1979</t>
        </is>
      </c>
      <c r="D1147" t="inlineStr">
        <is>
          <t>Godey costume plates in color : 24 plates printed one side only for crafts, decoupage, and framing / selected and with instructions for decoupage by Eleanor Hasbrouck Rawlings.</t>
        </is>
      </c>
      <c r="F1147" t="inlineStr">
        <is>
          <t>No</t>
        </is>
      </c>
      <c r="G1147" t="inlineStr">
        <is>
          <t>1</t>
        </is>
      </c>
      <c r="H1147" t="inlineStr">
        <is>
          <t>No</t>
        </is>
      </c>
      <c r="I1147" t="inlineStr">
        <is>
          <t>No</t>
        </is>
      </c>
      <c r="J1147" t="inlineStr">
        <is>
          <t>0</t>
        </is>
      </c>
      <c r="L1147" t="inlineStr">
        <is>
          <t>New York : Dover, c1979.</t>
        </is>
      </c>
      <c r="M1147" t="inlineStr">
        <is>
          <t>1979</t>
        </is>
      </c>
      <c r="O1147" t="inlineStr">
        <is>
          <t>eng</t>
        </is>
      </c>
      <c r="P1147" t="inlineStr">
        <is>
          <t>nyu</t>
        </is>
      </c>
      <c r="R1147" t="inlineStr">
        <is>
          <t xml:space="preserve">GT </t>
        </is>
      </c>
      <c r="S1147" t="n">
        <v>2</v>
      </c>
      <c r="T1147" t="n">
        <v>2</v>
      </c>
      <c r="U1147" t="inlineStr">
        <is>
          <t>2008-09-18</t>
        </is>
      </c>
      <c r="V1147" t="inlineStr">
        <is>
          <t>2008-09-18</t>
        </is>
      </c>
      <c r="W1147" t="inlineStr">
        <is>
          <t>1999-03-31</t>
        </is>
      </c>
      <c r="X1147" t="inlineStr">
        <is>
          <t>1999-03-31</t>
        </is>
      </c>
      <c r="Y1147" t="n">
        <v>59</v>
      </c>
      <c r="Z1147" t="n">
        <v>49</v>
      </c>
      <c r="AA1147" t="n">
        <v>50</v>
      </c>
      <c r="AB1147" t="n">
        <v>1</v>
      </c>
      <c r="AC1147" t="n">
        <v>1</v>
      </c>
      <c r="AD1147" t="n">
        <v>2</v>
      </c>
      <c r="AE1147" t="n">
        <v>2</v>
      </c>
      <c r="AF1147" t="n">
        <v>1</v>
      </c>
      <c r="AG1147" t="n">
        <v>1</v>
      </c>
      <c r="AH1147" t="n">
        <v>0</v>
      </c>
      <c r="AI1147" t="n">
        <v>0</v>
      </c>
      <c r="AJ1147" t="n">
        <v>1</v>
      </c>
      <c r="AK1147" t="n">
        <v>1</v>
      </c>
      <c r="AL1147" t="n">
        <v>0</v>
      </c>
      <c r="AM1147" t="n">
        <v>0</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HYPERLINK("https://creighton-primo.hosted.exlibrisgroup.com/primo-explore/search?tab=default_tab&amp;search_scope=EVERYTHING&amp;vid=01CRU&amp;lang=en_US&amp;offset=0&amp;query=any,contains,991001619639702656","Catalog Record")</f>
        <v/>
      </c>
      <c r="AT1147">
        <f>HYPERLINK("http://www.worldcat.org/oclc/20800982","WorldCat Record")</f>
        <v/>
      </c>
      <c r="AU1147" t="inlineStr">
        <is>
          <t>3901261303:eng</t>
        </is>
      </c>
      <c r="AV1147" t="inlineStr">
        <is>
          <t>20800982</t>
        </is>
      </c>
      <c r="AW1147" t="inlineStr">
        <is>
          <t>991001619639702656</t>
        </is>
      </c>
      <c r="AX1147" t="inlineStr">
        <is>
          <t>991001619639702656</t>
        </is>
      </c>
      <c r="AY1147" t="inlineStr">
        <is>
          <t>2255514860002656</t>
        </is>
      </c>
      <c r="AZ1147" t="inlineStr">
        <is>
          <t>BOOK</t>
        </is>
      </c>
      <c r="BB1147" t="inlineStr">
        <is>
          <t>9780486238791</t>
        </is>
      </c>
      <c r="BC1147" t="inlineStr">
        <is>
          <t>32285003548194</t>
        </is>
      </c>
      <c r="BD1147" t="inlineStr">
        <is>
          <t>893322086</t>
        </is>
      </c>
    </row>
    <row r="1148">
      <c r="A1148" t="inlineStr">
        <is>
          <t>No</t>
        </is>
      </c>
      <c r="B1148" t="inlineStr">
        <is>
          <t>GT595 .L36 1991</t>
        </is>
      </c>
      <c r="C1148" t="inlineStr">
        <is>
          <t>0                      GT 0595000L  36          1991</t>
        </is>
      </c>
      <c r="D1148" t="inlineStr">
        <is>
          <t>Fashion in photographs 1860-1880 / Miles Lambert in association with the National Portrait Gallery.</t>
        </is>
      </c>
      <c r="F1148" t="inlineStr">
        <is>
          <t>No</t>
        </is>
      </c>
      <c r="G1148" t="inlineStr">
        <is>
          <t>1</t>
        </is>
      </c>
      <c r="H1148" t="inlineStr">
        <is>
          <t>No</t>
        </is>
      </c>
      <c r="I1148" t="inlineStr">
        <is>
          <t>No</t>
        </is>
      </c>
      <c r="J1148" t="inlineStr">
        <is>
          <t>0</t>
        </is>
      </c>
      <c r="K1148" t="inlineStr">
        <is>
          <t>Lambert, Miles.</t>
        </is>
      </c>
      <c r="L1148" t="inlineStr">
        <is>
          <t>London : Batsford, 1991.</t>
        </is>
      </c>
      <c r="M1148" t="inlineStr">
        <is>
          <t>1991</t>
        </is>
      </c>
      <c r="O1148" t="inlineStr">
        <is>
          <t>eng</t>
        </is>
      </c>
      <c r="P1148" t="inlineStr">
        <is>
          <t>enk</t>
        </is>
      </c>
      <c r="R1148" t="inlineStr">
        <is>
          <t xml:space="preserve">GT </t>
        </is>
      </c>
      <c r="S1148" t="n">
        <v>5</v>
      </c>
      <c r="T1148" t="n">
        <v>5</v>
      </c>
      <c r="U1148" t="inlineStr">
        <is>
          <t>1998-09-22</t>
        </is>
      </c>
      <c r="V1148" t="inlineStr">
        <is>
          <t>1998-09-22</t>
        </is>
      </c>
      <c r="W1148" t="inlineStr">
        <is>
          <t>1997-06-09</t>
        </is>
      </c>
      <c r="X1148" t="inlineStr">
        <is>
          <t>1997-06-09</t>
        </is>
      </c>
      <c r="Y1148" t="n">
        <v>348</v>
      </c>
      <c r="Z1148" t="n">
        <v>234</v>
      </c>
      <c r="AA1148" t="n">
        <v>236</v>
      </c>
      <c r="AB1148" t="n">
        <v>5</v>
      </c>
      <c r="AC1148" t="n">
        <v>5</v>
      </c>
      <c r="AD1148" t="n">
        <v>13</v>
      </c>
      <c r="AE1148" t="n">
        <v>13</v>
      </c>
      <c r="AF1148" t="n">
        <v>3</v>
      </c>
      <c r="AG1148" t="n">
        <v>3</v>
      </c>
      <c r="AH1148" t="n">
        <v>3</v>
      </c>
      <c r="AI1148" t="n">
        <v>3</v>
      </c>
      <c r="AJ1148" t="n">
        <v>4</v>
      </c>
      <c r="AK1148" t="n">
        <v>4</v>
      </c>
      <c r="AL1148" t="n">
        <v>4</v>
      </c>
      <c r="AM1148" t="n">
        <v>4</v>
      </c>
      <c r="AN1148" t="n">
        <v>0</v>
      </c>
      <c r="AO1148" t="n">
        <v>0</v>
      </c>
      <c r="AP1148" t="inlineStr">
        <is>
          <t>No</t>
        </is>
      </c>
      <c r="AQ1148" t="inlineStr">
        <is>
          <t>Yes</t>
        </is>
      </c>
      <c r="AR1148">
        <f>HYPERLINK("http://catalog.hathitrust.org/Record/002607774","HathiTrust Record")</f>
        <v/>
      </c>
      <c r="AS1148">
        <f>HYPERLINK("https://creighton-primo.hosted.exlibrisgroup.com/primo-explore/search?tab=default_tab&amp;search_scope=EVERYTHING&amp;vid=01CRU&amp;lang=en_US&amp;offset=0&amp;query=any,contains,991002057369702656","Catalog Record")</f>
        <v/>
      </c>
      <c r="AT1148">
        <f>HYPERLINK("http://www.worldcat.org/oclc/26307472","WorldCat Record")</f>
        <v/>
      </c>
      <c r="AU1148" t="inlineStr">
        <is>
          <t>28669071:eng</t>
        </is>
      </c>
      <c r="AV1148" t="inlineStr">
        <is>
          <t>26307472</t>
        </is>
      </c>
      <c r="AW1148" t="inlineStr">
        <is>
          <t>991002057369702656</t>
        </is>
      </c>
      <c r="AX1148" t="inlineStr">
        <is>
          <t>991002057369702656</t>
        </is>
      </c>
      <c r="AY1148" t="inlineStr">
        <is>
          <t>2264925810002656</t>
        </is>
      </c>
      <c r="AZ1148" t="inlineStr">
        <is>
          <t>BOOK</t>
        </is>
      </c>
      <c r="BB1148" t="inlineStr">
        <is>
          <t>9780713463927</t>
        </is>
      </c>
      <c r="BC1148" t="inlineStr">
        <is>
          <t>32285002750759</t>
        </is>
      </c>
      <c r="BD1148" t="inlineStr">
        <is>
          <t>893244711</t>
        </is>
      </c>
    </row>
    <row r="1149">
      <c r="A1149" t="inlineStr">
        <is>
          <t>No</t>
        </is>
      </c>
      <c r="B1149" t="inlineStr">
        <is>
          <t>GT596 .C66 1990</t>
        </is>
      </c>
      <c r="C1149" t="inlineStr">
        <is>
          <t>0                      GT 0596000C  66          1990</t>
        </is>
      </c>
      <c r="D1149" t="inlineStr">
        <is>
          <t>Fashions of a decade. The 1960s / Yvonne Connikie ; series editors: Valerie Cumming and ELane Feldman ; original illustrations by Robert Price.</t>
        </is>
      </c>
      <c r="F1149" t="inlineStr">
        <is>
          <t>No</t>
        </is>
      </c>
      <c r="G1149" t="inlineStr">
        <is>
          <t>1</t>
        </is>
      </c>
      <c r="H1149" t="inlineStr">
        <is>
          <t>No</t>
        </is>
      </c>
      <c r="I1149" t="inlineStr">
        <is>
          <t>No</t>
        </is>
      </c>
      <c r="J1149" t="inlineStr">
        <is>
          <t>0</t>
        </is>
      </c>
      <c r="K1149" t="inlineStr">
        <is>
          <t>Connikie, Yvonne.</t>
        </is>
      </c>
      <c r="L1149" t="inlineStr">
        <is>
          <t>New York : Facts on File, c1990.</t>
        </is>
      </c>
      <c r="M1149" t="inlineStr">
        <is>
          <t>1990</t>
        </is>
      </c>
      <c r="O1149" t="inlineStr">
        <is>
          <t>eng</t>
        </is>
      </c>
      <c r="P1149" t="inlineStr">
        <is>
          <t>nyu</t>
        </is>
      </c>
      <c r="R1149" t="inlineStr">
        <is>
          <t xml:space="preserve">GT </t>
        </is>
      </c>
      <c r="S1149" t="n">
        <v>12</v>
      </c>
      <c r="T1149" t="n">
        <v>12</v>
      </c>
      <c r="U1149" t="inlineStr">
        <is>
          <t>2001-10-28</t>
        </is>
      </c>
      <c r="V1149" t="inlineStr">
        <is>
          <t>2001-10-28</t>
        </is>
      </c>
      <c r="W1149" t="inlineStr">
        <is>
          <t>1997-06-03</t>
        </is>
      </c>
      <c r="X1149" t="inlineStr">
        <is>
          <t>1997-06-03</t>
        </is>
      </c>
      <c r="Y1149" t="n">
        <v>1218</v>
      </c>
      <c r="Z1149" t="n">
        <v>1156</v>
      </c>
      <c r="AA1149" t="n">
        <v>1410</v>
      </c>
      <c r="AB1149" t="n">
        <v>8</v>
      </c>
      <c r="AC1149" t="n">
        <v>10</v>
      </c>
      <c r="AD1149" t="n">
        <v>8</v>
      </c>
      <c r="AE1149" t="n">
        <v>8</v>
      </c>
      <c r="AF1149" t="n">
        <v>5</v>
      </c>
      <c r="AG1149" t="n">
        <v>5</v>
      </c>
      <c r="AH1149" t="n">
        <v>1</v>
      </c>
      <c r="AI1149" t="n">
        <v>1</v>
      </c>
      <c r="AJ1149" t="n">
        <v>1</v>
      </c>
      <c r="AK1149" t="n">
        <v>1</v>
      </c>
      <c r="AL1149" t="n">
        <v>2</v>
      </c>
      <c r="AM1149" t="n">
        <v>2</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HYPERLINK("https://creighton-primo.hosted.exlibrisgroup.com/primo-explore/search?tab=default_tab&amp;search_scope=EVERYTHING&amp;vid=01CRU&amp;lang=en_US&amp;offset=0&amp;query=any,contains,991001672749702656","Catalog Record")</f>
        <v/>
      </c>
      <c r="AT1149">
        <f>HYPERLINK("http://www.worldcat.org/oclc/21299478","WorldCat Record")</f>
        <v/>
      </c>
      <c r="AU1149" t="inlineStr">
        <is>
          <t>3944989871:eng</t>
        </is>
      </c>
      <c r="AV1149" t="inlineStr">
        <is>
          <t>21299478</t>
        </is>
      </c>
      <c r="AW1149" t="inlineStr">
        <is>
          <t>991001672749702656</t>
        </is>
      </c>
      <c r="AX1149" t="inlineStr">
        <is>
          <t>991001672749702656</t>
        </is>
      </c>
      <c r="AY1149" t="inlineStr">
        <is>
          <t>2261449950002656</t>
        </is>
      </c>
      <c r="AZ1149" t="inlineStr">
        <is>
          <t>BOOK</t>
        </is>
      </c>
      <c r="BB1149" t="inlineStr">
        <is>
          <t>9780816024698</t>
        </is>
      </c>
      <c r="BC1149" t="inlineStr">
        <is>
          <t>32285002613965</t>
        </is>
      </c>
      <c r="BD1149" t="inlineStr">
        <is>
          <t>893684517</t>
        </is>
      </c>
    </row>
    <row r="1150">
      <c r="A1150" t="inlineStr">
        <is>
          <t>No</t>
        </is>
      </c>
      <c r="B1150" t="inlineStr">
        <is>
          <t>GT596 .C67 1992</t>
        </is>
      </c>
      <c r="C1150" t="inlineStr">
        <is>
          <t>0                      GT 0596000C  67          1992</t>
        </is>
      </c>
      <c r="D1150" t="inlineStr">
        <is>
          <t>Fashions of a decade. The 1930s / Maria Costantino ; series editors: Valerie Cumming and Elane Feldman ; original illustrations by Robert Price.</t>
        </is>
      </c>
      <c r="F1150" t="inlineStr">
        <is>
          <t>No</t>
        </is>
      </c>
      <c r="G1150" t="inlineStr">
        <is>
          <t>1</t>
        </is>
      </c>
      <c r="H1150" t="inlineStr">
        <is>
          <t>No</t>
        </is>
      </c>
      <c r="I1150" t="inlineStr">
        <is>
          <t>No</t>
        </is>
      </c>
      <c r="J1150" t="inlineStr">
        <is>
          <t>0</t>
        </is>
      </c>
      <c r="K1150" t="inlineStr">
        <is>
          <t>Costantino, Maria.</t>
        </is>
      </c>
      <c r="L1150" t="inlineStr">
        <is>
          <t>New York : Facts on File, c1992.</t>
        </is>
      </c>
      <c r="M1150" t="inlineStr">
        <is>
          <t>1992</t>
        </is>
      </c>
      <c r="O1150" t="inlineStr">
        <is>
          <t>eng</t>
        </is>
      </c>
      <c r="P1150" t="inlineStr">
        <is>
          <t>nyu</t>
        </is>
      </c>
      <c r="R1150" t="inlineStr">
        <is>
          <t xml:space="preserve">GT </t>
        </is>
      </c>
      <c r="S1150" t="n">
        <v>3</v>
      </c>
      <c r="T1150" t="n">
        <v>3</v>
      </c>
      <c r="U1150" t="inlineStr">
        <is>
          <t>1998-04-24</t>
        </is>
      </c>
      <c r="V1150" t="inlineStr">
        <is>
          <t>1998-04-24</t>
        </is>
      </c>
      <c r="W1150" t="inlineStr">
        <is>
          <t>1997-06-03</t>
        </is>
      </c>
      <c r="X1150" t="inlineStr">
        <is>
          <t>1997-06-03</t>
        </is>
      </c>
      <c r="Y1150" t="n">
        <v>1113</v>
      </c>
      <c r="Z1150" t="n">
        <v>1049</v>
      </c>
      <c r="AA1150" t="n">
        <v>1280</v>
      </c>
      <c r="AB1150" t="n">
        <v>7</v>
      </c>
      <c r="AC1150" t="n">
        <v>10</v>
      </c>
      <c r="AD1150" t="n">
        <v>7</v>
      </c>
      <c r="AE1150" t="n">
        <v>8</v>
      </c>
      <c r="AF1150" t="n">
        <v>4</v>
      </c>
      <c r="AG1150" t="n">
        <v>4</v>
      </c>
      <c r="AH1150" t="n">
        <v>1</v>
      </c>
      <c r="AI1150" t="n">
        <v>1</v>
      </c>
      <c r="AJ1150" t="n">
        <v>1</v>
      </c>
      <c r="AK1150" t="n">
        <v>1</v>
      </c>
      <c r="AL1150" t="n">
        <v>2</v>
      </c>
      <c r="AM1150" t="n">
        <v>3</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HYPERLINK("https://creighton-primo.hosted.exlibrisgroup.com/primo-explore/search?tab=default_tab&amp;search_scope=EVERYTHING&amp;vid=01CRU&amp;lang=en_US&amp;offset=0&amp;query=any,contains,991001855809702656","Catalog Record")</f>
        <v/>
      </c>
      <c r="AT1150">
        <f>HYPERLINK("http://www.worldcat.org/oclc/23286994","WorldCat Record")</f>
        <v/>
      </c>
      <c r="AU1150" t="inlineStr">
        <is>
          <t>3372696707:eng</t>
        </is>
      </c>
      <c r="AV1150" t="inlineStr">
        <is>
          <t>23286994</t>
        </is>
      </c>
      <c r="AW1150" t="inlineStr">
        <is>
          <t>991001855809702656</t>
        </is>
      </c>
      <c r="AX1150" t="inlineStr">
        <is>
          <t>991001855809702656</t>
        </is>
      </c>
      <c r="AY1150" t="inlineStr">
        <is>
          <t>2272098580002656</t>
        </is>
      </c>
      <c r="AZ1150" t="inlineStr">
        <is>
          <t>BOOK</t>
        </is>
      </c>
      <c r="BB1150" t="inlineStr">
        <is>
          <t>9780816024667</t>
        </is>
      </c>
      <c r="BC1150" t="inlineStr">
        <is>
          <t>32285002613932</t>
        </is>
      </c>
      <c r="BD1150" t="inlineStr">
        <is>
          <t>893439488</t>
        </is>
      </c>
    </row>
    <row r="1151">
      <c r="A1151" t="inlineStr">
        <is>
          <t>No</t>
        </is>
      </c>
      <c r="B1151" t="inlineStr">
        <is>
          <t>GT596 .T84 v.1</t>
        </is>
      </c>
      <c r="C1151" t="inlineStr">
        <is>
          <t>0                      GT 0596000T  84                                                      v.1</t>
        </is>
      </c>
      <c r="D1151" t="inlineStr">
        <is>
          <t>Evening dresses, 1900-1940 / Marco Tosa.</t>
        </is>
      </c>
      <c r="E1151" t="inlineStr">
        <is>
          <t>V.1</t>
        </is>
      </c>
      <c r="F1151" t="inlineStr">
        <is>
          <t>No</t>
        </is>
      </c>
      <c r="G1151" t="inlineStr">
        <is>
          <t>1</t>
        </is>
      </c>
      <c r="H1151" t="inlineStr">
        <is>
          <t>No</t>
        </is>
      </c>
      <c r="I1151" t="inlineStr">
        <is>
          <t>No</t>
        </is>
      </c>
      <c r="J1151" t="inlineStr">
        <is>
          <t>0</t>
        </is>
      </c>
      <c r="K1151" t="inlineStr">
        <is>
          <t>Tosa, Marco, 1955-</t>
        </is>
      </c>
      <c r="L1151" t="inlineStr">
        <is>
          <t>Modena, Italy : Zanfi Editori, c1988.</t>
        </is>
      </c>
      <c r="M1151" t="inlineStr">
        <is>
          <t>1988</t>
        </is>
      </c>
      <c r="O1151" t="inlineStr">
        <is>
          <t>eng</t>
        </is>
      </c>
      <c r="P1151" t="inlineStr">
        <is>
          <t xml:space="preserve">it </t>
        </is>
      </c>
      <c r="Q1151" t="inlineStr">
        <is>
          <t>The twentieth century histories of fashion ; 1</t>
        </is>
      </c>
      <c r="R1151" t="inlineStr">
        <is>
          <t xml:space="preserve">GT </t>
        </is>
      </c>
      <c r="S1151" t="n">
        <v>3</v>
      </c>
      <c r="T1151" t="n">
        <v>3</v>
      </c>
      <c r="U1151" t="inlineStr">
        <is>
          <t>2002-10-30</t>
        </is>
      </c>
      <c r="V1151" t="inlineStr">
        <is>
          <t>2002-10-30</t>
        </is>
      </c>
      <c r="W1151" t="inlineStr">
        <is>
          <t>1999-11-02</t>
        </is>
      </c>
      <c r="X1151" t="inlineStr">
        <is>
          <t>1999-11-02</t>
        </is>
      </c>
      <c r="Y1151" t="n">
        <v>273</v>
      </c>
      <c r="Z1151" t="n">
        <v>253</v>
      </c>
      <c r="AA1151" t="n">
        <v>255</v>
      </c>
      <c r="AB1151" t="n">
        <v>2</v>
      </c>
      <c r="AC1151" t="n">
        <v>2</v>
      </c>
      <c r="AD1151" t="n">
        <v>12</v>
      </c>
      <c r="AE1151" t="n">
        <v>12</v>
      </c>
      <c r="AF1151" t="n">
        <v>6</v>
      </c>
      <c r="AG1151" t="n">
        <v>6</v>
      </c>
      <c r="AH1151" t="n">
        <v>4</v>
      </c>
      <c r="AI1151" t="n">
        <v>4</v>
      </c>
      <c r="AJ1151" t="n">
        <v>4</v>
      </c>
      <c r="AK1151" t="n">
        <v>4</v>
      </c>
      <c r="AL1151" t="n">
        <v>1</v>
      </c>
      <c r="AM1151" t="n">
        <v>1</v>
      </c>
      <c r="AN1151" t="n">
        <v>0</v>
      </c>
      <c r="AO1151" t="n">
        <v>0</v>
      </c>
      <c r="AP1151" t="inlineStr">
        <is>
          <t>No</t>
        </is>
      </c>
      <c r="AQ1151" t="inlineStr">
        <is>
          <t>Yes</t>
        </is>
      </c>
      <c r="AR1151">
        <f>HYPERLINK("http://catalog.hathitrust.org/Record/003491484","HathiTrust Record")</f>
        <v/>
      </c>
      <c r="AS1151">
        <f>HYPERLINK("https://creighton-primo.hosted.exlibrisgroup.com/primo-explore/search?tab=default_tab&amp;search_scope=EVERYTHING&amp;vid=01CRU&amp;lang=en_US&amp;offset=0&amp;query=any,contains,991002474809702656","Catalog Record")</f>
        <v/>
      </c>
      <c r="AT1151">
        <f>HYPERLINK("http://www.worldcat.org/oclc/32234077","WorldCat Record")</f>
        <v/>
      </c>
      <c r="AU1151" t="inlineStr">
        <is>
          <t>24936760:eng</t>
        </is>
      </c>
      <c r="AV1151" t="inlineStr">
        <is>
          <t>32234077</t>
        </is>
      </c>
      <c r="AW1151" t="inlineStr">
        <is>
          <t>991002474809702656</t>
        </is>
      </c>
      <c r="AX1151" t="inlineStr">
        <is>
          <t>991002474809702656</t>
        </is>
      </c>
      <c r="AY1151" t="inlineStr">
        <is>
          <t>2265065220002656</t>
        </is>
      </c>
      <c r="AZ1151" t="inlineStr">
        <is>
          <t>BOOK</t>
        </is>
      </c>
      <c r="BC1151" t="inlineStr">
        <is>
          <t>32285003616900</t>
        </is>
      </c>
      <c r="BD1151" t="inlineStr">
        <is>
          <t>893697836</t>
        </is>
      </c>
    </row>
    <row r="1152">
      <c r="A1152" t="inlineStr">
        <is>
          <t>No</t>
        </is>
      </c>
      <c r="B1152" t="inlineStr">
        <is>
          <t>GT596 .T84 v.24</t>
        </is>
      </c>
      <c r="C1152" t="inlineStr">
        <is>
          <t>0                      GT 0596000T  84                                                      v.24</t>
        </is>
      </c>
      <c r="D1152" t="inlineStr">
        <is>
          <t>Beachwear and bathing-costume / Doretta Davanzo Poli ; [translated by Frederic Hurdis Jones and Katia Padovani].</t>
        </is>
      </c>
      <c r="E1152" t="inlineStr">
        <is>
          <t>V.24</t>
        </is>
      </c>
      <c r="F1152" t="inlineStr">
        <is>
          <t>No</t>
        </is>
      </c>
      <c r="G1152" t="inlineStr">
        <is>
          <t>1</t>
        </is>
      </c>
      <c r="H1152" t="inlineStr">
        <is>
          <t>No</t>
        </is>
      </c>
      <c r="I1152" t="inlineStr">
        <is>
          <t>No</t>
        </is>
      </c>
      <c r="J1152" t="inlineStr">
        <is>
          <t>0</t>
        </is>
      </c>
      <c r="K1152" t="inlineStr">
        <is>
          <t>Davanzo Poli, Doretta.</t>
        </is>
      </c>
      <c r="L1152" t="inlineStr">
        <is>
          <t>Modena, Italy : Zanfi Editori, c1995.</t>
        </is>
      </c>
      <c r="M1152" t="inlineStr">
        <is>
          <t>1995</t>
        </is>
      </c>
      <c r="O1152" t="inlineStr">
        <is>
          <t>eng</t>
        </is>
      </c>
      <c r="P1152" t="inlineStr">
        <is>
          <t xml:space="preserve">it </t>
        </is>
      </c>
      <c r="Q1152" t="inlineStr">
        <is>
          <t>The twentieth century histories of fashion ; 24</t>
        </is>
      </c>
      <c r="R1152" t="inlineStr">
        <is>
          <t xml:space="preserve">GT </t>
        </is>
      </c>
      <c r="S1152" t="n">
        <v>0</v>
      </c>
      <c r="T1152" t="n">
        <v>0</v>
      </c>
      <c r="U1152" t="inlineStr">
        <is>
          <t>2007-03-06</t>
        </is>
      </c>
      <c r="V1152" t="inlineStr">
        <is>
          <t>2007-03-06</t>
        </is>
      </c>
      <c r="W1152" t="inlineStr">
        <is>
          <t>1999-11-02</t>
        </is>
      </c>
      <c r="X1152" t="inlineStr">
        <is>
          <t>1999-11-02</t>
        </is>
      </c>
      <c r="Y1152" t="n">
        <v>196</v>
      </c>
      <c r="Z1152" t="n">
        <v>184</v>
      </c>
      <c r="AA1152" t="n">
        <v>191</v>
      </c>
      <c r="AB1152" t="n">
        <v>1</v>
      </c>
      <c r="AC1152" t="n">
        <v>1</v>
      </c>
      <c r="AD1152" t="n">
        <v>7</v>
      </c>
      <c r="AE1152" t="n">
        <v>7</v>
      </c>
      <c r="AF1152" t="n">
        <v>3</v>
      </c>
      <c r="AG1152" t="n">
        <v>3</v>
      </c>
      <c r="AH1152" t="n">
        <v>3</v>
      </c>
      <c r="AI1152" t="n">
        <v>3</v>
      </c>
      <c r="AJ1152" t="n">
        <v>4</v>
      </c>
      <c r="AK1152" t="n">
        <v>4</v>
      </c>
      <c r="AL1152" t="n">
        <v>0</v>
      </c>
      <c r="AM1152" t="n">
        <v>0</v>
      </c>
      <c r="AN1152" t="n">
        <v>0</v>
      </c>
      <c r="AO1152" t="n">
        <v>0</v>
      </c>
      <c r="AP1152" t="inlineStr">
        <is>
          <t>No</t>
        </is>
      </c>
      <c r="AQ1152" t="inlineStr">
        <is>
          <t>Yes</t>
        </is>
      </c>
      <c r="AR1152">
        <f>HYPERLINK("http://catalog.hathitrust.org/Record/004052552","HathiTrust Record")</f>
        <v/>
      </c>
      <c r="AS1152">
        <f>HYPERLINK("https://creighton-primo.hosted.exlibrisgroup.com/primo-explore/search?tab=default_tab&amp;search_scope=EVERYTHING&amp;vid=01CRU&amp;lang=en_US&amp;offset=0&amp;query=any,contains,991002608709702656","Catalog Record")</f>
        <v/>
      </c>
      <c r="AT1152">
        <f>HYPERLINK("http://www.worldcat.org/oclc/34177423","WorldCat Record")</f>
        <v/>
      </c>
      <c r="AU1152" t="inlineStr">
        <is>
          <t>39459914:eng</t>
        </is>
      </c>
      <c r="AV1152" t="inlineStr">
        <is>
          <t>34177423</t>
        </is>
      </c>
      <c r="AW1152" t="inlineStr">
        <is>
          <t>991002608709702656</t>
        </is>
      </c>
      <c r="AX1152" t="inlineStr">
        <is>
          <t>991002608709702656</t>
        </is>
      </c>
      <c r="AY1152" t="inlineStr">
        <is>
          <t>2265051750002656</t>
        </is>
      </c>
      <c r="AZ1152" t="inlineStr">
        <is>
          <t>BOOK</t>
        </is>
      </c>
      <c r="BB1152" t="inlineStr">
        <is>
          <t>9788886169837</t>
        </is>
      </c>
      <c r="BC1152" t="inlineStr">
        <is>
          <t>32285003616959</t>
        </is>
      </c>
      <c r="BD1152" t="inlineStr">
        <is>
          <t>893867446</t>
        </is>
      </c>
    </row>
    <row r="1153">
      <c r="A1153" t="inlineStr">
        <is>
          <t>No</t>
        </is>
      </c>
      <c r="B1153" t="inlineStr">
        <is>
          <t>GT596 .T84 v.4</t>
        </is>
      </c>
      <c r="C1153" t="inlineStr">
        <is>
          <t>0                      GT 0596000T  84                                                      v.4</t>
        </is>
      </c>
      <c r="D1153" t="inlineStr">
        <is>
          <t>Skirts and more skirts / Fiora Gandolfi.</t>
        </is>
      </c>
      <c r="E1153" t="inlineStr">
        <is>
          <t>V.4</t>
        </is>
      </c>
      <c r="F1153" t="inlineStr">
        <is>
          <t>No</t>
        </is>
      </c>
      <c r="G1153" t="inlineStr">
        <is>
          <t>1</t>
        </is>
      </c>
      <c r="H1153" t="inlineStr">
        <is>
          <t>No</t>
        </is>
      </c>
      <c r="I1153" t="inlineStr">
        <is>
          <t>No</t>
        </is>
      </c>
      <c r="J1153" t="inlineStr">
        <is>
          <t>0</t>
        </is>
      </c>
      <c r="K1153" t="inlineStr">
        <is>
          <t>Gandolfi, Fiora.</t>
        </is>
      </c>
      <c r="L1153" t="inlineStr">
        <is>
          <t>Modena, Italy : Zanfi Editori, c1989.</t>
        </is>
      </c>
      <c r="M1153" t="inlineStr">
        <is>
          <t>1989</t>
        </is>
      </c>
      <c r="O1153" t="inlineStr">
        <is>
          <t>eng</t>
        </is>
      </c>
      <c r="P1153" t="inlineStr">
        <is>
          <t xml:space="preserve">it </t>
        </is>
      </c>
      <c r="Q1153" t="inlineStr">
        <is>
          <t>Twentieth century histories of fashion ; 4</t>
        </is>
      </c>
      <c r="R1153" t="inlineStr">
        <is>
          <t xml:space="preserve">GT </t>
        </is>
      </c>
      <c r="S1153" t="n">
        <v>5</v>
      </c>
      <c r="T1153" t="n">
        <v>5</v>
      </c>
      <c r="U1153" t="inlineStr">
        <is>
          <t>2000-11-13</t>
        </is>
      </c>
      <c r="V1153" t="inlineStr">
        <is>
          <t>2000-11-13</t>
        </is>
      </c>
      <c r="W1153" t="inlineStr">
        <is>
          <t>1999-11-02</t>
        </is>
      </c>
      <c r="X1153" t="inlineStr">
        <is>
          <t>1999-11-02</t>
        </is>
      </c>
      <c r="Y1153" t="n">
        <v>203</v>
      </c>
      <c r="Z1153" t="n">
        <v>187</v>
      </c>
      <c r="AA1153" t="n">
        <v>194</v>
      </c>
      <c r="AB1153" t="n">
        <v>1</v>
      </c>
      <c r="AC1153" t="n">
        <v>1</v>
      </c>
      <c r="AD1153" t="n">
        <v>7</v>
      </c>
      <c r="AE1153" t="n">
        <v>7</v>
      </c>
      <c r="AF1153" t="n">
        <v>2</v>
      </c>
      <c r="AG1153" t="n">
        <v>2</v>
      </c>
      <c r="AH1153" t="n">
        <v>4</v>
      </c>
      <c r="AI1153" t="n">
        <v>4</v>
      </c>
      <c r="AJ1153" t="n">
        <v>3</v>
      </c>
      <c r="AK1153" t="n">
        <v>3</v>
      </c>
      <c r="AL1153" t="n">
        <v>0</v>
      </c>
      <c r="AM1153" t="n">
        <v>0</v>
      </c>
      <c r="AN1153" t="n">
        <v>0</v>
      </c>
      <c r="AO1153" t="n">
        <v>0</v>
      </c>
      <c r="AP1153" t="inlineStr">
        <is>
          <t>No</t>
        </is>
      </c>
      <c r="AQ1153" t="inlineStr">
        <is>
          <t>Yes</t>
        </is>
      </c>
      <c r="AR1153">
        <f>HYPERLINK("http://catalog.hathitrust.org/Record/003445491","HathiTrust Record")</f>
        <v/>
      </c>
      <c r="AS1153">
        <f>HYPERLINK("https://creighton-primo.hosted.exlibrisgroup.com/primo-explore/search?tab=default_tab&amp;search_scope=EVERYTHING&amp;vid=01CRU&amp;lang=en_US&amp;offset=0&amp;query=any,contains,991002732359702656","Catalog Record")</f>
        <v/>
      </c>
      <c r="AT1153">
        <f>HYPERLINK("http://www.worldcat.org/oclc/35838190","WorldCat Record")</f>
        <v/>
      </c>
      <c r="AU1153" t="inlineStr">
        <is>
          <t>45877957:eng</t>
        </is>
      </c>
      <c r="AV1153" t="inlineStr">
        <is>
          <t>35838190</t>
        </is>
      </c>
      <c r="AW1153" t="inlineStr">
        <is>
          <t>991002732359702656</t>
        </is>
      </c>
      <c r="AX1153" t="inlineStr">
        <is>
          <t>991002732359702656</t>
        </is>
      </c>
      <c r="AY1153" t="inlineStr">
        <is>
          <t>2260847320002656</t>
        </is>
      </c>
      <c r="AZ1153" t="inlineStr">
        <is>
          <t>BOOK</t>
        </is>
      </c>
      <c r="BB1153" t="inlineStr">
        <is>
          <t>9788885168343</t>
        </is>
      </c>
      <c r="BC1153" t="inlineStr">
        <is>
          <t>32285003616926</t>
        </is>
      </c>
      <c r="BD1153" t="inlineStr">
        <is>
          <t>893227207</t>
        </is>
      </c>
    </row>
    <row r="1154">
      <c r="A1154" t="inlineStr">
        <is>
          <t>No</t>
        </is>
      </c>
      <c r="B1154" t="inlineStr">
        <is>
          <t>GT596 .T84 v.47</t>
        </is>
      </c>
      <c r="C1154" t="inlineStr">
        <is>
          <t>0                      GT 0596000T  84                                                      v.47</t>
        </is>
      </c>
      <c r="D1154" t="inlineStr">
        <is>
          <t>Men's coats / Vittoria de Buzzaccarini.</t>
        </is>
      </c>
      <c r="E1154" t="inlineStr">
        <is>
          <t>V.47</t>
        </is>
      </c>
      <c r="F1154" t="inlineStr">
        <is>
          <t>No</t>
        </is>
      </c>
      <c r="G1154" t="inlineStr">
        <is>
          <t>1</t>
        </is>
      </c>
      <c r="H1154" t="inlineStr">
        <is>
          <t>No</t>
        </is>
      </c>
      <c r="I1154" t="inlineStr">
        <is>
          <t>No</t>
        </is>
      </c>
      <c r="J1154" t="inlineStr">
        <is>
          <t>0</t>
        </is>
      </c>
      <c r="K1154" t="inlineStr">
        <is>
          <t>De Buzzaccarini, Vittoria.</t>
        </is>
      </c>
      <c r="L1154" t="inlineStr">
        <is>
          <t>Modena, Italy : Zanfi Editori, c1994.</t>
        </is>
      </c>
      <c r="M1154" t="inlineStr">
        <is>
          <t>1994</t>
        </is>
      </c>
      <c r="O1154" t="inlineStr">
        <is>
          <t>eng</t>
        </is>
      </c>
      <c r="P1154" t="inlineStr">
        <is>
          <t xml:space="preserve">it </t>
        </is>
      </c>
      <c r="Q1154" t="inlineStr">
        <is>
          <t>The twentieth century histories of fashion ; 47</t>
        </is>
      </c>
      <c r="R1154" t="inlineStr">
        <is>
          <t xml:space="preserve">GT </t>
        </is>
      </c>
      <c r="S1154" t="n">
        <v>2</v>
      </c>
      <c r="T1154" t="n">
        <v>2</v>
      </c>
      <c r="U1154" t="inlineStr">
        <is>
          <t>2005-09-07</t>
        </is>
      </c>
      <c r="V1154" t="inlineStr">
        <is>
          <t>2005-09-07</t>
        </is>
      </c>
      <c r="W1154" t="inlineStr">
        <is>
          <t>1999-11-02</t>
        </is>
      </c>
      <c r="X1154" t="inlineStr">
        <is>
          <t>1999-11-02</t>
        </is>
      </c>
      <c r="Y1154" t="n">
        <v>247</v>
      </c>
      <c r="Z1154" t="n">
        <v>229</v>
      </c>
      <c r="AA1154" t="n">
        <v>231</v>
      </c>
      <c r="AB1154" t="n">
        <v>1</v>
      </c>
      <c r="AC1154" t="n">
        <v>1</v>
      </c>
      <c r="AD1154" t="n">
        <v>11</v>
      </c>
      <c r="AE1154" t="n">
        <v>11</v>
      </c>
      <c r="AF1154" t="n">
        <v>6</v>
      </c>
      <c r="AG1154" t="n">
        <v>6</v>
      </c>
      <c r="AH1154" t="n">
        <v>5</v>
      </c>
      <c r="AI1154" t="n">
        <v>5</v>
      </c>
      <c r="AJ1154" t="n">
        <v>4</v>
      </c>
      <c r="AK1154" t="n">
        <v>4</v>
      </c>
      <c r="AL1154" t="n">
        <v>0</v>
      </c>
      <c r="AM1154" t="n">
        <v>0</v>
      </c>
      <c r="AN1154" t="n">
        <v>0</v>
      </c>
      <c r="AO1154" t="n">
        <v>0</v>
      </c>
      <c r="AP1154" t="inlineStr">
        <is>
          <t>No</t>
        </is>
      </c>
      <c r="AQ1154" t="inlineStr">
        <is>
          <t>Yes</t>
        </is>
      </c>
      <c r="AR1154">
        <f>HYPERLINK("http://catalog.hathitrust.org/Record/004052557","HathiTrust Record")</f>
        <v/>
      </c>
      <c r="AS1154">
        <f>HYPERLINK("https://creighton-primo.hosted.exlibrisgroup.com/primo-explore/search?tab=default_tab&amp;search_scope=EVERYTHING&amp;vid=01CRU&amp;lang=en_US&amp;offset=0&amp;query=any,contains,991002735229702656","Catalog Record")</f>
        <v/>
      </c>
      <c r="AT1154">
        <f>HYPERLINK("http://www.worldcat.org/oclc/35900275","WorldCat Record")</f>
        <v/>
      </c>
      <c r="AU1154" t="inlineStr">
        <is>
          <t>24097946:eng</t>
        </is>
      </c>
      <c r="AV1154" t="inlineStr">
        <is>
          <t>35900275</t>
        </is>
      </c>
      <c r="AW1154" t="inlineStr">
        <is>
          <t>991002735229702656</t>
        </is>
      </c>
      <c r="AX1154" t="inlineStr">
        <is>
          <t>991002735229702656</t>
        </is>
      </c>
      <c r="AY1154" t="inlineStr">
        <is>
          <t>2255722340002656</t>
        </is>
      </c>
      <c r="AZ1154" t="inlineStr">
        <is>
          <t>BOOK</t>
        </is>
      </c>
      <c r="BB1154" t="inlineStr">
        <is>
          <t>9788886169318</t>
        </is>
      </c>
      <c r="BC1154" t="inlineStr">
        <is>
          <t>32285003616983</t>
        </is>
      </c>
      <c r="BD1154" t="inlineStr">
        <is>
          <t>893245569</t>
        </is>
      </c>
    </row>
    <row r="1155">
      <c r="A1155" t="inlineStr">
        <is>
          <t>No</t>
        </is>
      </c>
      <c r="B1155" t="inlineStr">
        <is>
          <t>GT610 .S47 1994</t>
        </is>
      </c>
      <c r="C1155" t="inlineStr">
        <is>
          <t>0                      GT 0610000S  47          1994</t>
        </is>
      </c>
      <c r="D1155" t="inlineStr">
        <is>
          <t>Civil War gentlemen : 1860s apparel arts &amp; uniforms / by R.L. Shep, W.S. Salisbury, with an article by Peter Dervis ; pattern consultant, Betty Williams.</t>
        </is>
      </c>
      <c r="F1155" t="inlineStr">
        <is>
          <t>No</t>
        </is>
      </c>
      <c r="G1155" t="inlineStr">
        <is>
          <t>1</t>
        </is>
      </c>
      <c r="H1155" t="inlineStr">
        <is>
          <t>No</t>
        </is>
      </c>
      <c r="I1155" t="inlineStr">
        <is>
          <t>No</t>
        </is>
      </c>
      <c r="J1155" t="inlineStr">
        <is>
          <t>0</t>
        </is>
      </c>
      <c r="K1155" t="inlineStr">
        <is>
          <t>Shep, R. L., 1933-</t>
        </is>
      </c>
      <c r="L1155" t="inlineStr">
        <is>
          <t>Mendocino, CA : R.L. Shep, c1994.</t>
        </is>
      </c>
      <c r="M1155" t="inlineStr">
        <is>
          <t>1994</t>
        </is>
      </c>
      <c r="O1155" t="inlineStr">
        <is>
          <t>eng</t>
        </is>
      </c>
      <c r="P1155" t="inlineStr">
        <is>
          <t>cau</t>
        </is>
      </c>
      <c r="R1155" t="inlineStr">
        <is>
          <t xml:space="preserve">GT </t>
        </is>
      </c>
      <c r="S1155" t="n">
        <v>6</v>
      </c>
      <c r="T1155" t="n">
        <v>6</v>
      </c>
      <c r="U1155" t="inlineStr">
        <is>
          <t>2000-01-17</t>
        </is>
      </c>
      <c r="V1155" t="inlineStr">
        <is>
          <t>2000-01-17</t>
        </is>
      </c>
      <c r="W1155" t="inlineStr">
        <is>
          <t>1996-05-09</t>
        </is>
      </c>
      <c r="X1155" t="inlineStr">
        <is>
          <t>1996-05-09</t>
        </is>
      </c>
      <c r="Y1155" t="n">
        <v>247</v>
      </c>
      <c r="Z1155" t="n">
        <v>228</v>
      </c>
      <c r="AA1155" t="n">
        <v>229</v>
      </c>
      <c r="AB1155" t="n">
        <v>2</v>
      </c>
      <c r="AC1155" t="n">
        <v>2</v>
      </c>
      <c r="AD1155" t="n">
        <v>13</v>
      </c>
      <c r="AE1155" t="n">
        <v>13</v>
      </c>
      <c r="AF1155" t="n">
        <v>5</v>
      </c>
      <c r="AG1155" t="n">
        <v>5</v>
      </c>
      <c r="AH1155" t="n">
        <v>3</v>
      </c>
      <c r="AI1155" t="n">
        <v>3</v>
      </c>
      <c r="AJ1155" t="n">
        <v>7</v>
      </c>
      <c r="AK1155" t="n">
        <v>7</v>
      </c>
      <c r="AL1155" t="n">
        <v>1</v>
      </c>
      <c r="AM1155" t="n">
        <v>1</v>
      </c>
      <c r="AN1155" t="n">
        <v>0</v>
      </c>
      <c r="AO1155" t="n">
        <v>0</v>
      </c>
      <c r="AP1155" t="inlineStr">
        <is>
          <t>No</t>
        </is>
      </c>
      <c r="AQ1155" t="inlineStr">
        <is>
          <t>Yes</t>
        </is>
      </c>
      <c r="AR1155">
        <f>HYPERLINK("http://catalog.hathitrust.org/Record/006939526","HathiTrust Record")</f>
        <v/>
      </c>
      <c r="AS1155">
        <f>HYPERLINK("https://creighton-primo.hosted.exlibrisgroup.com/primo-explore/search?tab=default_tab&amp;search_scope=EVERYTHING&amp;vid=01CRU&amp;lang=en_US&amp;offset=0&amp;query=any,contains,991002402519702656","Catalog Record")</f>
        <v/>
      </c>
      <c r="AT1155">
        <f>HYPERLINK("http://www.worldcat.org/oclc/31239661","WorldCat Record")</f>
        <v/>
      </c>
      <c r="AU1155" t="inlineStr">
        <is>
          <t>25034453:eng</t>
        </is>
      </c>
      <c r="AV1155" t="inlineStr">
        <is>
          <t>31239661</t>
        </is>
      </c>
      <c r="AW1155" t="inlineStr">
        <is>
          <t>991002402519702656</t>
        </is>
      </c>
      <c r="AX1155" t="inlineStr">
        <is>
          <t>991002402519702656</t>
        </is>
      </c>
      <c r="AY1155" t="inlineStr">
        <is>
          <t>2265752400002656</t>
        </is>
      </c>
      <c r="AZ1155" t="inlineStr">
        <is>
          <t>BOOK</t>
        </is>
      </c>
      <c r="BB1155" t="inlineStr">
        <is>
          <t>9780914046226</t>
        </is>
      </c>
      <c r="BC1155" t="inlineStr">
        <is>
          <t>32285002166063</t>
        </is>
      </c>
      <c r="BD1155" t="inlineStr">
        <is>
          <t>893804574</t>
        </is>
      </c>
    </row>
    <row r="1156">
      <c r="A1156" t="inlineStr">
        <is>
          <t>No</t>
        </is>
      </c>
      <c r="B1156" t="inlineStr">
        <is>
          <t>GT615 .E44 1996</t>
        </is>
      </c>
      <c r="C1156" t="inlineStr">
        <is>
          <t>0                      GT 0615000E  44          1996</t>
        </is>
      </c>
      <c r="D1156" t="inlineStr">
        <is>
          <t>Elite fashions catalog, 1904 / Elite Styles Company.</t>
        </is>
      </c>
      <c r="F1156" t="inlineStr">
        <is>
          <t>No</t>
        </is>
      </c>
      <c r="G1156" t="inlineStr">
        <is>
          <t>1</t>
        </is>
      </c>
      <c r="H1156" t="inlineStr">
        <is>
          <t>No</t>
        </is>
      </c>
      <c r="I1156" t="inlineStr">
        <is>
          <t>No</t>
        </is>
      </c>
      <c r="J1156" t="inlineStr">
        <is>
          <t>0</t>
        </is>
      </c>
      <c r="L1156" t="inlineStr">
        <is>
          <t>Mineola, N.Y. : Dover Publications, c1996.</t>
        </is>
      </c>
      <c r="M1156" t="inlineStr">
        <is>
          <t>1996</t>
        </is>
      </c>
      <c r="O1156" t="inlineStr">
        <is>
          <t>eng</t>
        </is>
      </c>
      <c r="P1156" t="inlineStr">
        <is>
          <t>nyu</t>
        </is>
      </c>
      <c r="Q1156" t="inlineStr">
        <is>
          <t>Dover pictorial archive series</t>
        </is>
      </c>
      <c r="R1156" t="inlineStr">
        <is>
          <t xml:space="preserve">GT </t>
        </is>
      </c>
      <c r="S1156" t="n">
        <v>2</v>
      </c>
      <c r="T1156" t="n">
        <v>2</v>
      </c>
      <c r="U1156" t="inlineStr">
        <is>
          <t>2008-03-27</t>
        </is>
      </c>
      <c r="V1156" t="inlineStr">
        <is>
          <t>2008-03-27</t>
        </is>
      </c>
      <c r="W1156" t="inlineStr">
        <is>
          <t>1999-03-03</t>
        </is>
      </c>
      <c r="X1156" t="inlineStr">
        <is>
          <t>1999-03-03</t>
        </is>
      </c>
      <c r="Y1156" t="n">
        <v>101</v>
      </c>
      <c r="Z1156" t="n">
        <v>85</v>
      </c>
      <c r="AA1156" t="n">
        <v>87</v>
      </c>
      <c r="AB1156" t="n">
        <v>2</v>
      </c>
      <c r="AC1156" t="n">
        <v>2</v>
      </c>
      <c r="AD1156" t="n">
        <v>2</v>
      </c>
      <c r="AE1156" t="n">
        <v>2</v>
      </c>
      <c r="AF1156" t="n">
        <v>1</v>
      </c>
      <c r="AG1156" t="n">
        <v>1</v>
      </c>
      <c r="AH1156" t="n">
        <v>1</v>
      </c>
      <c r="AI1156" t="n">
        <v>1</v>
      </c>
      <c r="AJ1156" t="n">
        <v>0</v>
      </c>
      <c r="AK1156" t="n">
        <v>0</v>
      </c>
      <c r="AL1156" t="n">
        <v>0</v>
      </c>
      <c r="AM1156" t="n">
        <v>0</v>
      </c>
      <c r="AN1156" t="n">
        <v>0</v>
      </c>
      <c r="AO1156" t="n">
        <v>0</v>
      </c>
      <c r="AP1156" t="inlineStr">
        <is>
          <t>No</t>
        </is>
      </c>
      <c r="AQ1156" t="inlineStr">
        <is>
          <t>Yes</t>
        </is>
      </c>
      <c r="AR1156">
        <f>HYPERLINK("http://catalog.hathitrust.org/Record/100122530","HathiTrust Record")</f>
        <v/>
      </c>
      <c r="AS1156">
        <f>HYPERLINK("https://creighton-primo.hosted.exlibrisgroup.com/primo-explore/search?tab=default_tab&amp;search_scope=EVERYTHING&amp;vid=01CRU&amp;lang=en_US&amp;offset=0&amp;query=any,contains,991002684429702656","Catalog Record")</f>
        <v/>
      </c>
      <c r="AT1156">
        <f>HYPERLINK("http://www.worldcat.org/oclc/35084324","WorldCat Record")</f>
        <v/>
      </c>
      <c r="AU1156" t="inlineStr">
        <is>
          <t>40564680:eng</t>
        </is>
      </c>
      <c r="AV1156" t="inlineStr">
        <is>
          <t>35084324</t>
        </is>
      </c>
      <c r="AW1156" t="inlineStr">
        <is>
          <t>991002684429702656</t>
        </is>
      </c>
      <c r="AX1156" t="inlineStr">
        <is>
          <t>991002684429702656</t>
        </is>
      </c>
      <c r="AY1156" t="inlineStr">
        <is>
          <t>2255399610002656</t>
        </is>
      </c>
      <c r="AZ1156" t="inlineStr">
        <is>
          <t>BOOK</t>
        </is>
      </c>
      <c r="BB1156" t="inlineStr">
        <is>
          <t>9780486293707</t>
        </is>
      </c>
      <c r="BC1156" t="inlineStr">
        <is>
          <t>32285003529038</t>
        </is>
      </c>
      <c r="BD1156" t="inlineStr">
        <is>
          <t>893409406</t>
        </is>
      </c>
    </row>
    <row r="1157">
      <c r="A1157" t="inlineStr">
        <is>
          <t>No</t>
        </is>
      </c>
      <c r="B1157" t="inlineStr">
        <is>
          <t>GT615 .F33 1990</t>
        </is>
      </c>
      <c r="C1157" t="inlineStr">
        <is>
          <t>0                      GT 0615000F  33          1990</t>
        </is>
      </c>
      <c r="D1157" t="inlineStr">
        <is>
          <t>Fabrications : costume and the female body / edited by Jane Gaines and Charlotte Herzog.</t>
        </is>
      </c>
      <c r="F1157" t="inlineStr">
        <is>
          <t>No</t>
        </is>
      </c>
      <c r="G1157" t="inlineStr">
        <is>
          <t>1</t>
        </is>
      </c>
      <c r="H1157" t="inlineStr">
        <is>
          <t>No</t>
        </is>
      </c>
      <c r="I1157" t="inlineStr">
        <is>
          <t>No</t>
        </is>
      </c>
      <c r="J1157" t="inlineStr">
        <is>
          <t>0</t>
        </is>
      </c>
      <c r="L1157" t="inlineStr">
        <is>
          <t>New York : Routledge, 1990.</t>
        </is>
      </c>
      <c r="M1157" t="inlineStr">
        <is>
          <t>1990</t>
        </is>
      </c>
      <c r="O1157" t="inlineStr">
        <is>
          <t>eng</t>
        </is>
      </c>
      <c r="P1157" t="inlineStr">
        <is>
          <t>nyu</t>
        </is>
      </c>
      <c r="Q1157" t="inlineStr">
        <is>
          <t>AFI film readers</t>
        </is>
      </c>
      <c r="R1157" t="inlineStr">
        <is>
          <t xml:space="preserve">GT </t>
        </is>
      </c>
      <c r="S1157" t="n">
        <v>4</v>
      </c>
      <c r="T1157" t="n">
        <v>4</v>
      </c>
      <c r="U1157" t="inlineStr">
        <is>
          <t>2000-05-15</t>
        </is>
      </c>
      <c r="V1157" t="inlineStr">
        <is>
          <t>2000-05-15</t>
        </is>
      </c>
      <c r="W1157" t="inlineStr">
        <is>
          <t>1991-12-15</t>
        </is>
      </c>
      <c r="X1157" t="inlineStr">
        <is>
          <t>1991-12-15</t>
        </is>
      </c>
      <c r="Y1157" t="n">
        <v>534</v>
      </c>
      <c r="Z1157" t="n">
        <v>352</v>
      </c>
      <c r="AA1157" t="n">
        <v>354</v>
      </c>
      <c r="AB1157" t="n">
        <v>2</v>
      </c>
      <c r="AC1157" t="n">
        <v>2</v>
      </c>
      <c r="AD1157" t="n">
        <v>18</v>
      </c>
      <c r="AE1157" t="n">
        <v>18</v>
      </c>
      <c r="AF1157" t="n">
        <v>7</v>
      </c>
      <c r="AG1157" t="n">
        <v>7</v>
      </c>
      <c r="AH1157" t="n">
        <v>6</v>
      </c>
      <c r="AI1157" t="n">
        <v>6</v>
      </c>
      <c r="AJ1157" t="n">
        <v>8</v>
      </c>
      <c r="AK1157" t="n">
        <v>8</v>
      </c>
      <c r="AL1157" t="n">
        <v>1</v>
      </c>
      <c r="AM1157" t="n">
        <v>1</v>
      </c>
      <c r="AN1157" t="n">
        <v>0</v>
      </c>
      <c r="AO1157" t="n">
        <v>0</v>
      </c>
      <c r="AP1157" t="inlineStr">
        <is>
          <t>No</t>
        </is>
      </c>
      <c r="AQ1157" t="inlineStr">
        <is>
          <t>Yes</t>
        </is>
      </c>
      <c r="AR1157">
        <f>HYPERLINK("http://catalog.hathitrust.org/Record/002064520","HathiTrust Record")</f>
        <v/>
      </c>
      <c r="AS1157">
        <f>HYPERLINK("https://creighton-primo.hosted.exlibrisgroup.com/primo-explore/search?tab=default_tab&amp;search_scope=EVERYTHING&amp;vid=01CRU&amp;lang=en_US&amp;offset=0&amp;query=any,contains,991005410999702656","Catalog Record")</f>
        <v/>
      </c>
      <c r="AT1157">
        <f>HYPERLINK("http://www.worldcat.org/oclc/19845741","WorldCat Record")</f>
        <v/>
      </c>
      <c r="AU1157" t="inlineStr">
        <is>
          <t>836706253:eng</t>
        </is>
      </c>
      <c r="AV1157" t="inlineStr">
        <is>
          <t>19845741</t>
        </is>
      </c>
      <c r="AW1157" t="inlineStr">
        <is>
          <t>991005410999702656</t>
        </is>
      </c>
      <c r="AX1157" t="inlineStr">
        <is>
          <t>991005410999702656</t>
        </is>
      </c>
      <c r="AY1157" t="inlineStr">
        <is>
          <t>2268548310002656</t>
        </is>
      </c>
      <c r="AZ1157" t="inlineStr">
        <is>
          <t>BOOK</t>
        </is>
      </c>
      <c r="BB1157" t="inlineStr">
        <is>
          <t>9780415900614</t>
        </is>
      </c>
      <c r="BC1157" t="inlineStr">
        <is>
          <t>32285000860469</t>
        </is>
      </c>
      <c r="BD1157" t="inlineStr">
        <is>
          <t>893345149</t>
        </is>
      </c>
    </row>
    <row r="1158">
      <c r="A1158" t="inlineStr">
        <is>
          <t>No</t>
        </is>
      </c>
      <c r="B1158" t="inlineStr">
        <is>
          <t>GT617.T45 H39 1998</t>
        </is>
      </c>
      <c r="C1158" t="inlineStr">
        <is>
          <t>0                      GT 0617000T  45                 H  39          1998</t>
        </is>
      </c>
      <c r="D1158" t="inlineStr">
        <is>
          <t>Dressing up debutantes : pageantry and glitz in Texas / Michaele Thurgood Haynes.</t>
        </is>
      </c>
      <c r="F1158" t="inlineStr">
        <is>
          <t>No</t>
        </is>
      </c>
      <c r="G1158" t="inlineStr">
        <is>
          <t>1</t>
        </is>
      </c>
      <c r="H1158" t="inlineStr">
        <is>
          <t>No</t>
        </is>
      </c>
      <c r="I1158" t="inlineStr">
        <is>
          <t>No</t>
        </is>
      </c>
      <c r="J1158" t="inlineStr">
        <is>
          <t>0</t>
        </is>
      </c>
      <c r="K1158" t="inlineStr">
        <is>
          <t>Haynes, Michaele Thurgood.</t>
        </is>
      </c>
      <c r="L1158" t="inlineStr">
        <is>
          <t>Oxford ; New York : Berg, 1998.</t>
        </is>
      </c>
      <c r="M1158" t="inlineStr">
        <is>
          <t>1998</t>
        </is>
      </c>
      <c r="O1158" t="inlineStr">
        <is>
          <t>eng</t>
        </is>
      </c>
      <c r="P1158" t="inlineStr">
        <is>
          <t>enk</t>
        </is>
      </c>
      <c r="Q1158" t="inlineStr">
        <is>
          <t>Dress, body, culture, 1360-466X</t>
        </is>
      </c>
      <c r="R1158" t="inlineStr">
        <is>
          <t xml:space="preserve">GT </t>
        </is>
      </c>
      <c r="S1158" t="n">
        <v>2</v>
      </c>
      <c r="T1158" t="n">
        <v>2</v>
      </c>
      <c r="U1158" t="inlineStr">
        <is>
          <t>2000-11-20</t>
        </is>
      </c>
      <c r="V1158" t="inlineStr">
        <is>
          <t>2000-11-20</t>
        </is>
      </c>
      <c r="W1158" t="inlineStr">
        <is>
          <t>1999-04-13</t>
        </is>
      </c>
      <c r="X1158" t="inlineStr">
        <is>
          <t>1999-04-13</t>
        </is>
      </c>
      <c r="Y1158" t="n">
        <v>262</v>
      </c>
      <c r="Z1158" t="n">
        <v>212</v>
      </c>
      <c r="AA1158" t="n">
        <v>234</v>
      </c>
      <c r="AB1158" t="n">
        <v>2</v>
      </c>
      <c r="AC1158" t="n">
        <v>2</v>
      </c>
      <c r="AD1158" t="n">
        <v>8</v>
      </c>
      <c r="AE1158" t="n">
        <v>9</v>
      </c>
      <c r="AF1158" t="n">
        <v>2</v>
      </c>
      <c r="AG1158" t="n">
        <v>2</v>
      </c>
      <c r="AH1158" t="n">
        <v>3</v>
      </c>
      <c r="AI1158" t="n">
        <v>3</v>
      </c>
      <c r="AJ1158" t="n">
        <v>4</v>
      </c>
      <c r="AK1158" t="n">
        <v>5</v>
      </c>
      <c r="AL1158" t="n">
        <v>1</v>
      </c>
      <c r="AM1158" t="n">
        <v>1</v>
      </c>
      <c r="AN1158" t="n">
        <v>0</v>
      </c>
      <c r="AO1158" t="n">
        <v>0</v>
      </c>
      <c r="AP1158" t="inlineStr">
        <is>
          <t>No</t>
        </is>
      </c>
      <c r="AQ1158" t="inlineStr">
        <is>
          <t>Yes</t>
        </is>
      </c>
      <c r="AR1158">
        <f>HYPERLINK("http://catalog.hathitrust.org/Record/003984916","HathiTrust Record")</f>
        <v/>
      </c>
      <c r="AS1158">
        <f>HYPERLINK("https://creighton-primo.hosted.exlibrisgroup.com/primo-explore/search?tab=default_tab&amp;search_scope=EVERYTHING&amp;vid=01CRU&amp;lang=en_US&amp;offset=0&amp;query=any,contains,991002981849702656","Catalog Record")</f>
        <v/>
      </c>
      <c r="AT1158">
        <f>HYPERLINK("http://www.worldcat.org/oclc/40130028","WorldCat Record")</f>
        <v/>
      </c>
      <c r="AU1158" t="inlineStr">
        <is>
          <t>340544296:eng</t>
        </is>
      </c>
      <c r="AV1158" t="inlineStr">
        <is>
          <t>40130028</t>
        </is>
      </c>
      <c r="AW1158" t="inlineStr">
        <is>
          <t>991002981849702656</t>
        </is>
      </c>
      <c r="AX1158" t="inlineStr">
        <is>
          <t>991002981849702656</t>
        </is>
      </c>
      <c r="AY1158" t="inlineStr">
        <is>
          <t>2263602110002656</t>
        </is>
      </c>
      <c r="AZ1158" t="inlineStr">
        <is>
          <t>BOOK</t>
        </is>
      </c>
      <c r="BB1158" t="inlineStr">
        <is>
          <t>9781859739341</t>
        </is>
      </c>
      <c r="BC1158" t="inlineStr">
        <is>
          <t>32285003551818</t>
        </is>
      </c>
      <c r="BD1158" t="inlineStr">
        <is>
          <t>893352628</t>
        </is>
      </c>
    </row>
    <row r="1159">
      <c r="A1159" t="inlineStr">
        <is>
          <t>No</t>
        </is>
      </c>
      <c r="B1159" t="inlineStr">
        <is>
          <t>GT720 .K4 2002</t>
        </is>
      </c>
      <c r="C1159" t="inlineStr">
        <is>
          <t>0                      GT 0720000K  4           2002</t>
        </is>
      </c>
      <c r="D1159" t="inlineStr">
        <is>
          <t>European costume and fashion, 1490-1790 / Francis M. Kelly and Randolph Schwabe.</t>
        </is>
      </c>
      <c r="F1159" t="inlineStr">
        <is>
          <t>No</t>
        </is>
      </c>
      <c r="G1159" t="inlineStr">
        <is>
          <t>1</t>
        </is>
      </c>
      <c r="H1159" t="inlineStr">
        <is>
          <t>No</t>
        </is>
      </c>
      <c r="I1159" t="inlineStr">
        <is>
          <t>No</t>
        </is>
      </c>
      <c r="J1159" t="inlineStr">
        <is>
          <t>0</t>
        </is>
      </c>
      <c r="K1159" t="inlineStr">
        <is>
          <t>Kelly, Francis Michael, 1879-1945.</t>
        </is>
      </c>
      <c r="L1159" t="inlineStr">
        <is>
          <t>Mineola, NY : Dover Publications, 2002.</t>
        </is>
      </c>
      <c r="M1159" t="inlineStr">
        <is>
          <t>2002</t>
        </is>
      </c>
      <c r="N1159" t="inlineStr">
        <is>
          <t>[2nd ed.].</t>
        </is>
      </c>
      <c r="O1159" t="inlineStr">
        <is>
          <t>eng</t>
        </is>
      </c>
      <c r="P1159" t="inlineStr">
        <is>
          <t>nyu</t>
        </is>
      </c>
      <c r="Q1159" t="inlineStr">
        <is>
          <t>Dover pictorial archive series</t>
        </is>
      </c>
      <c r="R1159" t="inlineStr">
        <is>
          <t xml:space="preserve">GT </t>
        </is>
      </c>
      <c r="S1159" t="n">
        <v>3</v>
      </c>
      <c r="T1159" t="n">
        <v>3</v>
      </c>
      <c r="U1159" t="inlineStr">
        <is>
          <t>2007-11-05</t>
        </is>
      </c>
      <c r="V1159" t="inlineStr">
        <is>
          <t>2007-11-05</t>
        </is>
      </c>
      <c r="W1159" t="inlineStr">
        <is>
          <t>2007-10-24</t>
        </is>
      </c>
      <c r="X1159" t="inlineStr">
        <is>
          <t>2007-10-24</t>
        </is>
      </c>
      <c r="Y1159" t="n">
        <v>109</v>
      </c>
      <c r="Z1159" t="n">
        <v>80</v>
      </c>
      <c r="AA1159" t="n">
        <v>82</v>
      </c>
      <c r="AB1159" t="n">
        <v>1</v>
      </c>
      <c r="AC1159" t="n">
        <v>1</v>
      </c>
      <c r="AD1159" t="n">
        <v>4</v>
      </c>
      <c r="AE1159" t="n">
        <v>4</v>
      </c>
      <c r="AF1159" t="n">
        <v>3</v>
      </c>
      <c r="AG1159" t="n">
        <v>3</v>
      </c>
      <c r="AH1159" t="n">
        <v>1</v>
      </c>
      <c r="AI1159" t="n">
        <v>1</v>
      </c>
      <c r="AJ1159" t="n">
        <v>2</v>
      </c>
      <c r="AK1159" t="n">
        <v>2</v>
      </c>
      <c r="AL1159" t="n">
        <v>0</v>
      </c>
      <c r="AM1159" t="n">
        <v>0</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HYPERLINK("https://creighton-primo.hosted.exlibrisgroup.com/primo-explore/search?tab=default_tab&amp;search_scope=EVERYTHING&amp;vid=01CRU&amp;lang=en_US&amp;offset=0&amp;query=any,contains,991005126129702656","Catalog Record")</f>
        <v/>
      </c>
      <c r="AT1159">
        <f>HYPERLINK("http://www.worldcat.org/oclc/49875239","WorldCat Record")</f>
        <v/>
      </c>
      <c r="AU1159" t="inlineStr">
        <is>
          <t>2564860660:eng</t>
        </is>
      </c>
      <c r="AV1159" t="inlineStr">
        <is>
          <t>49875239</t>
        </is>
      </c>
      <c r="AW1159" t="inlineStr">
        <is>
          <t>991005126129702656</t>
        </is>
      </c>
      <c r="AX1159" t="inlineStr">
        <is>
          <t>991005126129702656</t>
        </is>
      </c>
      <c r="AY1159" t="inlineStr">
        <is>
          <t>2270435660002656</t>
        </is>
      </c>
      <c r="AZ1159" t="inlineStr">
        <is>
          <t>BOOK</t>
        </is>
      </c>
      <c r="BB1159" t="inlineStr">
        <is>
          <t>9780486423227</t>
        </is>
      </c>
      <c r="BC1159" t="inlineStr">
        <is>
          <t>32285005360721</t>
        </is>
      </c>
      <c r="BD1159" t="inlineStr">
        <is>
          <t>893533222</t>
        </is>
      </c>
    </row>
    <row r="1160">
      <c r="A1160" t="inlineStr">
        <is>
          <t>No</t>
        </is>
      </c>
      <c r="B1160" t="inlineStr">
        <is>
          <t>GT720 .S67 1985</t>
        </is>
      </c>
      <c r="C1160" t="inlineStr">
        <is>
          <t>0                      GT 0720000S  67          1985</t>
        </is>
      </c>
      <c r="D1160" t="inlineStr">
        <is>
          <t>Fashion and eroticism : ideals of feminine beauty from the Victorian era to the Jazz Age / Valerie Steele.</t>
        </is>
      </c>
      <c r="F1160" t="inlineStr">
        <is>
          <t>No</t>
        </is>
      </c>
      <c r="G1160" t="inlineStr">
        <is>
          <t>1</t>
        </is>
      </c>
      <c r="H1160" t="inlineStr">
        <is>
          <t>No</t>
        </is>
      </c>
      <c r="I1160" t="inlineStr">
        <is>
          <t>No</t>
        </is>
      </c>
      <c r="J1160" t="inlineStr">
        <is>
          <t>0</t>
        </is>
      </c>
      <c r="K1160" t="inlineStr">
        <is>
          <t>Steele, Valerie.</t>
        </is>
      </c>
      <c r="L1160" t="inlineStr">
        <is>
          <t>New York : Oxford University Press, 1985.</t>
        </is>
      </c>
      <c r="M1160" t="inlineStr">
        <is>
          <t>1985</t>
        </is>
      </c>
      <c r="O1160" t="inlineStr">
        <is>
          <t>eng</t>
        </is>
      </c>
      <c r="P1160" t="inlineStr">
        <is>
          <t>nyu</t>
        </is>
      </c>
      <c r="R1160" t="inlineStr">
        <is>
          <t xml:space="preserve">GT </t>
        </is>
      </c>
      <c r="S1160" t="n">
        <v>9</v>
      </c>
      <c r="T1160" t="n">
        <v>9</v>
      </c>
      <c r="U1160" t="inlineStr">
        <is>
          <t>2004-10-25</t>
        </is>
      </c>
      <c r="V1160" t="inlineStr">
        <is>
          <t>2004-10-25</t>
        </is>
      </c>
      <c r="W1160" t="inlineStr">
        <is>
          <t>1990-06-22</t>
        </is>
      </c>
      <c r="X1160" t="inlineStr">
        <is>
          <t>1990-06-22</t>
        </is>
      </c>
      <c r="Y1160" t="n">
        <v>952</v>
      </c>
      <c r="Z1160" t="n">
        <v>782</v>
      </c>
      <c r="AA1160" t="n">
        <v>786</v>
      </c>
      <c r="AB1160" t="n">
        <v>6</v>
      </c>
      <c r="AC1160" t="n">
        <v>6</v>
      </c>
      <c r="AD1160" t="n">
        <v>27</v>
      </c>
      <c r="AE1160" t="n">
        <v>27</v>
      </c>
      <c r="AF1160" t="n">
        <v>11</v>
      </c>
      <c r="AG1160" t="n">
        <v>11</v>
      </c>
      <c r="AH1160" t="n">
        <v>7</v>
      </c>
      <c r="AI1160" t="n">
        <v>7</v>
      </c>
      <c r="AJ1160" t="n">
        <v>12</v>
      </c>
      <c r="AK1160" t="n">
        <v>12</v>
      </c>
      <c r="AL1160" t="n">
        <v>4</v>
      </c>
      <c r="AM1160" t="n">
        <v>4</v>
      </c>
      <c r="AN1160" t="n">
        <v>0</v>
      </c>
      <c r="AO1160" t="n">
        <v>0</v>
      </c>
      <c r="AP1160" t="inlineStr">
        <is>
          <t>No</t>
        </is>
      </c>
      <c r="AQ1160" t="inlineStr">
        <is>
          <t>Yes</t>
        </is>
      </c>
      <c r="AR1160">
        <f>HYPERLINK("http://catalog.hathitrust.org/Record/000648939","HathiTrust Record")</f>
        <v/>
      </c>
      <c r="AS1160">
        <f>HYPERLINK("https://creighton-primo.hosted.exlibrisgroup.com/primo-explore/search?tab=default_tab&amp;search_scope=EVERYTHING&amp;vid=01CRU&amp;lang=en_US&amp;offset=0&amp;query=any,contains,991000432949702656","Catalog Record")</f>
        <v/>
      </c>
      <c r="AT1160">
        <f>HYPERLINK("http://www.worldcat.org/oclc/10780090","WorldCat Record")</f>
        <v/>
      </c>
      <c r="AU1160" t="inlineStr">
        <is>
          <t>836666448:eng</t>
        </is>
      </c>
      <c r="AV1160" t="inlineStr">
        <is>
          <t>10780090</t>
        </is>
      </c>
      <c r="AW1160" t="inlineStr">
        <is>
          <t>991000432949702656</t>
        </is>
      </c>
      <c r="AX1160" t="inlineStr">
        <is>
          <t>991000432949702656</t>
        </is>
      </c>
      <c r="AY1160" t="inlineStr">
        <is>
          <t>2255271190002656</t>
        </is>
      </c>
      <c r="AZ1160" t="inlineStr">
        <is>
          <t>BOOK</t>
        </is>
      </c>
      <c r="BB1160" t="inlineStr">
        <is>
          <t>9780195035308</t>
        </is>
      </c>
      <c r="BC1160" t="inlineStr">
        <is>
          <t>32285000212711</t>
        </is>
      </c>
      <c r="BD1160" t="inlineStr">
        <is>
          <t>893444311</t>
        </is>
      </c>
    </row>
    <row r="1161">
      <c r="A1161" t="inlineStr">
        <is>
          <t>No</t>
        </is>
      </c>
      <c r="B1161" t="inlineStr">
        <is>
          <t>GT730 .C2 1937</t>
        </is>
      </c>
      <c r="C1161" t="inlineStr">
        <is>
          <t>0                      GT 0730000C  2           1937</t>
        </is>
      </c>
      <c r="D1161" t="inlineStr">
        <is>
          <t>English costume from William I to George IV, 1066-1830 / by Dion Clayton Calthrop. With 61 colour plates by the author, 91 illustrations in black-and-white and many line drawings.</t>
        </is>
      </c>
      <c r="F1161" t="inlineStr">
        <is>
          <t>No</t>
        </is>
      </c>
      <c r="G1161" t="inlineStr">
        <is>
          <t>1</t>
        </is>
      </c>
      <c r="H1161" t="inlineStr">
        <is>
          <t>No</t>
        </is>
      </c>
      <c r="I1161" t="inlineStr">
        <is>
          <t>No</t>
        </is>
      </c>
      <c r="J1161" t="inlineStr">
        <is>
          <t>0</t>
        </is>
      </c>
      <c r="K1161" t="inlineStr">
        <is>
          <t>Calthrop, Dion Clayton, 1878-1937.</t>
        </is>
      </c>
      <c r="L1161" t="inlineStr">
        <is>
          <t>London : A. &amp; C. Black, ltd., 1937.</t>
        </is>
      </c>
      <c r="M1161" t="inlineStr">
        <is>
          <t>1937</t>
        </is>
      </c>
      <c r="O1161" t="inlineStr">
        <is>
          <t>eng</t>
        </is>
      </c>
      <c r="P1161" t="inlineStr">
        <is>
          <t>enk</t>
        </is>
      </c>
      <c r="R1161" t="inlineStr">
        <is>
          <t xml:space="preserve">GT </t>
        </is>
      </c>
      <c r="S1161" t="n">
        <v>8</v>
      </c>
      <c r="T1161" t="n">
        <v>8</v>
      </c>
      <c r="U1161" t="inlineStr">
        <is>
          <t>1998-05-22</t>
        </is>
      </c>
      <c r="V1161" t="inlineStr">
        <is>
          <t>1998-05-22</t>
        </is>
      </c>
      <c r="W1161" t="inlineStr">
        <is>
          <t>1992-04-30</t>
        </is>
      </c>
      <c r="X1161" t="inlineStr">
        <is>
          <t>1992-04-30</t>
        </is>
      </c>
      <c r="Y1161" t="n">
        <v>76</v>
      </c>
      <c r="Z1161" t="n">
        <v>64</v>
      </c>
      <c r="AA1161" t="n">
        <v>72</v>
      </c>
      <c r="AB1161" t="n">
        <v>1</v>
      </c>
      <c r="AC1161" t="n">
        <v>1</v>
      </c>
      <c r="AD1161" t="n">
        <v>1</v>
      </c>
      <c r="AE1161" t="n">
        <v>1</v>
      </c>
      <c r="AF1161" t="n">
        <v>1</v>
      </c>
      <c r="AG1161" t="n">
        <v>1</v>
      </c>
      <c r="AH1161" t="n">
        <v>0</v>
      </c>
      <c r="AI1161" t="n">
        <v>0</v>
      </c>
      <c r="AJ1161" t="n">
        <v>1</v>
      </c>
      <c r="AK1161" t="n">
        <v>1</v>
      </c>
      <c r="AL1161" t="n">
        <v>0</v>
      </c>
      <c r="AM1161" t="n">
        <v>0</v>
      </c>
      <c r="AN1161" t="n">
        <v>0</v>
      </c>
      <c r="AO1161" t="n">
        <v>0</v>
      </c>
      <c r="AP1161" t="inlineStr">
        <is>
          <t>No</t>
        </is>
      </c>
      <c r="AQ1161" t="inlineStr">
        <is>
          <t>No</t>
        </is>
      </c>
      <c r="AS1161">
        <f>HYPERLINK("https://creighton-primo.hosted.exlibrisgroup.com/primo-explore/search?tab=default_tab&amp;search_scope=EVERYTHING&amp;vid=01CRU&amp;lang=en_US&amp;offset=0&amp;query=any,contains,991004898989702656","Catalog Record")</f>
        <v/>
      </c>
      <c r="AT1161">
        <f>HYPERLINK("http://www.worldcat.org/oclc/5913226","WorldCat Record")</f>
        <v/>
      </c>
      <c r="AU1161" t="inlineStr">
        <is>
          <t>222831622:eng</t>
        </is>
      </c>
      <c r="AV1161" t="inlineStr">
        <is>
          <t>5913226</t>
        </is>
      </c>
      <c r="AW1161" t="inlineStr">
        <is>
          <t>991004898989702656</t>
        </is>
      </c>
      <c r="AX1161" t="inlineStr">
        <is>
          <t>991004898989702656</t>
        </is>
      </c>
      <c r="AY1161" t="inlineStr">
        <is>
          <t>2256164020002656</t>
        </is>
      </c>
      <c r="AZ1161" t="inlineStr">
        <is>
          <t>BOOK</t>
        </is>
      </c>
      <c r="BC1161" t="inlineStr">
        <is>
          <t>32285001090256</t>
        </is>
      </c>
      <c r="BD1161" t="inlineStr">
        <is>
          <t>893706966</t>
        </is>
      </c>
    </row>
    <row r="1162">
      <c r="A1162" t="inlineStr">
        <is>
          <t>No</t>
        </is>
      </c>
      <c r="B1162" t="inlineStr">
        <is>
          <t>GT730 .G4</t>
        </is>
      </c>
      <c r="C1162" t="inlineStr">
        <is>
          <t>0                      GT 0730000G  4</t>
        </is>
      </c>
      <c r="D1162" t="inlineStr">
        <is>
          <t>Fashion and reality, [1840-1914]</t>
        </is>
      </c>
      <c r="F1162" t="inlineStr">
        <is>
          <t>No</t>
        </is>
      </c>
      <c r="G1162" t="inlineStr">
        <is>
          <t>1</t>
        </is>
      </c>
      <c r="H1162" t="inlineStr">
        <is>
          <t>No</t>
        </is>
      </c>
      <c r="I1162" t="inlineStr">
        <is>
          <t>No</t>
        </is>
      </c>
      <c r="J1162" t="inlineStr">
        <is>
          <t>0</t>
        </is>
      </c>
      <c r="K1162" t="inlineStr">
        <is>
          <t>Gernsheim, Alison.</t>
        </is>
      </c>
      <c r="L1162" t="inlineStr">
        <is>
          <t>London : Faber and Faber, [1963]</t>
        </is>
      </c>
      <c r="M1162" t="inlineStr">
        <is>
          <t>1963</t>
        </is>
      </c>
      <c r="O1162" t="inlineStr">
        <is>
          <t>eng</t>
        </is>
      </c>
      <c r="P1162" t="inlineStr">
        <is>
          <t xml:space="preserve">xx </t>
        </is>
      </c>
      <c r="R1162" t="inlineStr">
        <is>
          <t xml:space="preserve">GT </t>
        </is>
      </c>
      <c r="S1162" t="n">
        <v>5</v>
      </c>
      <c r="T1162" t="n">
        <v>5</v>
      </c>
      <c r="U1162" t="inlineStr">
        <is>
          <t>1999-06-24</t>
        </is>
      </c>
      <c r="V1162" t="inlineStr">
        <is>
          <t>1999-06-24</t>
        </is>
      </c>
      <c r="W1162" t="inlineStr">
        <is>
          <t>1994-04-12</t>
        </is>
      </c>
      <c r="X1162" t="inlineStr">
        <is>
          <t>1994-04-12</t>
        </is>
      </c>
      <c r="Y1162" t="n">
        <v>315</v>
      </c>
      <c r="Z1162" t="n">
        <v>261</v>
      </c>
      <c r="AA1162" t="n">
        <v>276</v>
      </c>
      <c r="AB1162" t="n">
        <v>2</v>
      </c>
      <c r="AC1162" t="n">
        <v>2</v>
      </c>
      <c r="AD1162" t="n">
        <v>7</v>
      </c>
      <c r="AE1162" t="n">
        <v>7</v>
      </c>
      <c r="AF1162" t="n">
        <v>0</v>
      </c>
      <c r="AG1162" t="n">
        <v>0</v>
      </c>
      <c r="AH1162" t="n">
        <v>2</v>
      </c>
      <c r="AI1162" t="n">
        <v>2</v>
      </c>
      <c r="AJ1162" t="n">
        <v>4</v>
      </c>
      <c r="AK1162" t="n">
        <v>4</v>
      </c>
      <c r="AL1162" t="n">
        <v>1</v>
      </c>
      <c r="AM1162" t="n">
        <v>1</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HYPERLINK("https://creighton-primo.hosted.exlibrisgroup.com/primo-explore/search?tab=default_tab&amp;search_scope=EVERYTHING&amp;vid=01CRU&amp;lang=en_US&amp;offset=0&amp;query=any,contains,991000975459702656","Catalog Record")</f>
        <v/>
      </c>
      <c r="AT1162">
        <f>HYPERLINK("http://www.worldcat.org/oclc/170585","WorldCat Record")</f>
        <v/>
      </c>
      <c r="AU1162" t="inlineStr">
        <is>
          <t>494768:eng</t>
        </is>
      </c>
      <c r="AV1162" t="inlineStr">
        <is>
          <t>170585</t>
        </is>
      </c>
      <c r="AW1162" t="inlineStr">
        <is>
          <t>991000975459702656</t>
        </is>
      </c>
      <c r="AX1162" t="inlineStr">
        <is>
          <t>991000975459702656</t>
        </is>
      </c>
      <c r="AY1162" t="inlineStr">
        <is>
          <t>2269233040002656</t>
        </is>
      </c>
      <c r="AZ1162" t="inlineStr">
        <is>
          <t>BOOK</t>
        </is>
      </c>
      <c r="BC1162" t="inlineStr">
        <is>
          <t>32285001886356</t>
        </is>
      </c>
      <c r="BD1162" t="inlineStr">
        <is>
          <t>893903235</t>
        </is>
      </c>
    </row>
    <row r="1163">
      <c r="A1163" t="inlineStr">
        <is>
          <t>No</t>
        </is>
      </c>
      <c r="B1163" t="inlineStr">
        <is>
          <t>GT730 .T7 1966</t>
        </is>
      </c>
      <c r="C1163" t="inlineStr">
        <is>
          <t>0                      GT 0730000T  7           1966</t>
        </is>
      </c>
      <c r="D1163" t="inlineStr">
        <is>
          <t>Historic costuming / with additional chapters by Ruth M. Green.</t>
        </is>
      </c>
      <c r="F1163" t="inlineStr">
        <is>
          <t>No</t>
        </is>
      </c>
      <c r="G1163" t="inlineStr">
        <is>
          <t>1</t>
        </is>
      </c>
      <c r="H1163" t="inlineStr">
        <is>
          <t>No</t>
        </is>
      </c>
      <c r="I1163" t="inlineStr">
        <is>
          <t>No</t>
        </is>
      </c>
      <c r="J1163" t="inlineStr">
        <is>
          <t>0</t>
        </is>
      </c>
      <c r="K1163" t="inlineStr">
        <is>
          <t>Truman, Nevil.</t>
        </is>
      </c>
      <c r="L1163" t="inlineStr">
        <is>
          <t>London : Pitman, 1966.</t>
        </is>
      </c>
      <c r="M1163" t="inlineStr">
        <is>
          <t>1966</t>
        </is>
      </c>
      <c r="N1163" t="inlineStr">
        <is>
          <t>2nd ed.</t>
        </is>
      </c>
      <c r="O1163" t="inlineStr">
        <is>
          <t>eng</t>
        </is>
      </c>
      <c r="P1163" t="inlineStr">
        <is>
          <t>enk</t>
        </is>
      </c>
      <c r="R1163" t="inlineStr">
        <is>
          <t xml:space="preserve">GT </t>
        </is>
      </c>
      <c r="S1163" t="n">
        <v>28</v>
      </c>
      <c r="T1163" t="n">
        <v>28</v>
      </c>
      <c r="U1163" t="inlineStr">
        <is>
          <t>1999-02-10</t>
        </is>
      </c>
      <c r="V1163" t="inlineStr">
        <is>
          <t>1999-02-10</t>
        </is>
      </c>
      <c r="W1163" t="inlineStr">
        <is>
          <t>1992-04-30</t>
        </is>
      </c>
      <c r="X1163" t="inlineStr">
        <is>
          <t>1992-04-30</t>
        </is>
      </c>
      <c r="Y1163" t="n">
        <v>311</v>
      </c>
      <c r="Z1163" t="n">
        <v>205</v>
      </c>
      <c r="AA1163" t="n">
        <v>583</v>
      </c>
      <c r="AB1163" t="n">
        <v>4</v>
      </c>
      <c r="AC1163" t="n">
        <v>6</v>
      </c>
      <c r="AD1163" t="n">
        <v>5</v>
      </c>
      <c r="AE1163" t="n">
        <v>21</v>
      </c>
      <c r="AF1163" t="n">
        <v>0</v>
      </c>
      <c r="AG1163" t="n">
        <v>8</v>
      </c>
      <c r="AH1163" t="n">
        <v>1</v>
      </c>
      <c r="AI1163" t="n">
        <v>4</v>
      </c>
      <c r="AJ1163" t="n">
        <v>4</v>
      </c>
      <c r="AK1163" t="n">
        <v>9</v>
      </c>
      <c r="AL1163" t="n">
        <v>1</v>
      </c>
      <c r="AM1163" t="n">
        <v>3</v>
      </c>
      <c r="AN1163" t="n">
        <v>0</v>
      </c>
      <c r="AO1163" t="n">
        <v>0</v>
      </c>
      <c r="AP1163" t="inlineStr">
        <is>
          <t>No</t>
        </is>
      </c>
      <c r="AQ1163" t="inlineStr">
        <is>
          <t>Yes</t>
        </is>
      </c>
      <c r="AR1163">
        <f>HYPERLINK("http://catalog.hathitrust.org/Record/001287094","HathiTrust Record")</f>
        <v/>
      </c>
      <c r="AS1163">
        <f>HYPERLINK("https://creighton-primo.hosted.exlibrisgroup.com/primo-explore/search?tab=default_tab&amp;search_scope=EVERYTHING&amp;vid=01CRU&amp;lang=en_US&amp;offset=0&amp;query=any,contains,991003657839702656","Catalog Record")</f>
        <v/>
      </c>
      <c r="AT1163">
        <f>HYPERLINK("http://www.worldcat.org/oclc/1264041","WorldCat Record")</f>
        <v/>
      </c>
      <c r="AU1163" t="inlineStr">
        <is>
          <t>1605853:eng</t>
        </is>
      </c>
      <c r="AV1163" t="inlineStr">
        <is>
          <t>1264041</t>
        </is>
      </c>
      <c r="AW1163" t="inlineStr">
        <is>
          <t>991003657839702656</t>
        </is>
      </c>
      <c r="AX1163" t="inlineStr">
        <is>
          <t>991003657839702656</t>
        </is>
      </c>
      <c r="AY1163" t="inlineStr">
        <is>
          <t>2264295780002656</t>
        </is>
      </c>
      <c r="AZ1163" t="inlineStr">
        <is>
          <t>BOOK</t>
        </is>
      </c>
      <c r="BC1163" t="inlineStr">
        <is>
          <t>32285001090249</t>
        </is>
      </c>
      <c r="BD1163" t="inlineStr">
        <is>
          <t>893324314</t>
        </is>
      </c>
    </row>
    <row r="1164">
      <c r="A1164" t="inlineStr">
        <is>
          <t>No</t>
        </is>
      </c>
      <c r="B1164" t="inlineStr">
        <is>
          <t>GT733 .B34 1981</t>
        </is>
      </c>
      <c r="C1164" t="inlineStr">
        <is>
          <t>0                      GT 0733000B  34          1981</t>
        </is>
      </c>
      <c r="D1164" t="inlineStr">
        <is>
          <t>Fashion revivals : from the Elizabethan age to the present day / Barbara Burman Baines.</t>
        </is>
      </c>
      <c r="F1164" t="inlineStr">
        <is>
          <t>No</t>
        </is>
      </c>
      <c r="G1164" t="inlineStr">
        <is>
          <t>1</t>
        </is>
      </c>
      <c r="H1164" t="inlineStr">
        <is>
          <t>No</t>
        </is>
      </c>
      <c r="I1164" t="inlineStr">
        <is>
          <t>No</t>
        </is>
      </c>
      <c r="J1164" t="inlineStr">
        <is>
          <t>0</t>
        </is>
      </c>
      <c r="K1164" t="inlineStr">
        <is>
          <t>Baines, Barbara Burman.</t>
        </is>
      </c>
      <c r="L1164" t="inlineStr">
        <is>
          <t>London : Batsford, 1981.</t>
        </is>
      </c>
      <c r="M1164" t="inlineStr">
        <is>
          <t>1981</t>
        </is>
      </c>
      <c r="O1164" t="inlineStr">
        <is>
          <t>eng</t>
        </is>
      </c>
      <c r="P1164" t="inlineStr">
        <is>
          <t>enk</t>
        </is>
      </c>
      <c r="R1164" t="inlineStr">
        <is>
          <t xml:space="preserve">GT </t>
        </is>
      </c>
      <c r="S1164" t="n">
        <v>6</v>
      </c>
      <c r="T1164" t="n">
        <v>6</v>
      </c>
      <c r="U1164" t="inlineStr">
        <is>
          <t>2005-04-17</t>
        </is>
      </c>
      <c r="V1164" t="inlineStr">
        <is>
          <t>2005-04-17</t>
        </is>
      </c>
      <c r="W1164" t="inlineStr">
        <is>
          <t>1990-02-27</t>
        </is>
      </c>
      <c r="X1164" t="inlineStr">
        <is>
          <t>1990-02-27</t>
        </is>
      </c>
      <c r="Y1164" t="n">
        <v>519</v>
      </c>
      <c r="Z1164" t="n">
        <v>409</v>
      </c>
      <c r="AA1164" t="n">
        <v>417</v>
      </c>
      <c r="AB1164" t="n">
        <v>3</v>
      </c>
      <c r="AC1164" t="n">
        <v>3</v>
      </c>
      <c r="AD1164" t="n">
        <v>12</v>
      </c>
      <c r="AE1164" t="n">
        <v>12</v>
      </c>
      <c r="AF1164" t="n">
        <v>6</v>
      </c>
      <c r="AG1164" t="n">
        <v>6</v>
      </c>
      <c r="AH1164" t="n">
        <v>2</v>
      </c>
      <c r="AI1164" t="n">
        <v>2</v>
      </c>
      <c r="AJ1164" t="n">
        <v>5</v>
      </c>
      <c r="AK1164" t="n">
        <v>5</v>
      </c>
      <c r="AL1164" t="n">
        <v>2</v>
      </c>
      <c r="AM1164" t="n">
        <v>2</v>
      </c>
      <c r="AN1164" t="n">
        <v>0</v>
      </c>
      <c r="AO1164" t="n">
        <v>0</v>
      </c>
      <c r="AP1164" t="inlineStr">
        <is>
          <t>No</t>
        </is>
      </c>
      <c r="AQ1164" t="inlineStr">
        <is>
          <t>Yes</t>
        </is>
      </c>
      <c r="AR1164">
        <f>HYPERLINK("http://catalog.hathitrust.org/Record/004426069","HathiTrust Record")</f>
        <v/>
      </c>
      <c r="AS1164">
        <f>HYPERLINK("https://creighton-primo.hosted.exlibrisgroup.com/primo-explore/search?tab=default_tab&amp;search_scope=EVERYTHING&amp;vid=01CRU&amp;lang=en_US&amp;offset=0&amp;query=any,contains,991000020769702656","Catalog Record")</f>
        <v/>
      </c>
      <c r="AT1164">
        <f>HYPERLINK("http://www.worldcat.org/oclc/8316760","WorldCat Record")</f>
        <v/>
      </c>
      <c r="AU1164" t="inlineStr">
        <is>
          <t>911149438:eng</t>
        </is>
      </c>
      <c r="AV1164" t="inlineStr">
        <is>
          <t>8316760</t>
        </is>
      </c>
      <c r="AW1164" t="inlineStr">
        <is>
          <t>991000020769702656</t>
        </is>
      </c>
      <c r="AX1164" t="inlineStr">
        <is>
          <t>991000020769702656</t>
        </is>
      </c>
      <c r="AY1164" t="inlineStr">
        <is>
          <t>2260127890002656</t>
        </is>
      </c>
      <c r="AZ1164" t="inlineStr">
        <is>
          <t>BOOK</t>
        </is>
      </c>
      <c r="BB1164" t="inlineStr">
        <is>
          <t>9780713419290</t>
        </is>
      </c>
      <c r="BC1164" t="inlineStr">
        <is>
          <t>32285000070937</t>
        </is>
      </c>
      <c r="BD1164" t="inlineStr">
        <is>
          <t>893802414</t>
        </is>
      </c>
    </row>
    <row r="1165">
      <c r="A1165" t="inlineStr">
        <is>
          <t>No</t>
        </is>
      </c>
      <c r="B1165" t="inlineStr">
        <is>
          <t>GT733 .C78 1978b</t>
        </is>
      </c>
      <c r="C1165" t="inlineStr">
        <is>
          <t>0                      GT 0733000C  78          1978b</t>
        </is>
      </c>
      <c r="D1165" t="inlineStr">
        <is>
          <t>Charity costumes of children, scholars, almsfolk, pensioners / Phillis Cunnington, Catherine Lucas.</t>
        </is>
      </c>
      <c r="F1165" t="inlineStr">
        <is>
          <t>No</t>
        </is>
      </c>
      <c r="G1165" t="inlineStr">
        <is>
          <t>1</t>
        </is>
      </c>
      <c r="H1165" t="inlineStr">
        <is>
          <t>No</t>
        </is>
      </c>
      <c r="I1165" t="inlineStr">
        <is>
          <t>No</t>
        </is>
      </c>
      <c r="J1165" t="inlineStr">
        <is>
          <t>0</t>
        </is>
      </c>
      <c r="K1165" t="inlineStr">
        <is>
          <t>Cunnington, Phillis, 1887-1974.</t>
        </is>
      </c>
      <c r="L1165" t="inlineStr">
        <is>
          <t>New York : Barnes &amp; Noble Books, 1978.</t>
        </is>
      </c>
      <c r="M1165" t="inlineStr">
        <is>
          <t>1978</t>
        </is>
      </c>
      <c r="O1165" t="inlineStr">
        <is>
          <t>eng</t>
        </is>
      </c>
      <c r="P1165" t="inlineStr">
        <is>
          <t>nyu</t>
        </is>
      </c>
      <c r="R1165" t="inlineStr">
        <is>
          <t xml:space="preserve">GT </t>
        </is>
      </c>
      <c r="S1165" t="n">
        <v>4</v>
      </c>
      <c r="T1165" t="n">
        <v>4</v>
      </c>
      <c r="U1165" t="inlineStr">
        <is>
          <t>1998-11-08</t>
        </is>
      </c>
      <c r="V1165" t="inlineStr">
        <is>
          <t>1998-11-08</t>
        </is>
      </c>
      <c r="W1165" t="inlineStr">
        <is>
          <t>1990-10-02</t>
        </is>
      </c>
      <c r="X1165" t="inlineStr">
        <is>
          <t>1990-10-02</t>
        </is>
      </c>
      <c r="Y1165" t="n">
        <v>312</v>
      </c>
      <c r="Z1165" t="n">
        <v>293</v>
      </c>
      <c r="AA1165" t="n">
        <v>352</v>
      </c>
      <c r="AB1165" t="n">
        <v>3</v>
      </c>
      <c r="AC1165" t="n">
        <v>4</v>
      </c>
      <c r="AD1165" t="n">
        <v>17</v>
      </c>
      <c r="AE1165" t="n">
        <v>19</v>
      </c>
      <c r="AF1165" t="n">
        <v>5</v>
      </c>
      <c r="AG1165" t="n">
        <v>5</v>
      </c>
      <c r="AH1165" t="n">
        <v>4</v>
      </c>
      <c r="AI1165" t="n">
        <v>5</v>
      </c>
      <c r="AJ1165" t="n">
        <v>8</v>
      </c>
      <c r="AK1165" t="n">
        <v>8</v>
      </c>
      <c r="AL1165" t="n">
        <v>2</v>
      </c>
      <c r="AM1165" t="n">
        <v>3</v>
      </c>
      <c r="AN1165" t="n">
        <v>0</v>
      </c>
      <c r="AO1165" t="n">
        <v>0</v>
      </c>
      <c r="AP1165" t="inlineStr">
        <is>
          <t>No</t>
        </is>
      </c>
      <c r="AQ1165" t="inlineStr">
        <is>
          <t>Yes</t>
        </is>
      </c>
      <c r="AR1165">
        <f>HYPERLINK("http://catalog.hathitrust.org/Record/007881803","HathiTrust Record")</f>
        <v/>
      </c>
      <c r="AS1165">
        <f>HYPERLINK("https://creighton-primo.hosted.exlibrisgroup.com/primo-explore/search?tab=default_tab&amp;search_scope=EVERYTHING&amp;vid=01CRU&amp;lang=en_US&amp;offset=0&amp;query=any,contains,991004571069702656","Catalog Record")</f>
        <v/>
      </c>
      <c r="AT1165">
        <f>HYPERLINK("http://www.worldcat.org/oclc/4029093","WorldCat Record")</f>
        <v/>
      </c>
      <c r="AU1165" t="inlineStr">
        <is>
          <t>765886308:eng</t>
        </is>
      </c>
      <c r="AV1165" t="inlineStr">
        <is>
          <t>4029093</t>
        </is>
      </c>
      <c r="AW1165" t="inlineStr">
        <is>
          <t>991004571069702656</t>
        </is>
      </c>
      <c r="AX1165" t="inlineStr">
        <is>
          <t>991004571069702656</t>
        </is>
      </c>
      <c r="AY1165" t="inlineStr">
        <is>
          <t>2264920310002656</t>
        </is>
      </c>
      <c r="AZ1165" t="inlineStr">
        <is>
          <t>BOOK</t>
        </is>
      </c>
      <c r="BB1165" t="inlineStr">
        <is>
          <t>9780064913461</t>
        </is>
      </c>
      <c r="BC1165" t="inlineStr">
        <is>
          <t>32285000318534</t>
        </is>
      </c>
      <c r="BD1165" t="inlineStr">
        <is>
          <t>893500744</t>
        </is>
      </c>
    </row>
    <row r="1166">
      <c r="A1166" t="inlineStr">
        <is>
          <t>No</t>
        </is>
      </c>
      <c r="B1166" t="inlineStr">
        <is>
          <t>GT733 .E84 1984</t>
        </is>
      </c>
      <c r="C1166" t="inlineStr">
        <is>
          <t>0                      GT 0733000E  84          1984</t>
        </is>
      </c>
      <c r="D1166" t="inlineStr">
        <is>
          <t>Everyday dress, 1650-1900 / Elizabeth Ewing.</t>
        </is>
      </c>
      <c r="F1166" t="inlineStr">
        <is>
          <t>No</t>
        </is>
      </c>
      <c r="G1166" t="inlineStr">
        <is>
          <t>1</t>
        </is>
      </c>
      <c r="H1166" t="inlineStr">
        <is>
          <t>No</t>
        </is>
      </c>
      <c r="I1166" t="inlineStr">
        <is>
          <t>No</t>
        </is>
      </c>
      <c r="J1166" t="inlineStr">
        <is>
          <t>0</t>
        </is>
      </c>
      <c r="K1166" t="inlineStr">
        <is>
          <t>Ewing, Elizabeth.</t>
        </is>
      </c>
      <c r="L1166" t="inlineStr">
        <is>
          <t>New York : Chelsea House Publishers, c1984.</t>
        </is>
      </c>
      <c r="M1166" t="inlineStr">
        <is>
          <t>1984</t>
        </is>
      </c>
      <c r="O1166" t="inlineStr">
        <is>
          <t>eng</t>
        </is>
      </c>
      <c r="P1166" t="inlineStr">
        <is>
          <t>nyu</t>
        </is>
      </c>
      <c r="R1166" t="inlineStr">
        <is>
          <t xml:space="preserve">GT </t>
        </is>
      </c>
      <c r="S1166" t="n">
        <v>9</v>
      </c>
      <c r="T1166" t="n">
        <v>9</v>
      </c>
      <c r="U1166" t="inlineStr">
        <is>
          <t>1998-02-26</t>
        </is>
      </c>
      <c r="V1166" t="inlineStr">
        <is>
          <t>1998-02-26</t>
        </is>
      </c>
      <c r="W1166" t="inlineStr">
        <is>
          <t>1997-06-16</t>
        </is>
      </c>
      <c r="X1166" t="inlineStr">
        <is>
          <t>1997-06-16</t>
        </is>
      </c>
      <c r="Y1166" t="n">
        <v>568</v>
      </c>
      <c r="Z1166" t="n">
        <v>545</v>
      </c>
      <c r="AA1166" t="n">
        <v>1134</v>
      </c>
      <c r="AB1166" t="n">
        <v>5</v>
      </c>
      <c r="AC1166" t="n">
        <v>13</v>
      </c>
      <c r="AD1166" t="n">
        <v>9</v>
      </c>
      <c r="AE1166" t="n">
        <v>14</v>
      </c>
      <c r="AF1166" t="n">
        <v>7</v>
      </c>
      <c r="AG1166" t="n">
        <v>8</v>
      </c>
      <c r="AH1166" t="n">
        <v>2</v>
      </c>
      <c r="AI1166" t="n">
        <v>3</v>
      </c>
      <c r="AJ1166" t="n">
        <v>2</v>
      </c>
      <c r="AK1166" t="n">
        <v>4</v>
      </c>
      <c r="AL1166" t="n">
        <v>1</v>
      </c>
      <c r="AM1166" t="n">
        <v>3</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HYPERLINK("https://creighton-primo.hosted.exlibrisgroup.com/primo-explore/search?tab=default_tab&amp;search_scope=EVERYTHING&amp;vid=01CRU&amp;lang=en_US&amp;offset=0&amp;query=any,contains,991001731309702656","Catalog Record")</f>
        <v/>
      </c>
      <c r="AT1166">
        <f>HYPERLINK("http://www.worldcat.org/oclc/21920239","WorldCat Record")</f>
        <v/>
      </c>
      <c r="AU1166" t="inlineStr">
        <is>
          <t>894194:eng</t>
        </is>
      </c>
      <c r="AV1166" t="inlineStr">
        <is>
          <t>21920239</t>
        </is>
      </c>
      <c r="AW1166" t="inlineStr">
        <is>
          <t>991001731309702656</t>
        </is>
      </c>
      <c r="AX1166" t="inlineStr">
        <is>
          <t>991001731309702656</t>
        </is>
      </c>
      <c r="AY1166" t="inlineStr">
        <is>
          <t>2255233090002656</t>
        </is>
      </c>
      <c r="AZ1166" t="inlineStr">
        <is>
          <t>BOOK</t>
        </is>
      </c>
      <c r="BB1166" t="inlineStr">
        <is>
          <t>9781555467500</t>
        </is>
      </c>
      <c r="BC1166" t="inlineStr">
        <is>
          <t>32285002751591</t>
        </is>
      </c>
      <c r="BD1166" t="inlineStr">
        <is>
          <t>893346732</t>
        </is>
      </c>
    </row>
    <row r="1167">
      <c r="A1167" t="inlineStr">
        <is>
          <t>No</t>
        </is>
      </c>
      <c r="B1167" t="inlineStr">
        <is>
          <t>GT734 .C85 1989</t>
        </is>
      </c>
      <c r="C1167" t="inlineStr">
        <is>
          <t>0                      GT 0734000C  85          1989</t>
        </is>
      </c>
      <c r="D1167" t="inlineStr">
        <is>
          <t>Royal dress : the image and the reality 1580 to the present day / Valerie Cumming.</t>
        </is>
      </c>
      <c r="F1167" t="inlineStr">
        <is>
          <t>No</t>
        </is>
      </c>
      <c r="G1167" t="inlineStr">
        <is>
          <t>1</t>
        </is>
      </c>
      <c r="H1167" t="inlineStr">
        <is>
          <t>No</t>
        </is>
      </c>
      <c r="I1167" t="inlineStr">
        <is>
          <t>No</t>
        </is>
      </c>
      <c r="J1167" t="inlineStr">
        <is>
          <t>0</t>
        </is>
      </c>
      <c r="K1167" t="inlineStr">
        <is>
          <t>Cumming, Valerie.</t>
        </is>
      </c>
      <c r="L1167" t="inlineStr">
        <is>
          <t>London : Batsford, 1989.</t>
        </is>
      </c>
      <c r="M1167" t="inlineStr">
        <is>
          <t>1989</t>
        </is>
      </c>
      <c r="O1167" t="inlineStr">
        <is>
          <t>eng</t>
        </is>
      </c>
      <c r="P1167" t="inlineStr">
        <is>
          <t>enk</t>
        </is>
      </c>
      <c r="R1167" t="inlineStr">
        <is>
          <t xml:space="preserve">GT </t>
        </is>
      </c>
      <c r="S1167" t="n">
        <v>11</v>
      </c>
      <c r="T1167" t="n">
        <v>11</v>
      </c>
      <c r="U1167" t="inlineStr">
        <is>
          <t>1994-09-12</t>
        </is>
      </c>
      <c r="V1167" t="inlineStr">
        <is>
          <t>1994-09-12</t>
        </is>
      </c>
      <c r="W1167" t="inlineStr">
        <is>
          <t>1990-01-18</t>
        </is>
      </c>
      <c r="X1167" t="inlineStr">
        <is>
          <t>1990-01-18</t>
        </is>
      </c>
      <c r="Y1167" t="n">
        <v>135</v>
      </c>
      <c r="Z1167" t="n">
        <v>64</v>
      </c>
      <c r="AA1167" t="n">
        <v>208</v>
      </c>
      <c r="AB1167" t="n">
        <v>2</v>
      </c>
      <c r="AC1167" t="n">
        <v>2</v>
      </c>
      <c r="AD1167" t="n">
        <v>3</v>
      </c>
      <c r="AE1167" t="n">
        <v>7</v>
      </c>
      <c r="AF1167" t="n">
        <v>1</v>
      </c>
      <c r="AG1167" t="n">
        <v>3</v>
      </c>
      <c r="AH1167" t="n">
        <v>1</v>
      </c>
      <c r="AI1167" t="n">
        <v>2</v>
      </c>
      <c r="AJ1167" t="n">
        <v>0</v>
      </c>
      <c r="AK1167" t="n">
        <v>2</v>
      </c>
      <c r="AL1167" t="n">
        <v>1</v>
      </c>
      <c r="AM1167" t="n">
        <v>1</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HYPERLINK("https://creighton-primo.hosted.exlibrisgroup.com/primo-explore/search?tab=default_tab&amp;search_scope=EVERYTHING&amp;vid=01CRU&amp;lang=en_US&amp;offset=0&amp;query=any,contains,991001394439702656","Catalog Record")</f>
        <v/>
      </c>
      <c r="AT1167">
        <f>HYPERLINK("http://www.worldcat.org/oclc/18780475","WorldCat Record")</f>
        <v/>
      </c>
      <c r="AU1167" t="inlineStr">
        <is>
          <t>836745020:eng</t>
        </is>
      </c>
      <c r="AV1167" t="inlineStr">
        <is>
          <t>18780475</t>
        </is>
      </c>
      <c r="AW1167" t="inlineStr">
        <is>
          <t>991001394439702656</t>
        </is>
      </c>
      <c r="AX1167" t="inlineStr">
        <is>
          <t>991001394439702656</t>
        </is>
      </c>
      <c r="AY1167" t="inlineStr">
        <is>
          <t>2260498340002656</t>
        </is>
      </c>
      <c r="AZ1167" t="inlineStr">
        <is>
          <t>BOOK</t>
        </is>
      </c>
      <c r="BB1167" t="inlineStr">
        <is>
          <t>9780713444872</t>
        </is>
      </c>
      <c r="BC1167" t="inlineStr">
        <is>
          <t>32285000029628</t>
        </is>
      </c>
      <c r="BD1167" t="inlineStr">
        <is>
          <t>893690591</t>
        </is>
      </c>
    </row>
    <row r="1168">
      <c r="A1168" t="inlineStr">
        <is>
          <t>No</t>
        </is>
      </c>
      <c r="B1168" t="inlineStr">
        <is>
          <t>GT734 .L5</t>
        </is>
      </c>
      <c r="C1168" t="inlineStr">
        <is>
          <t>0                      GT 0734000L  5</t>
        </is>
      </c>
      <c r="D1168" t="inlineStr">
        <is>
          <t>Costume in the drama of Shakespeare and his contemporaries / by M. Channing Linthicum.</t>
        </is>
      </c>
      <c r="F1168" t="inlineStr">
        <is>
          <t>No</t>
        </is>
      </c>
      <c r="G1168" t="inlineStr">
        <is>
          <t>1</t>
        </is>
      </c>
      <c r="H1168" t="inlineStr">
        <is>
          <t>No</t>
        </is>
      </c>
      <c r="I1168" t="inlineStr">
        <is>
          <t>No</t>
        </is>
      </c>
      <c r="J1168" t="inlineStr">
        <is>
          <t>0</t>
        </is>
      </c>
      <c r="K1168" t="inlineStr">
        <is>
          <t>Linthicum, M. Channing (Marie Channing)</t>
        </is>
      </c>
      <c r="L1168" t="inlineStr">
        <is>
          <t>Oxford : The Clarendon Press, 1936.</t>
        </is>
      </c>
      <c r="M1168" t="inlineStr">
        <is>
          <t>1936</t>
        </is>
      </c>
      <c r="O1168" t="inlineStr">
        <is>
          <t>eng</t>
        </is>
      </c>
      <c r="P1168" t="inlineStr">
        <is>
          <t>enk</t>
        </is>
      </c>
      <c r="R1168" t="inlineStr">
        <is>
          <t xml:space="preserve">GT </t>
        </is>
      </c>
      <c r="S1168" t="n">
        <v>11</v>
      </c>
      <c r="T1168" t="n">
        <v>11</v>
      </c>
      <c r="U1168" t="inlineStr">
        <is>
          <t>2002-12-09</t>
        </is>
      </c>
      <c r="V1168" t="inlineStr">
        <is>
          <t>2002-12-09</t>
        </is>
      </c>
      <c r="W1168" t="inlineStr">
        <is>
          <t>1990-02-27</t>
        </is>
      </c>
      <c r="X1168" t="inlineStr">
        <is>
          <t>1990-02-27</t>
        </is>
      </c>
      <c r="Y1168" t="n">
        <v>343</v>
      </c>
      <c r="Z1168" t="n">
        <v>283</v>
      </c>
      <c r="AA1168" t="n">
        <v>822</v>
      </c>
      <c r="AB1168" t="n">
        <v>3</v>
      </c>
      <c r="AC1168" t="n">
        <v>7</v>
      </c>
      <c r="AD1168" t="n">
        <v>15</v>
      </c>
      <c r="AE1168" t="n">
        <v>37</v>
      </c>
      <c r="AF1168" t="n">
        <v>10</v>
      </c>
      <c r="AG1168" t="n">
        <v>20</v>
      </c>
      <c r="AH1168" t="n">
        <v>3</v>
      </c>
      <c r="AI1168" t="n">
        <v>7</v>
      </c>
      <c r="AJ1168" t="n">
        <v>3</v>
      </c>
      <c r="AK1168" t="n">
        <v>16</v>
      </c>
      <c r="AL1168" t="n">
        <v>2</v>
      </c>
      <c r="AM1168" t="n">
        <v>5</v>
      </c>
      <c r="AN1168" t="n">
        <v>0</v>
      </c>
      <c r="AO1168" t="n">
        <v>0</v>
      </c>
      <c r="AP1168" t="inlineStr">
        <is>
          <t>No</t>
        </is>
      </c>
      <c r="AQ1168" t="inlineStr">
        <is>
          <t>Yes</t>
        </is>
      </c>
      <c r="AR1168">
        <f>HYPERLINK("http://catalog.hathitrust.org/Record/002490104","HathiTrust Record")</f>
        <v/>
      </c>
      <c r="AS1168">
        <f>HYPERLINK("https://creighton-primo.hosted.exlibrisgroup.com/primo-explore/search?tab=default_tab&amp;search_scope=EVERYTHING&amp;vid=01CRU&amp;lang=en_US&amp;offset=0&amp;query=any,contains,991003796919702656","Catalog Record")</f>
        <v/>
      </c>
      <c r="AT1168">
        <f>HYPERLINK("http://www.worldcat.org/oclc/1520556","WorldCat Record")</f>
        <v/>
      </c>
      <c r="AU1168" t="inlineStr">
        <is>
          <t>1531202:eng</t>
        </is>
      </c>
      <c r="AV1168" t="inlineStr">
        <is>
          <t>1520556</t>
        </is>
      </c>
      <c r="AW1168" t="inlineStr">
        <is>
          <t>991003796919702656</t>
        </is>
      </c>
      <c r="AX1168" t="inlineStr">
        <is>
          <t>991003796919702656</t>
        </is>
      </c>
      <c r="AY1168" t="inlineStr">
        <is>
          <t>2262552740002656</t>
        </is>
      </c>
      <c r="AZ1168" t="inlineStr">
        <is>
          <t>BOOK</t>
        </is>
      </c>
      <c r="BC1168" t="inlineStr">
        <is>
          <t>32285000062579</t>
        </is>
      </c>
      <c r="BD1168" t="inlineStr">
        <is>
          <t>893422981</t>
        </is>
      </c>
    </row>
    <row r="1169">
      <c r="A1169" t="inlineStr">
        <is>
          <t>No</t>
        </is>
      </c>
      <c r="B1169" t="inlineStr">
        <is>
          <t>GT737 .W35 1989</t>
        </is>
      </c>
      <c r="C1169" t="inlineStr">
        <is>
          <t>0                      GT 0737000W  35          1989</t>
        </is>
      </c>
      <c r="D1169" t="inlineStr">
        <is>
          <t>Dressed to impress, 1840-1914 / Christina Walkley.</t>
        </is>
      </c>
      <c r="F1169" t="inlineStr">
        <is>
          <t>No</t>
        </is>
      </c>
      <c r="G1169" t="inlineStr">
        <is>
          <t>1</t>
        </is>
      </c>
      <c r="H1169" t="inlineStr">
        <is>
          <t>No</t>
        </is>
      </c>
      <c r="I1169" t="inlineStr">
        <is>
          <t>No</t>
        </is>
      </c>
      <c r="J1169" t="inlineStr">
        <is>
          <t>0</t>
        </is>
      </c>
      <c r="K1169" t="inlineStr">
        <is>
          <t>Walkley, Christina.</t>
        </is>
      </c>
      <c r="L1169" t="inlineStr">
        <is>
          <t>London : Batsford, 1989.</t>
        </is>
      </c>
      <c r="M1169" t="inlineStr">
        <is>
          <t>1989</t>
        </is>
      </c>
      <c r="O1169" t="inlineStr">
        <is>
          <t>eng</t>
        </is>
      </c>
      <c r="P1169" t="inlineStr">
        <is>
          <t>enk</t>
        </is>
      </c>
      <c r="R1169" t="inlineStr">
        <is>
          <t xml:space="preserve">GT </t>
        </is>
      </c>
      <c r="S1169" t="n">
        <v>8</v>
      </c>
      <c r="T1169" t="n">
        <v>8</v>
      </c>
      <c r="U1169" t="inlineStr">
        <is>
          <t>1998-04-24</t>
        </is>
      </c>
      <c r="V1169" t="inlineStr">
        <is>
          <t>1998-04-24</t>
        </is>
      </c>
      <c r="W1169" t="inlineStr">
        <is>
          <t>1989-11-16</t>
        </is>
      </c>
      <c r="X1169" t="inlineStr">
        <is>
          <t>1989-11-16</t>
        </is>
      </c>
      <c r="Y1169" t="n">
        <v>138</v>
      </c>
      <c r="Z1169" t="n">
        <v>65</v>
      </c>
      <c r="AA1169" t="n">
        <v>66</v>
      </c>
      <c r="AB1169" t="n">
        <v>1</v>
      </c>
      <c r="AC1169" t="n">
        <v>1</v>
      </c>
      <c r="AD1169" t="n">
        <v>0</v>
      </c>
      <c r="AE1169" t="n">
        <v>0</v>
      </c>
      <c r="AF1169" t="n">
        <v>0</v>
      </c>
      <c r="AG1169" t="n">
        <v>0</v>
      </c>
      <c r="AH1169" t="n">
        <v>0</v>
      </c>
      <c r="AI1169" t="n">
        <v>0</v>
      </c>
      <c r="AJ1169" t="n">
        <v>0</v>
      </c>
      <c r="AK1169" t="n">
        <v>0</v>
      </c>
      <c r="AL1169" t="n">
        <v>0</v>
      </c>
      <c r="AM1169" t="n">
        <v>0</v>
      </c>
      <c r="AN1169" t="n">
        <v>0</v>
      </c>
      <c r="AO1169" t="n">
        <v>0</v>
      </c>
      <c r="AP1169" t="inlineStr">
        <is>
          <t>No</t>
        </is>
      </c>
      <c r="AQ1169" t="inlineStr">
        <is>
          <t>Yes</t>
        </is>
      </c>
      <c r="AR1169">
        <f>HYPERLINK("http://catalog.hathitrust.org/Record/006931668","HathiTrust Record")</f>
        <v/>
      </c>
      <c r="AS1169">
        <f>HYPERLINK("https://creighton-primo.hosted.exlibrisgroup.com/primo-explore/search?tab=default_tab&amp;search_scope=EVERYTHING&amp;vid=01CRU&amp;lang=en_US&amp;offset=0&amp;query=any,contains,991001400199702656","Catalog Record")</f>
        <v/>
      </c>
      <c r="AT1169">
        <f>HYPERLINK("http://www.worldcat.org/oclc/21765247","WorldCat Record")</f>
        <v/>
      </c>
      <c r="AU1169" t="inlineStr">
        <is>
          <t>23105241:eng</t>
        </is>
      </c>
      <c r="AV1169" t="inlineStr">
        <is>
          <t>21765247</t>
        </is>
      </c>
      <c r="AW1169" t="inlineStr">
        <is>
          <t>991001400199702656</t>
        </is>
      </c>
      <c r="AX1169" t="inlineStr">
        <is>
          <t>991001400199702656</t>
        </is>
      </c>
      <c r="AY1169" t="inlineStr">
        <is>
          <t>2266089730002656</t>
        </is>
      </c>
      <c r="AZ1169" t="inlineStr">
        <is>
          <t>BOOK</t>
        </is>
      </c>
      <c r="BB1169" t="inlineStr">
        <is>
          <t>9780713460100</t>
        </is>
      </c>
      <c r="BC1169" t="inlineStr">
        <is>
          <t>32285000013218</t>
        </is>
      </c>
      <c r="BD1169" t="inlineStr">
        <is>
          <t>893715418</t>
        </is>
      </c>
    </row>
    <row r="1170">
      <c r="A1170" t="inlineStr">
        <is>
          <t>No</t>
        </is>
      </c>
      <c r="B1170" t="inlineStr">
        <is>
          <t>GV1002.9.P75 W45 1988</t>
        </is>
      </c>
      <c r="C1170" t="inlineStr">
        <is>
          <t>0                      GV 1002900P  75                 W  45          1988</t>
        </is>
      </c>
      <c r="D1170" t="inlineStr">
        <is>
          <t>The mental ADvantage : developing your psychological skills in tennis / Robert S. Weinberg.</t>
        </is>
      </c>
      <c r="F1170" t="inlineStr">
        <is>
          <t>No</t>
        </is>
      </c>
      <c r="G1170" t="inlineStr">
        <is>
          <t>1</t>
        </is>
      </c>
      <c r="H1170" t="inlineStr">
        <is>
          <t>No</t>
        </is>
      </c>
      <c r="I1170" t="inlineStr">
        <is>
          <t>No</t>
        </is>
      </c>
      <c r="J1170" t="inlineStr">
        <is>
          <t>0</t>
        </is>
      </c>
      <c r="K1170" t="inlineStr">
        <is>
          <t>Weinberg, Robert S. (Robert Stephen)</t>
        </is>
      </c>
      <c r="L1170" t="inlineStr">
        <is>
          <t>Champaign, Ill. : Leisure Press, c1988.</t>
        </is>
      </c>
      <c r="M1170" t="inlineStr">
        <is>
          <t>1988</t>
        </is>
      </c>
      <c r="O1170" t="inlineStr">
        <is>
          <t>eng</t>
        </is>
      </c>
      <c r="P1170" t="inlineStr">
        <is>
          <t>ilu</t>
        </is>
      </c>
      <c r="R1170" t="inlineStr">
        <is>
          <t xml:space="preserve">GV </t>
        </is>
      </c>
      <c r="S1170" t="n">
        <v>4</v>
      </c>
      <c r="T1170" t="n">
        <v>4</v>
      </c>
      <c r="U1170" t="inlineStr">
        <is>
          <t>1997-11-23</t>
        </is>
      </c>
      <c r="V1170" t="inlineStr">
        <is>
          <t>1997-11-23</t>
        </is>
      </c>
      <c r="W1170" t="inlineStr">
        <is>
          <t>1990-08-01</t>
        </is>
      </c>
      <c r="X1170" t="inlineStr">
        <is>
          <t>1990-08-01</t>
        </is>
      </c>
      <c r="Y1170" t="n">
        <v>276</v>
      </c>
      <c r="Z1170" t="n">
        <v>191</v>
      </c>
      <c r="AA1170" t="n">
        <v>193</v>
      </c>
      <c r="AB1170" t="n">
        <v>1</v>
      </c>
      <c r="AC1170" t="n">
        <v>1</v>
      </c>
      <c r="AD1170" t="n">
        <v>2</v>
      </c>
      <c r="AE1170" t="n">
        <v>2</v>
      </c>
      <c r="AF1170" t="n">
        <v>1</v>
      </c>
      <c r="AG1170" t="n">
        <v>1</v>
      </c>
      <c r="AH1170" t="n">
        <v>1</v>
      </c>
      <c r="AI1170" t="n">
        <v>1</v>
      </c>
      <c r="AJ1170" t="n">
        <v>1</v>
      </c>
      <c r="AK1170" t="n">
        <v>1</v>
      </c>
      <c r="AL1170" t="n">
        <v>0</v>
      </c>
      <c r="AM1170" t="n">
        <v>0</v>
      </c>
      <c r="AN1170" t="n">
        <v>0</v>
      </c>
      <c r="AO1170" t="n">
        <v>0</v>
      </c>
      <c r="AP1170" t="inlineStr">
        <is>
          <t>No</t>
        </is>
      </c>
      <c r="AQ1170" t="inlineStr">
        <is>
          <t>Yes</t>
        </is>
      </c>
      <c r="AR1170">
        <f>HYPERLINK("http://catalog.hathitrust.org/Record/009440794","HathiTrust Record")</f>
        <v/>
      </c>
      <c r="AS1170">
        <f>HYPERLINK("https://creighton-primo.hosted.exlibrisgroup.com/primo-explore/search?tab=default_tab&amp;search_scope=EVERYTHING&amp;vid=01CRU&amp;lang=en_US&amp;offset=0&amp;query=any,contains,991001026369702656","Catalog Record")</f>
        <v/>
      </c>
      <c r="AT1170">
        <f>HYPERLINK("http://www.worldcat.org/oclc/15485773","WorldCat Record")</f>
        <v/>
      </c>
      <c r="AU1170" t="inlineStr">
        <is>
          <t>375104200:eng</t>
        </is>
      </c>
      <c r="AV1170" t="inlineStr">
        <is>
          <t>15485773</t>
        </is>
      </c>
      <c r="AW1170" t="inlineStr">
        <is>
          <t>991001026369702656</t>
        </is>
      </c>
      <c r="AX1170" t="inlineStr">
        <is>
          <t>991001026369702656</t>
        </is>
      </c>
      <c r="AY1170" t="inlineStr">
        <is>
          <t>2272243640002656</t>
        </is>
      </c>
      <c r="AZ1170" t="inlineStr">
        <is>
          <t>BOOK</t>
        </is>
      </c>
      <c r="BB1170" t="inlineStr">
        <is>
          <t>9780880112932</t>
        </is>
      </c>
      <c r="BC1170" t="inlineStr">
        <is>
          <t>32285000249481</t>
        </is>
      </c>
      <c r="BD1170" t="inlineStr">
        <is>
          <t>893808917</t>
        </is>
      </c>
    </row>
    <row r="1171">
      <c r="A1171" t="inlineStr">
        <is>
          <t>No</t>
        </is>
      </c>
      <c r="B1171" t="inlineStr">
        <is>
          <t>GV1005 .B55 1967</t>
        </is>
      </c>
      <c r="C1171" t="inlineStr">
        <is>
          <t>0                      GV 1005000B  55          1967</t>
        </is>
      </c>
      <c r="D1171" t="inlineStr">
        <is>
          <t>Table tennis / [by] Margaret Varner [and] J. Rufford Harrison.</t>
        </is>
      </c>
      <c r="F1171" t="inlineStr">
        <is>
          <t>No</t>
        </is>
      </c>
      <c r="G1171" t="inlineStr">
        <is>
          <t>1</t>
        </is>
      </c>
      <c r="H1171" t="inlineStr">
        <is>
          <t>No</t>
        </is>
      </c>
      <c r="I1171" t="inlineStr">
        <is>
          <t>No</t>
        </is>
      </c>
      <c r="J1171" t="inlineStr">
        <is>
          <t>0</t>
        </is>
      </c>
      <c r="K1171" t="inlineStr">
        <is>
          <t>Bloss, Margaret Varner.</t>
        </is>
      </c>
      <c r="L1171" t="inlineStr">
        <is>
          <t>Dubuque, Iowa : W.C. Brown Co., [1967]</t>
        </is>
      </c>
      <c r="M1171" t="inlineStr">
        <is>
          <t>1967</t>
        </is>
      </c>
      <c r="O1171" t="inlineStr">
        <is>
          <t>eng</t>
        </is>
      </c>
      <c r="P1171" t="inlineStr">
        <is>
          <t>iau</t>
        </is>
      </c>
      <c r="Q1171" t="inlineStr">
        <is>
          <t>Physical education activities series</t>
        </is>
      </c>
      <c r="R1171" t="inlineStr">
        <is>
          <t xml:space="preserve">GV </t>
        </is>
      </c>
      <c r="S1171" t="n">
        <v>8</v>
      </c>
      <c r="T1171" t="n">
        <v>8</v>
      </c>
      <c r="U1171" t="inlineStr">
        <is>
          <t>2010-03-01</t>
        </is>
      </c>
      <c r="V1171" t="inlineStr">
        <is>
          <t>2010-03-01</t>
        </is>
      </c>
      <c r="W1171" t="inlineStr">
        <is>
          <t>1990-02-21</t>
        </is>
      </c>
      <c r="X1171" t="inlineStr">
        <is>
          <t>1990-02-21</t>
        </is>
      </c>
      <c r="Y1171" t="n">
        <v>405</v>
      </c>
      <c r="Z1171" t="n">
        <v>365</v>
      </c>
      <c r="AA1171" t="n">
        <v>368</v>
      </c>
      <c r="AB1171" t="n">
        <v>5</v>
      </c>
      <c r="AC1171" t="n">
        <v>5</v>
      </c>
      <c r="AD1171" t="n">
        <v>12</v>
      </c>
      <c r="AE1171" t="n">
        <v>12</v>
      </c>
      <c r="AF1171" t="n">
        <v>5</v>
      </c>
      <c r="AG1171" t="n">
        <v>5</v>
      </c>
      <c r="AH1171" t="n">
        <v>1</v>
      </c>
      <c r="AI1171" t="n">
        <v>1</v>
      </c>
      <c r="AJ1171" t="n">
        <v>3</v>
      </c>
      <c r="AK1171" t="n">
        <v>3</v>
      </c>
      <c r="AL1171" t="n">
        <v>4</v>
      </c>
      <c r="AM1171" t="n">
        <v>4</v>
      </c>
      <c r="AN1171" t="n">
        <v>0</v>
      </c>
      <c r="AO1171" t="n">
        <v>0</v>
      </c>
      <c r="AP1171" t="inlineStr">
        <is>
          <t>No</t>
        </is>
      </c>
      <c r="AQ1171" t="inlineStr">
        <is>
          <t>Yes</t>
        </is>
      </c>
      <c r="AR1171">
        <f>HYPERLINK("http://catalog.hathitrust.org/Record/101873117","HathiTrust Record")</f>
        <v/>
      </c>
      <c r="AS1171">
        <f>HYPERLINK("https://creighton-primo.hosted.exlibrisgroup.com/primo-explore/search?tab=default_tab&amp;search_scope=EVERYTHING&amp;vid=01CRU&amp;lang=en_US&amp;offset=0&amp;query=any,contains,991003430739702656","Catalog Record")</f>
        <v/>
      </c>
      <c r="AT1171">
        <f>HYPERLINK("http://www.worldcat.org/oclc/241913","WorldCat Record")</f>
        <v/>
      </c>
      <c r="AU1171" t="inlineStr">
        <is>
          <t>1388469:eng</t>
        </is>
      </c>
      <c r="AV1171" t="inlineStr">
        <is>
          <t>241913</t>
        </is>
      </c>
      <c r="AW1171" t="inlineStr">
        <is>
          <t>991003430739702656</t>
        </is>
      </c>
      <c r="AX1171" t="inlineStr">
        <is>
          <t>991003430739702656</t>
        </is>
      </c>
      <c r="AY1171" t="inlineStr">
        <is>
          <t>2258262830002656</t>
        </is>
      </c>
      <c r="AZ1171" t="inlineStr">
        <is>
          <t>BOOK</t>
        </is>
      </c>
      <c r="BC1171" t="inlineStr">
        <is>
          <t>32285000058528</t>
        </is>
      </c>
      <c r="BD1171" t="inlineStr">
        <is>
          <t>893258412</t>
        </is>
      </c>
    </row>
    <row r="1172">
      <c r="A1172" t="inlineStr">
        <is>
          <t>No</t>
        </is>
      </c>
      <c r="B1172" t="inlineStr">
        <is>
          <t>GV1007 .B64 1996</t>
        </is>
      </c>
      <c r="C1172" t="inlineStr">
        <is>
          <t>0                      GV 1007000B  64          1996</t>
        </is>
      </c>
      <c r="D1172" t="inlineStr">
        <is>
          <t>Badminton / Steven Boga.</t>
        </is>
      </c>
      <c r="F1172" t="inlineStr">
        <is>
          <t>No</t>
        </is>
      </c>
      <c r="G1172" t="inlineStr">
        <is>
          <t>1</t>
        </is>
      </c>
      <c r="H1172" t="inlineStr">
        <is>
          <t>No</t>
        </is>
      </c>
      <c r="I1172" t="inlineStr">
        <is>
          <t>No</t>
        </is>
      </c>
      <c r="J1172" t="inlineStr">
        <is>
          <t>0</t>
        </is>
      </c>
      <c r="K1172" t="inlineStr">
        <is>
          <t>Boga, Steve, 1947-</t>
        </is>
      </c>
      <c r="L1172" t="inlineStr">
        <is>
          <t>Mechanicsburg, PA : Stackpole Books, c1996.</t>
        </is>
      </c>
      <c r="M1172" t="inlineStr">
        <is>
          <t>1996</t>
        </is>
      </c>
      <c r="N1172" t="inlineStr">
        <is>
          <t>1st ed.</t>
        </is>
      </c>
      <c r="O1172" t="inlineStr">
        <is>
          <t>eng</t>
        </is>
      </c>
      <c r="P1172" t="inlineStr">
        <is>
          <t>pau</t>
        </is>
      </c>
      <c r="R1172" t="inlineStr">
        <is>
          <t xml:space="preserve">GV </t>
        </is>
      </c>
      <c r="S1172" t="n">
        <v>3</v>
      </c>
      <c r="T1172" t="n">
        <v>3</v>
      </c>
      <c r="U1172" t="inlineStr">
        <is>
          <t>2004-09-20</t>
        </is>
      </c>
      <c r="V1172" t="inlineStr">
        <is>
          <t>2004-09-20</t>
        </is>
      </c>
      <c r="W1172" t="inlineStr">
        <is>
          <t>1996-06-13</t>
        </is>
      </c>
      <c r="X1172" t="inlineStr">
        <is>
          <t>1996-06-13</t>
        </is>
      </c>
      <c r="Y1172" t="n">
        <v>418</v>
      </c>
      <c r="Z1172" t="n">
        <v>386</v>
      </c>
      <c r="AA1172" t="n">
        <v>669</v>
      </c>
      <c r="AB1172" t="n">
        <v>3</v>
      </c>
      <c r="AC1172" t="n">
        <v>26</v>
      </c>
      <c r="AD1172" t="n">
        <v>2</v>
      </c>
      <c r="AE1172" t="n">
        <v>18</v>
      </c>
      <c r="AF1172" t="n">
        <v>0</v>
      </c>
      <c r="AG1172" t="n">
        <v>5</v>
      </c>
      <c r="AH1172" t="n">
        <v>0</v>
      </c>
      <c r="AI1172" t="n">
        <v>1</v>
      </c>
      <c r="AJ1172" t="n">
        <v>0</v>
      </c>
      <c r="AK1172" t="n">
        <v>4</v>
      </c>
      <c r="AL1172" t="n">
        <v>2</v>
      </c>
      <c r="AM1172" t="n">
        <v>11</v>
      </c>
      <c r="AN1172" t="n">
        <v>0</v>
      </c>
      <c r="AO1172" t="n">
        <v>0</v>
      </c>
      <c r="AP1172" t="inlineStr">
        <is>
          <t>No</t>
        </is>
      </c>
      <c r="AQ1172" t="inlineStr">
        <is>
          <t>No</t>
        </is>
      </c>
      <c r="AS1172">
        <f>HYPERLINK("https://creighton-primo.hosted.exlibrisgroup.com/primo-explore/search?tab=default_tab&amp;search_scope=EVERYTHING&amp;vid=01CRU&amp;lang=en_US&amp;offset=0&amp;query=any,contains,991002508229702656","Catalog Record")</f>
        <v/>
      </c>
      <c r="AT1172">
        <f>HYPERLINK("http://www.worldcat.org/oclc/32625210","WorldCat Record")</f>
        <v/>
      </c>
      <c r="AU1172" t="inlineStr">
        <is>
          <t>1009647:eng</t>
        </is>
      </c>
      <c r="AV1172" t="inlineStr">
        <is>
          <t>32625210</t>
        </is>
      </c>
      <c r="AW1172" t="inlineStr">
        <is>
          <t>991002508229702656</t>
        </is>
      </c>
      <c r="AX1172" t="inlineStr">
        <is>
          <t>991002508229702656</t>
        </is>
      </c>
      <c r="AY1172" t="inlineStr">
        <is>
          <t>2269194510002656</t>
        </is>
      </c>
      <c r="AZ1172" t="inlineStr">
        <is>
          <t>BOOK</t>
        </is>
      </c>
      <c r="BB1172" t="inlineStr">
        <is>
          <t>9780811724876</t>
        </is>
      </c>
      <c r="BC1172" t="inlineStr">
        <is>
          <t>32285002192564</t>
        </is>
      </c>
      <c r="BD1172" t="inlineStr">
        <is>
          <t>893535047</t>
        </is>
      </c>
    </row>
    <row r="1173">
      <c r="A1173" t="inlineStr">
        <is>
          <t>No</t>
        </is>
      </c>
      <c r="B1173" t="inlineStr">
        <is>
          <t>GV1007 .P6 1982</t>
        </is>
      </c>
      <c r="C1173" t="inlineStr">
        <is>
          <t>0                      GV 1007000P  6           1982</t>
        </is>
      </c>
      <c r="D1173" t="inlineStr">
        <is>
          <t>Badminton / James Poole.</t>
        </is>
      </c>
      <c r="F1173" t="inlineStr">
        <is>
          <t>No</t>
        </is>
      </c>
      <c r="G1173" t="inlineStr">
        <is>
          <t>1</t>
        </is>
      </c>
      <c r="H1173" t="inlineStr">
        <is>
          <t>No</t>
        </is>
      </c>
      <c r="I1173" t="inlineStr">
        <is>
          <t>No</t>
        </is>
      </c>
      <c r="J1173" t="inlineStr">
        <is>
          <t>0</t>
        </is>
      </c>
      <c r="K1173" t="inlineStr">
        <is>
          <t>Poole, James.</t>
        </is>
      </c>
      <c r="L1173" t="inlineStr">
        <is>
          <t>Glenview, Ill. : Scott, Foresman, c1982.</t>
        </is>
      </c>
      <c r="M1173" t="inlineStr">
        <is>
          <t>1982</t>
        </is>
      </c>
      <c r="N1173" t="inlineStr">
        <is>
          <t>3rd ed.</t>
        </is>
      </c>
      <c r="O1173" t="inlineStr">
        <is>
          <t>eng</t>
        </is>
      </c>
      <c r="P1173" t="inlineStr">
        <is>
          <t>ilu</t>
        </is>
      </c>
      <c r="Q1173" t="inlineStr">
        <is>
          <t>Goodyear physical activities series</t>
        </is>
      </c>
      <c r="R1173" t="inlineStr">
        <is>
          <t xml:space="preserve">GV </t>
        </is>
      </c>
      <c r="S1173" t="n">
        <v>4</v>
      </c>
      <c r="T1173" t="n">
        <v>4</v>
      </c>
      <c r="U1173" t="inlineStr">
        <is>
          <t>2009-11-01</t>
        </is>
      </c>
      <c r="V1173" t="inlineStr">
        <is>
          <t>2009-11-01</t>
        </is>
      </c>
      <c r="W1173" t="inlineStr">
        <is>
          <t>1990-08-01</t>
        </is>
      </c>
      <c r="X1173" t="inlineStr">
        <is>
          <t>1990-08-01</t>
        </is>
      </c>
      <c r="Y1173" t="n">
        <v>131</v>
      </c>
      <c r="Z1173" t="n">
        <v>112</v>
      </c>
      <c r="AA1173" t="n">
        <v>533</v>
      </c>
      <c r="AB1173" t="n">
        <v>1</v>
      </c>
      <c r="AC1173" t="n">
        <v>4</v>
      </c>
      <c r="AD1173" t="n">
        <v>0</v>
      </c>
      <c r="AE1173" t="n">
        <v>8</v>
      </c>
      <c r="AF1173" t="n">
        <v>0</v>
      </c>
      <c r="AG1173" t="n">
        <v>4</v>
      </c>
      <c r="AH1173" t="n">
        <v>0</v>
      </c>
      <c r="AI1173" t="n">
        <v>0</v>
      </c>
      <c r="AJ1173" t="n">
        <v>0</v>
      </c>
      <c r="AK1173" t="n">
        <v>3</v>
      </c>
      <c r="AL1173" t="n">
        <v>0</v>
      </c>
      <c r="AM1173" t="n">
        <v>3</v>
      </c>
      <c r="AN1173" t="n">
        <v>0</v>
      </c>
      <c r="AO1173" t="n">
        <v>0</v>
      </c>
      <c r="AP1173" t="inlineStr">
        <is>
          <t>No</t>
        </is>
      </c>
      <c r="AQ1173" t="inlineStr">
        <is>
          <t>Yes</t>
        </is>
      </c>
      <c r="AR1173">
        <f>HYPERLINK("http://catalog.hathitrust.org/Record/009440800","HathiTrust Record")</f>
        <v/>
      </c>
      <c r="AS1173">
        <f>HYPERLINK("https://creighton-primo.hosted.exlibrisgroup.com/primo-explore/search?tab=default_tab&amp;search_scope=EVERYTHING&amp;vid=01CRU&amp;lang=en_US&amp;offset=0&amp;query=any,contains,991005185179702656","Catalog Record")</f>
        <v/>
      </c>
      <c r="AT1173">
        <f>HYPERLINK("http://www.worldcat.org/oclc/7975355","WorldCat Record")</f>
        <v/>
      </c>
      <c r="AU1173" t="inlineStr">
        <is>
          <t>3901027774:eng</t>
        </is>
      </c>
      <c r="AV1173" t="inlineStr">
        <is>
          <t>7975355</t>
        </is>
      </c>
      <c r="AW1173" t="inlineStr">
        <is>
          <t>991005185179702656</t>
        </is>
      </c>
      <c r="AX1173" t="inlineStr">
        <is>
          <t>991005185179702656</t>
        </is>
      </c>
      <c r="AY1173" t="inlineStr">
        <is>
          <t>2264018280002656</t>
        </is>
      </c>
      <c r="AZ1173" t="inlineStr">
        <is>
          <t>BOOK</t>
        </is>
      </c>
      <c r="BB1173" t="inlineStr">
        <is>
          <t>9780673160416</t>
        </is>
      </c>
      <c r="BC1173" t="inlineStr">
        <is>
          <t>32285000249531</t>
        </is>
      </c>
      <c r="BD1173" t="inlineStr">
        <is>
          <t>893514198</t>
        </is>
      </c>
    </row>
    <row r="1174">
      <c r="A1174" t="inlineStr">
        <is>
          <t>No</t>
        </is>
      </c>
      <c r="B1174" t="inlineStr">
        <is>
          <t>GV1017.H7 D4 1966</t>
        </is>
      </c>
      <c r="C1174" t="inlineStr">
        <is>
          <t>0                      GV 1017000H  7                  D  4           1966</t>
        </is>
      </c>
      <c r="D1174" t="inlineStr">
        <is>
          <t>Field hockey / Anne Lee Delano. Illustrated by Jean Putnam.</t>
        </is>
      </c>
      <c r="F1174" t="inlineStr">
        <is>
          <t>No</t>
        </is>
      </c>
      <c r="G1174" t="inlineStr">
        <is>
          <t>1</t>
        </is>
      </c>
      <c r="H1174" t="inlineStr">
        <is>
          <t>No</t>
        </is>
      </c>
      <c r="I1174" t="inlineStr">
        <is>
          <t>No</t>
        </is>
      </c>
      <c r="J1174" t="inlineStr">
        <is>
          <t>0</t>
        </is>
      </c>
      <c r="K1174" t="inlineStr">
        <is>
          <t>Delano, Anne Lee.</t>
        </is>
      </c>
      <c r="L1174" t="inlineStr">
        <is>
          <t>Dubuque, Iowa : W. C. Brown, [1966]</t>
        </is>
      </c>
      <c r="M1174" t="inlineStr">
        <is>
          <t>1966</t>
        </is>
      </c>
      <c r="O1174" t="inlineStr">
        <is>
          <t>eng</t>
        </is>
      </c>
      <c r="P1174" t="inlineStr">
        <is>
          <t>iau</t>
        </is>
      </c>
      <c r="Q1174" t="inlineStr">
        <is>
          <t>Brown physical education activities series</t>
        </is>
      </c>
      <c r="R1174" t="inlineStr">
        <is>
          <t xml:space="preserve">GV </t>
        </is>
      </c>
      <c r="S1174" t="n">
        <v>5</v>
      </c>
      <c r="T1174" t="n">
        <v>5</v>
      </c>
      <c r="U1174" t="inlineStr">
        <is>
          <t>2006-02-07</t>
        </is>
      </c>
      <c r="V1174" t="inlineStr">
        <is>
          <t>2006-02-07</t>
        </is>
      </c>
      <c r="W1174" t="inlineStr">
        <is>
          <t>1990-10-30</t>
        </is>
      </c>
      <c r="X1174" t="inlineStr">
        <is>
          <t>1990-10-30</t>
        </is>
      </c>
      <c r="Y1174" t="n">
        <v>460</v>
      </c>
      <c r="Z1174" t="n">
        <v>415</v>
      </c>
      <c r="AA1174" t="n">
        <v>416</v>
      </c>
      <c r="AB1174" t="n">
        <v>4</v>
      </c>
      <c r="AC1174" t="n">
        <v>4</v>
      </c>
      <c r="AD1174" t="n">
        <v>12</v>
      </c>
      <c r="AE1174" t="n">
        <v>12</v>
      </c>
      <c r="AF1174" t="n">
        <v>7</v>
      </c>
      <c r="AG1174" t="n">
        <v>7</v>
      </c>
      <c r="AH1174" t="n">
        <v>1</v>
      </c>
      <c r="AI1174" t="n">
        <v>1</v>
      </c>
      <c r="AJ1174" t="n">
        <v>3</v>
      </c>
      <c r="AK1174" t="n">
        <v>3</v>
      </c>
      <c r="AL1174" t="n">
        <v>3</v>
      </c>
      <c r="AM1174" t="n">
        <v>3</v>
      </c>
      <c r="AN1174" t="n">
        <v>0</v>
      </c>
      <c r="AO1174" t="n">
        <v>0</v>
      </c>
      <c r="AP1174" t="inlineStr">
        <is>
          <t>No</t>
        </is>
      </c>
      <c r="AQ1174" t="inlineStr">
        <is>
          <t>Yes</t>
        </is>
      </c>
      <c r="AR1174">
        <f>HYPERLINK("http://catalog.hathitrust.org/Record/005991792","HathiTrust Record")</f>
        <v/>
      </c>
      <c r="AS1174">
        <f>HYPERLINK("https://creighton-primo.hosted.exlibrisgroup.com/primo-explore/search?tab=default_tab&amp;search_scope=EVERYTHING&amp;vid=01CRU&amp;lang=en_US&amp;offset=0&amp;query=any,contains,991002068419702656","Catalog Record")</f>
        <v/>
      </c>
      <c r="AT1174">
        <f>HYPERLINK("http://www.worldcat.org/oclc/263312","WorldCat Record")</f>
        <v/>
      </c>
      <c r="AU1174" t="inlineStr">
        <is>
          <t>1376776:eng</t>
        </is>
      </c>
      <c r="AV1174" t="inlineStr">
        <is>
          <t>263312</t>
        </is>
      </c>
      <c r="AW1174" t="inlineStr">
        <is>
          <t>991002068419702656</t>
        </is>
      </c>
      <c r="AX1174" t="inlineStr">
        <is>
          <t>991002068419702656</t>
        </is>
      </c>
      <c r="AY1174" t="inlineStr">
        <is>
          <t>2268699910002656</t>
        </is>
      </c>
      <c r="AZ1174" t="inlineStr">
        <is>
          <t>BOOK</t>
        </is>
      </c>
      <c r="BC1174" t="inlineStr">
        <is>
          <t>32285000344712</t>
        </is>
      </c>
      <c r="BD1174" t="inlineStr">
        <is>
          <t>893408651</t>
        </is>
      </c>
    </row>
    <row r="1175">
      <c r="A1175" t="inlineStr">
        <is>
          <t>No</t>
        </is>
      </c>
      <c r="B1175" t="inlineStr">
        <is>
          <t>GV1017.H7 J6</t>
        </is>
      </c>
      <c r="C1175" t="inlineStr">
        <is>
          <t>0                      GV 1017000H  7                  J  6</t>
        </is>
      </c>
      <c r="D1175" t="inlineStr">
        <is>
          <t>Field hockey handbook / by Jenny John.</t>
        </is>
      </c>
      <c r="F1175" t="inlineStr">
        <is>
          <t>No</t>
        </is>
      </c>
      <c r="G1175" t="inlineStr">
        <is>
          <t>1</t>
        </is>
      </c>
      <c r="H1175" t="inlineStr">
        <is>
          <t>No</t>
        </is>
      </c>
      <c r="I1175" t="inlineStr">
        <is>
          <t>No</t>
        </is>
      </c>
      <c r="J1175" t="inlineStr">
        <is>
          <t>0</t>
        </is>
      </c>
      <c r="K1175" t="inlineStr">
        <is>
          <t>John, Jenny.</t>
        </is>
      </c>
      <c r="L1175" t="inlineStr">
        <is>
          <t>North Vancouver, B.C. : Hancock House, c1980.</t>
        </is>
      </c>
      <c r="M1175" t="inlineStr">
        <is>
          <t>1980</t>
        </is>
      </c>
      <c r="O1175" t="inlineStr">
        <is>
          <t>eng</t>
        </is>
      </c>
      <c r="P1175" t="inlineStr">
        <is>
          <t>bcc</t>
        </is>
      </c>
      <c r="R1175" t="inlineStr">
        <is>
          <t xml:space="preserve">GV </t>
        </is>
      </c>
      <c r="S1175" t="n">
        <v>4</v>
      </c>
      <c r="T1175" t="n">
        <v>4</v>
      </c>
      <c r="U1175" t="inlineStr">
        <is>
          <t>2006-02-07</t>
        </is>
      </c>
      <c r="V1175" t="inlineStr">
        <is>
          <t>2006-02-07</t>
        </is>
      </c>
      <c r="W1175" t="inlineStr">
        <is>
          <t>1990-08-01</t>
        </is>
      </c>
      <c r="X1175" t="inlineStr">
        <is>
          <t>1990-08-01</t>
        </is>
      </c>
      <c r="Y1175" t="n">
        <v>171</v>
      </c>
      <c r="Z1175" t="n">
        <v>142</v>
      </c>
      <c r="AA1175" t="n">
        <v>160</v>
      </c>
      <c r="AB1175" t="n">
        <v>1</v>
      </c>
      <c r="AC1175" t="n">
        <v>1</v>
      </c>
      <c r="AD1175" t="n">
        <v>1</v>
      </c>
      <c r="AE1175" t="n">
        <v>2</v>
      </c>
      <c r="AF1175" t="n">
        <v>1</v>
      </c>
      <c r="AG1175" t="n">
        <v>2</v>
      </c>
      <c r="AH1175" t="n">
        <v>0</v>
      </c>
      <c r="AI1175" t="n">
        <v>0</v>
      </c>
      <c r="AJ1175" t="n">
        <v>0</v>
      </c>
      <c r="AK1175" t="n">
        <v>0</v>
      </c>
      <c r="AL1175" t="n">
        <v>0</v>
      </c>
      <c r="AM1175" t="n">
        <v>0</v>
      </c>
      <c r="AN1175" t="n">
        <v>0</v>
      </c>
      <c r="AO1175" t="n">
        <v>0</v>
      </c>
      <c r="AP1175" t="inlineStr">
        <is>
          <t>No</t>
        </is>
      </c>
      <c r="AQ1175" t="inlineStr">
        <is>
          <t>Yes</t>
        </is>
      </c>
      <c r="AR1175">
        <f>HYPERLINK("http://catalog.hathitrust.org/Record/009821203","HathiTrust Record")</f>
        <v/>
      </c>
      <c r="AS1175">
        <f>HYPERLINK("https://creighton-primo.hosted.exlibrisgroup.com/primo-explore/search?tab=default_tab&amp;search_scope=EVERYTHING&amp;vid=01CRU&amp;lang=en_US&amp;offset=0&amp;query=any,contains,991005149379702656","Catalog Record")</f>
        <v/>
      </c>
      <c r="AT1175">
        <f>HYPERLINK("http://www.worldcat.org/oclc/7707874","WorldCat Record")</f>
        <v/>
      </c>
      <c r="AU1175" t="inlineStr">
        <is>
          <t>545642:eng</t>
        </is>
      </c>
      <c r="AV1175" t="inlineStr">
        <is>
          <t>7707874</t>
        </is>
      </c>
      <c r="AW1175" t="inlineStr">
        <is>
          <t>991005149379702656</t>
        </is>
      </c>
      <c r="AX1175" t="inlineStr">
        <is>
          <t>991005149379702656</t>
        </is>
      </c>
      <c r="AY1175" t="inlineStr">
        <is>
          <t>2254762480002656</t>
        </is>
      </c>
      <c r="AZ1175" t="inlineStr">
        <is>
          <t>BOOK</t>
        </is>
      </c>
      <c r="BB1175" t="inlineStr">
        <is>
          <t>9780888390431</t>
        </is>
      </c>
      <c r="BC1175" t="inlineStr">
        <is>
          <t>32285000249614</t>
        </is>
      </c>
      <c r="BD1175" t="inlineStr">
        <is>
          <t>893688677</t>
        </is>
      </c>
    </row>
    <row r="1176">
      <c r="A1176" t="inlineStr">
        <is>
          <t>No</t>
        </is>
      </c>
      <c r="B1176" t="inlineStr">
        <is>
          <t>GV1017.H7 K6 1987</t>
        </is>
      </c>
      <c r="C1176" t="inlineStr">
        <is>
          <t>0                      GV 1017000H  7                  K  6           1987</t>
        </is>
      </c>
      <c r="D1176" t="inlineStr">
        <is>
          <t>Field hockey coaching drills / Doris S. Kostrinsky.</t>
        </is>
      </c>
      <c r="F1176" t="inlineStr">
        <is>
          <t>No</t>
        </is>
      </c>
      <c r="G1176" t="inlineStr">
        <is>
          <t>1</t>
        </is>
      </c>
      <c r="H1176" t="inlineStr">
        <is>
          <t>No</t>
        </is>
      </c>
      <c r="I1176" t="inlineStr">
        <is>
          <t>No</t>
        </is>
      </c>
      <c r="J1176" t="inlineStr">
        <is>
          <t>0</t>
        </is>
      </c>
      <c r="K1176" t="inlineStr">
        <is>
          <t>Kostrinsky, Doris.</t>
        </is>
      </c>
      <c r="L1176" t="inlineStr">
        <is>
          <t>Ithaca, NY : Mouvement Publications ; 1987.</t>
        </is>
      </c>
      <c r="M1176" t="inlineStr">
        <is>
          <t>1987</t>
        </is>
      </c>
      <c r="N1176" t="inlineStr">
        <is>
          <t>1st ed.</t>
        </is>
      </c>
      <c r="O1176" t="inlineStr">
        <is>
          <t>eng</t>
        </is>
      </c>
      <c r="P1176" t="inlineStr">
        <is>
          <t>nyu</t>
        </is>
      </c>
      <c r="R1176" t="inlineStr">
        <is>
          <t xml:space="preserve">GV </t>
        </is>
      </c>
      <c r="S1176" t="n">
        <v>4</v>
      </c>
      <c r="T1176" t="n">
        <v>4</v>
      </c>
      <c r="U1176" t="inlineStr">
        <is>
          <t>2006-02-07</t>
        </is>
      </c>
      <c r="V1176" t="inlineStr">
        <is>
          <t>2006-02-07</t>
        </is>
      </c>
      <c r="W1176" t="inlineStr">
        <is>
          <t>1990-10-30</t>
        </is>
      </c>
      <c r="X1176" t="inlineStr">
        <is>
          <t>1990-10-30</t>
        </is>
      </c>
      <c r="Y1176" t="n">
        <v>49</v>
      </c>
      <c r="Z1176" t="n">
        <v>39</v>
      </c>
      <c r="AA1176" t="n">
        <v>47</v>
      </c>
      <c r="AB1176" t="n">
        <v>1</v>
      </c>
      <c r="AC1176" t="n">
        <v>1</v>
      </c>
      <c r="AD1176" t="n">
        <v>0</v>
      </c>
      <c r="AE1176" t="n">
        <v>0</v>
      </c>
      <c r="AF1176" t="n">
        <v>0</v>
      </c>
      <c r="AG1176" t="n">
        <v>0</v>
      </c>
      <c r="AH1176" t="n">
        <v>0</v>
      </c>
      <c r="AI1176" t="n">
        <v>0</v>
      </c>
      <c r="AJ1176" t="n">
        <v>0</v>
      </c>
      <c r="AK1176" t="n">
        <v>0</v>
      </c>
      <c r="AL1176" t="n">
        <v>0</v>
      </c>
      <c r="AM1176" t="n">
        <v>0</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HYPERLINK("https://creighton-primo.hosted.exlibrisgroup.com/primo-explore/search?tab=default_tab&amp;search_scope=EVERYTHING&amp;vid=01CRU&amp;lang=en_US&amp;offset=0&amp;query=any,contains,991001208779702656","Catalog Record")</f>
        <v/>
      </c>
      <c r="AT1176">
        <f>HYPERLINK("http://www.worldcat.org/oclc/17374504","WorldCat Record")</f>
        <v/>
      </c>
      <c r="AU1176" t="inlineStr">
        <is>
          <t>15789477:eng</t>
        </is>
      </c>
      <c r="AV1176" t="inlineStr">
        <is>
          <t>17374504</t>
        </is>
      </c>
      <c r="AW1176" t="inlineStr">
        <is>
          <t>991001208779702656</t>
        </is>
      </c>
      <c r="AX1176" t="inlineStr">
        <is>
          <t>991001208779702656</t>
        </is>
      </c>
      <c r="AY1176" t="inlineStr">
        <is>
          <t>2270767040002656</t>
        </is>
      </c>
      <c r="AZ1176" t="inlineStr">
        <is>
          <t>BOOK</t>
        </is>
      </c>
      <c r="BC1176" t="inlineStr">
        <is>
          <t>32285000344720</t>
        </is>
      </c>
      <c r="BD1176" t="inlineStr">
        <is>
          <t>893438971</t>
        </is>
      </c>
    </row>
    <row r="1177">
      <c r="A1177" t="inlineStr">
        <is>
          <t>No</t>
        </is>
      </c>
      <c r="B1177" t="inlineStr">
        <is>
          <t>GV1017.H7 S38 1990</t>
        </is>
      </c>
      <c r="C1177" t="inlineStr">
        <is>
          <t>0                      GV 1017000H  7                  S  38          1990</t>
        </is>
      </c>
      <c r="D1177" t="inlineStr">
        <is>
          <t>The high school player's field hockey journal / by Bobbie Schultz ; editors, Marian Schenke and Laura Glenn ; illustrator, Marie T. Zukoff.</t>
        </is>
      </c>
      <c r="F1177" t="inlineStr">
        <is>
          <t>No</t>
        </is>
      </c>
      <c r="G1177" t="inlineStr">
        <is>
          <t>1</t>
        </is>
      </c>
      <c r="H1177" t="inlineStr">
        <is>
          <t>No</t>
        </is>
      </c>
      <c r="I1177" t="inlineStr">
        <is>
          <t>No</t>
        </is>
      </c>
      <c r="J1177" t="inlineStr">
        <is>
          <t>0</t>
        </is>
      </c>
      <c r="K1177" t="inlineStr">
        <is>
          <t>Schultz, Bobbie.</t>
        </is>
      </c>
      <c r="L1177" t="inlineStr">
        <is>
          <t>Reston, Va. : American Alliance for Health, Physical Education, Recreation, and Dance, c1990.</t>
        </is>
      </c>
      <c r="M1177" t="inlineStr">
        <is>
          <t>1990</t>
        </is>
      </c>
      <c r="O1177" t="inlineStr">
        <is>
          <t>eng</t>
        </is>
      </c>
      <c r="P1177" t="inlineStr">
        <is>
          <t>vau</t>
        </is>
      </c>
      <c r="R1177" t="inlineStr">
        <is>
          <t xml:space="preserve">GV </t>
        </is>
      </c>
      <c r="S1177" t="n">
        <v>4</v>
      </c>
      <c r="T1177" t="n">
        <v>4</v>
      </c>
      <c r="U1177" t="inlineStr">
        <is>
          <t>2006-02-07</t>
        </is>
      </c>
      <c r="V1177" t="inlineStr">
        <is>
          <t>2006-02-07</t>
        </is>
      </c>
      <c r="W1177" t="inlineStr">
        <is>
          <t>1992-08-25</t>
        </is>
      </c>
      <c r="X1177" t="inlineStr">
        <is>
          <t>1992-08-25</t>
        </is>
      </c>
      <c r="Y1177" t="n">
        <v>80</v>
      </c>
      <c r="Z1177" t="n">
        <v>77</v>
      </c>
      <c r="AA1177" t="n">
        <v>78</v>
      </c>
      <c r="AB1177" t="n">
        <v>1</v>
      </c>
      <c r="AC1177" t="n">
        <v>1</v>
      </c>
      <c r="AD1177" t="n">
        <v>1</v>
      </c>
      <c r="AE1177" t="n">
        <v>1</v>
      </c>
      <c r="AF1177" t="n">
        <v>0</v>
      </c>
      <c r="AG1177" t="n">
        <v>0</v>
      </c>
      <c r="AH1177" t="n">
        <v>0</v>
      </c>
      <c r="AI1177" t="n">
        <v>0</v>
      </c>
      <c r="AJ1177" t="n">
        <v>1</v>
      </c>
      <c r="AK1177" t="n">
        <v>1</v>
      </c>
      <c r="AL1177" t="n">
        <v>0</v>
      </c>
      <c r="AM1177" t="n">
        <v>0</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HYPERLINK("https://creighton-primo.hosted.exlibrisgroup.com/primo-explore/search?tab=default_tab&amp;search_scope=EVERYTHING&amp;vid=01CRU&amp;lang=en_US&amp;offset=0&amp;query=any,contains,991001707189702656","Catalog Record")</f>
        <v/>
      </c>
      <c r="AT1177">
        <f>HYPERLINK("http://www.worldcat.org/oclc/21567044","WorldCat Record")</f>
        <v/>
      </c>
      <c r="AU1177" t="inlineStr">
        <is>
          <t>311932671:eng</t>
        </is>
      </c>
      <c r="AV1177" t="inlineStr">
        <is>
          <t>21567044</t>
        </is>
      </c>
      <c r="AW1177" t="inlineStr">
        <is>
          <t>991001707189702656</t>
        </is>
      </c>
      <c r="AX1177" t="inlineStr">
        <is>
          <t>991001707189702656</t>
        </is>
      </c>
      <c r="AY1177" t="inlineStr">
        <is>
          <t>2268360380002656</t>
        </is>
      </c>
      <c r="AZ1177" t="inlineStr">
        <is>
          <t>BOOK</t>
        </is>
      </c>
      <c r="BB1177" t="inlineStr">
        <is>
          <t>9780883144800</t>
        </is>
      </c>
      <c r="BC1177" t="inlineStr">
        <is>
          <t>32285001198406</t>
        </is>
      </c>
      <c r="BD1177" t="inlineStr">
        <is>
          <t>893238277</t>
        </is>
      </c>
    </row>
    <row r="1178">
      <c r="A1178" t="inlineStr">
        <is>
          <t>No</t>
        </is>
      </c>
      <c r="B1178" t="inlineStr">
        <is>
          <t>GV1017.H7 W4 1985</t>
        </is>
      </c>
      <c r="C1178" t="inlineStr">
        <is>
          <t>0                      GV 1017000H  7                  W  4           1985</t>
        </is>
      </c>
      <c r="D1178" t="inlineStr">
        <is>
          <t>The science of hockey / Horst Wein ; translated from the German by David Belchamber.</t>
        </is>
      </c>
      <c r="F1178" t="inlineStr">
        <is>
          <t>No</t>
        </is>
      </c>
      <c r="G1178" t="inlineStr">
        <is>
          <t>1</t>
        </is>
      </c>
      <c r="H1178" t="inlineStr">
        <is>
          <t>No</t>
        </is>
      </c>
      <c r="I1178" t="inlineStr">
        <is>
          <t>No</t>
        </is>
      </c>
      <c r="J1178" t="inlineStr">
        <is>
          <t>0</t>
        </is>
      </c>
      <c r="K1178" t="inlineStr">
        <is>
          <t>Wein, Horst.</t>
        </is>
      </c>
      <c r="L1178" t="inlineStr">
        <is>
          <t>London : Pelham, 1985.</t>
        </is>
      </c>
      <c r="M1178" t="inlineStr">
        <is>
          <t>1985</t>
        </is>
      </c>
      <c r="N1178" t="inlineStr">
        <is>
          <t>Rev. ed.</t>
        </is>
      </c>
      <c r="O1178" t="inlineStr">
        <is>
          <t>eng</t>
        </is>
      </c>
      <c r="P1178" t="inlineStr">
        <is>
          <t>enk</t>
        </is>
      </c>
      <c r="R1178" t="inlineStr">
        <is>
          <t xml:space="preserve">GV </t>
        </is>
      </c>
      <c r="S1178" t="n">
        <v>3</v>
      </c>
      <c r="T1178" t="n">
        <v>3</v>
      </c>
      <c r="U1178" t="inlineStr">
        <is>
          <t>2006-02-07</t>
        </is>
      </c>
      <c r="V1178" t="inlineStr">
        <is>
          <t>2006-02-07</t>
        </is>
      </c>
      <c r="W1178" t="inlineStr">
        <is>
          <t>1990-10-30</t>
        </is>
      </c>
      <c r="X1178" t="inlineStr">
        <is>
          <t>1990-10-30</t>
        </is>
      </c>
      <c r="Y1178" t="n">
        <v>76</v>
      </c>
      <c r="Z1178" t="n">
        <v>21</v>
      </c>
      <c r="AA1178" t="n">
        <v>161</v>
      </c>
      <c r="AB1178" t="n">
        <v>1</v>
      </c>
      <c r="AC1178" t="n">
        <v>2</v>
      </c>
      <c r="AD1178" t="n">
        <v>0</v>
      </c>
      <c r="AE1178" t="n">
        <v>1</v>
      </c>
      <c r="AF1178" t="n">
        <v>0</v>
      </c>
      <c r="AG1178" t="n">
        <v>0</v>
      </c>
      <c r="AH1178" t="n">
        <v>0</v>
      </c>
      <c r="AI1178" t="n">
        <v>0</v>
      </c>
      <c r="AJ1178" t="n">
        <v>0</v>
      </c>
      <c r="AK1178" t="n">
        <v>0</v>
      </c>
      <c r="AL1178" t="n">
        <v>0</v>
      </c>
      <c r="AM1178" t="n">
        <v>1</v>
      </c>
      <c r="AN1178" t="n">
        <v>0</v>
      </c>
      <c r="AO1178" t="n">
        <v>0</v>
      </c>
      <c r="AP1178" t="inlineStr">
        <is>
          <t>No</t>
        </is>
      </c>
      <c r="AQ1178" t="inlineStr">
        <is>
          <t>Yes</t>
        </is>
      </c>
      <c r="AR1178">
        <f>HYPERLINK("http://catalog.hathitrust.org/Record/102101585","HathiTrust Record")</f>
        <v/>
      </c>
      <c r="AS1178">
        <f>HYPERLINK("https://creighton-primo.hosted.exlibrisgroup.com/primo-explore/search?tab=default_tab&amp;search_scope=EVERYTHING&amp;vid=01CRU&amp;lang=en_US&amp;offset=0&amp;query=any,contains,991000690299702656","Catalog Record")</f>
        <v/>
      </c>
      <c r="AT1178">
        <f>HYPERLINK("http://www.worldcat.org/oclc/60088282","WorldCat Record")</f>
        <v/>
      </c>
      <c r="AU1178" t="inlineStr">
        <is>
          <t>14661235:eng</t>
        </is>
      </c>
      <c r="AV1178" t="inlineStr">
        <is>
          <t>60088282</t>
        </is>
      </c>
      <c r="AW1178" t="inlineStr">
        <is>
          <t>991000690299702656</t>
        </is>
      </c>
      <c r="AX1178" t="inlineStr">
        <is>
          <t>991000690299702656</t>
        </is>
      </c>
      <c r="AY1178" t="inlineStr">
        <is>
          <t>2269702210002656</t>
        </is>
      </c>
      <c r="AZ1178" t="inlineStr">
        <is>
          <t>BOOK</t>
        </is>
      </c>
      <c r="BB1178" t="inlineStr">
        <is>
          <t>9780720715316</t>
        </is>
      </c>
      <c r="BC1178" t="inlineStr">
        <is>
          <t>32285000344738</t>
        </is>
      </c>
      <c r="BD1178" t="inlineStr">
        <is>
          <t>893796912</t>
        </is>
      </c>
    </row>
    <row r="1179">
      <c r="A1179" t="inlineStr">
        <is>
          <t>No</t>
        </is>
      </c>
      <c r="B1179" t="inlineStr">
        <is>
          <t>GV1017.R3 W74 1980</t>
        </is>
      </c>
      <c r="C1179" t="inlineStr">
        <is>
          <t>0                      GV 1017000R  3                  W  74          1980</t>
        </is>
      </c>
      <c r="D1179" t="inlineStr">
        <is>
          <t>The women's book of racquetball / Shannon Wright, with Steve Keeley.</t>
        </is>
      </c>
      <c r="F1179" t="inlineStr">
        <is>
          <t>No</t>
        </is>
      </c>
      <c r="G1179" t="inlineStr">
        <is>
          <t>1</t>
        </is>
      </c>
      <c r="H1179" t="inlineStr">
        <is>
          <t>No</t>
        </is>
      </c>
      <c r="I1179" t="inlineStr">
        <is>
          <t>No</t>
        </is>
      </c>
      <c r="J1179" t="inlineStr">
        <is>
          <t>0</t>
        </is>
      </c>
      <c r="K1179" t="inlineStr">
        <is>
          <t>Wright, Shannon.</t>
        </is>
      </c>
      <c r="L1179" t="inlineStr">
        <is>
          <t>Chicago : Contemporary Books, c1980.</t>
        </is>
      </c>
      <c r="M1179" t="inlineStr">
        <is>
          <t>1980</t>
        </is>
      </c>
      <c r="O1179" t="inlineStr">
        <is>
          <t>eng</t>
        </is>
      </c>
      <c r="P1179" t="inlineStr">
        <is>
          <t>ilu</t>
        </is>
      </c>
      <c r="R1179" t="inlineStr">
        <is>
          <t xml:space="preserve">GV </t>
        </is>
      </c>
      <c r="S1179" t="n">
        <v>7</v>
      </c>
      <c r="T1179" t="n">
        <v>7</v>
      </c>
      <c r="U1179" t="inlineStr">
        <is>
          <t>2006-10-01</t>
        </is>
      </c>
      <c r="V1179" t="inlineStr">
        <is>
          <t>2006-10-01</t>
        </is>
      </c>
      <c r="W1179" t="inlineStr">
        <is>
          <t>1990-08-01</t>
        </is>
      </c>
      <c r="X1179" t="inlineStr">
        <is>
          <t>1990-08-01</t>
        </is>
      </c>
      <c r="Y1179" t="n">
        <v>263</v>
      </c>
      <c r="Z1179" t="n">
        <v>253</v>
      </c>
      <c r="AA1179" t="n">
        <v>255</v>
      </c>
      <c r="AB1179" t="n">
        <v>3</v>
      </c>
      <c r="AC1179" t="n">
        <v>3</v>
      </c>
      <c r="AD1179" t="n">
        <v>2</v>
      </c>
      <c r="AE1179" t="n">
        <v>2</v>
      </c>
      <c r="AF1179" t="n">
        <v>0</v>
      </c>
      <c r="AG1179" t="n">
        <v>0</v>
      </c>
      <c r="AH1179" t="n">
        <v>0</v>
      </c>
      <c r="AI1179" t="n">
        <v>0</v>
      </c>
      <c r="AJ1179" t="n">
        <v>1</v>
      </c>
      <c r="AK1179" t="n">
        <v>1</v>
      </c>
      <c r="AL1179" t="n">
        <v>1</v>
      </c>
      <c r="AM1179" t="n">
        <v>1</v>
      </c>
      <c r="AN1179" t="n">
        <v>0</v>
      </c>
      <c r="AO1179" t="n">
        <v>0</v>
      </c>
      <c r="AP1179" t="inlineStr">
        <is>
          <t>No</t>
        </is>
      </c>
      <c r="AQ1179" t="inlineStr">
        <is>
          <t>Yes</t>
        </is>
      </c>
      <c r="AR1179">
        <f>HYPERLINK("http://catalog.hathitrust.org/Record/000733077","HathiTrust Record")</f>
        <v/>
      </c>
      <c r="AS1179">
        <f>HYPERLINK("https://creighton-primo.hosted.exlibrisgroup.com/primo-explore/search?tab=default_tab&amp;search_scope=EVERYTHING&amp;vid=01CRU&amp;lang=en_US&amp;offset=0&amp;query=any,contains,991005030329702656","Catalog Record")</f>
        <v/>
      </c>
      <c r="AT1179">
        <f>HYPERLINK("http://www.worldcat.org/oclc/6709274","WorldCat Record")</f>
        <v/>
      </c>
      <c r="AU1179" t="inlineStr">
        <is>
          <t>23730318:eng</t>
        </is>
      </c>
      <c r="AV1179" t="inlineStr">
        <is>
          <t>6709274</t>
        </is>
      </c>
      <c r="AW1179" t="inlineStr">
        <is>
          <t>991005030329702656</t>
        </is>
      </c>
      <c r="AX1179" t="inlineStr">
        <is>
          <t>991005030329702656</t>
        </is>
      </c>
      <c r="AY1179" t="inlineStr">
        <is>
          <t>2256542840002656</t>
        </is>
      </c>
      <c r="AZ1179" t="inlineStr">
        <is>
          <t>BOOK</t>
        </is>
      </c>
      <c r="BB1179" t="inlineStr">
        <is>
          <t>9780809270644</t>
        </is>
      </c>
      <c r="BC1179" t="inlineStr">
        <is>
          <t>32285000249648</t>
        </is>
      </c>
      <c r="BD1179" t="inlineStr">
        <is>
          <t>893350599</t>
        </is>
      </c>
    </row>
    <row r="1180">
      <c r="A1180" t="inlineStr">
        <is>
          <t>No</t>
        </is>
      </c>
      <c r="B1180" t="inlineStr">
        <is>
          <t>GV1017.V6 S3 1985</t>
        </is>
      </c>
      <c r="C1180" t="inlineStr">
        <is>
          <t>0                      GV 1017000V  6                  S  3           1985</t>
        </is>
      </c>
      <c r="D1180" t="inlineStr">
        <is>
          <t>Volleyball for coaches and teachers / Frances Schaafsma, Ann Heck, Connie Throneberry Sarver.</t>
        </is>
      </c>
      <c r="F1180" t="inlineStr">
        <is>
          <t>No</t>
        </is>
      </c>
      <c r="G1180" t="inlineStr">
        <is>
          <t>1</t>
        </is>
      </c>
      <c r="H1180" t="inlineStr">
        <is>
          <t>No</t>
        </is>
      </c>
      <c r="I1180" t="inlineStr">
        <is>
          <t>No</t>
        </is>
      </c>
      <c r="J1180" t="inlineStr">
        <is>
          <t>0</t>
        </is>
      </c>
      <c r="K1180" t="inlineStr">
        <is>
          <t>Schaafsma, Frances.</t>
        </is>
      </c>
      <c r="L1180" t="inlineStr">
        <is>
          <t>Dubuque, Iowa : W.C. Brown, c1985.</t>
        </is>
      </c>
      <c r="M1180" t="inlineStr">
        <is>
          <t>1985</t>
        </is>
      </c>
      <c r="N1180" t="inlineStr">
        <is>
          <t>2nd ed.</t>
        </is>
      </c>
      <c r="O1180" t="inlineStr">
        <is>
          <t>eng</t>
        </is>
      </c>
      <c r="P1180" t="inlineStr">
        <is>
          <t>iau</t>
        </is>
      </c>
      <c r="R1180" t="inlineStr">
        <is>
          <t xml:space="preserve">GV </t>
        </is>
      </c>
      <c r="S1180" t="n">
        <v>5</v>
      </c>
      <c r="T1180" t="n">
        <v>5</v>
      </c>
      <c r="U1180" t="inlineStr">
        <is>
          <t>2009-08-21</t>
        </is>
      </c>
      <c r="V1180" t="inlineStr">
        <is>
          <t>2009-08-21</t>
        </is>
      </c>
      <c r="W1180" t="inlineStr">
        <is>
          <t>1990-08-01</t>
        </is>
      </c>
      <c r="X1180" t="inlineStr">
        <is>
          <t>1990-08-01</t>
        </is>
      </c>
      <c r="Y1180" t="n">
        <v>174</v>
      </c>
      <c r="Z1180" t="n">
        <v>153</v>
      </c>
      <c r="AA1180" t="n">
        <v>380</v>
      </c>
      <c r="AB1180" t="n">
        <v>2</v>
      </c>
      <c r="AC1180" t="n">
        <v>5</v>
      </c>
      <c r="AD1180" t="n">
        <v>3</v>
      </c>
      <c r="AE1180" t="n">
        <v>6</v>
      </c>
      <c r="AF1180" t="n">
        <v>2</v>
      </c>
      <c r="AG1180" t="n">
        <v>3</v>
      </c>
      <c r="AH1180" t="n">
        <v>0</v>
      </c>
      <c r="AI1180" t="n">
        <v>0</v>
      </c>
      <c r="AJ1180" t="n">
        <v>0</v>
      </c>
      <c r="AK1180" t="n">
        <v>1</v>
      </c>
      <c r="AL1180" t="n">
        <v>1</v>
      </c>
      <c r="AM1180" t="n">
        <v>3</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HYPERLINK("https://creighton-primo.hosted.exlibrisgroup.com/primo-explore/search?tab=default_tab&amp;search_scope=EVERYTHING&amp;vid=01CRU&amp;lang=en_US&amp;offset=0&amp;query=any,contains,991000654439702656","Catalog Record")</f>
        <v/>
      </c>
      <c r="AT1180">
        <f>HYPERLINK("http://www.worldcat.org/oclc/12203395","WorldCat Record")</f>
        <v/>
      </c>
      <c r="AU1180" t="inlineStr">
        <is>
          <t>3855274898:eng</t>
        </is>
      </c>
      <c r="AV1180" t="inlineStr">
        <is>
          <t>12203395</t>
        </is>
      </c>
      <c r="AW1180" t="inlineStr">
        <is>
          <t>991000654439702656</t>
        </is>
      </c>
      <c r="AX1180" t="inlineStr">
        <is>
          <t>991000654439702656</t>
        </is>
      </c>
      <c r="AY1180" t="inlineStr">
        <is>
          <t>2266495800002656</t>
        </is>
      </c>
      <c r="AZ1180" t="inlineStr">
        <is>
          <t>BOOK</t>
        </is>
      </c>
      <c r="BB1180" t="inlineStr">
        <is>
          <t>9780697071934</t>
        </is>
      </c>
      <c r="BC1180" t="inlineStr">
        <is>
          <t>32285000249713</t>
        </is>
      </c>
      <c r="BD1180" t="inlineStr">
        <is>
          <t>893897086</t>
        </is>
      </c>
    </row>
    <row r="1181">
      <c r="A1181" t="inlineStr">
        <is>
          <t>No</t>
        </is>
      </c>
      <c r="B1181" t="inlineStr">
        <is>
          <t>GV1017.V6 T47 1974</t>
        </is>
      </c>
      <c r="C1181" t="inlineStr">
        <is>
          <t>0                      GV 1017000V  6                  T  47          1974</t>
        </is>
      </c>
      <c r="D1181" t="inlineStr">
        <is>
          <t>Power volleyball for girls and women.</t>
        </is>
      </c>
      <c r="F1181" t="inlineStr">
        <is>
          <t>No</t>
        </is>
      </c>
      <c r="G1181" t="inlineStr">
        <is>
          <t>1</t>
        </is>
      </c>
      <c r="H1181" t="inlineStr">
        <is>
          <t>No</t>
        </is>
      </c>
      <c r="I1181" t="inlineStr">
        <is>
          <t>No</t>
        </is>
      </c>
      <c r="J1181" t="inlineStr">
        <is>
          <t>0</t>
        </is>
      </c>
      <c r="K1181" t="inlineStr">
        <is>
          <t>Thigpen, Janet.</t>
        </is>
      </c>
      <c r="L1181" t="inlineStr">
        <is>
          <t>Dubuque, Iowa : W. C. Brown Co., [1974]</t>
        </is>
      </c>
      <c r="M1181" t="inlineStr">
        <is>
          <t>1974</t>
        </is>
      </c>
      <c r="N1181" t="inlineStr">
        <is>
          <t>2d ed.</t>
        </is>
      </c>
      <c r="O1181" t="inlineStr">
        <is>
          <t>eng</t>
        </is>
      </c>
      <c r="P1181" t="inlineStr">
        <is>
          <t>iau</t>
        </is>
      </c>
      <c r="R1181" t="inlineStr">
        <is>
          <t xml:space="preserve">GV </t>
        </is>
      </c>
      <c r="S1181" t="n">
        <v>3</v>
      </c>
      <c r="T1181" t="n">
        <v>3</v>
      </c>
      <c r="U1181" t="inlineStr">
        <is>
          <t>2009-08-21</t>
        </is>
      </c>
      <c r="V1181" t="inlineStr">
        <is>
          <t>2009-08-21</t>
        </is>
      </c>
      <c r="W1181" t="inlineStr">
        <is>
          <t>1995-03-21</t>
        </is>
      </c>
      <c r="X1181" t="inlineStr">
        <is>
          <t>1995-03-21</t>
        </is>
      </c>
      <c r="Y1181" t="n">
        <v>237</v>
      </c>
      <c r="Z1181" t="n">
        <v>214</v>
      </c>
      <c r="AA1181" t="n">
        <v>394</v>
      </c>
      <c r="AB1181" t="n">
        <v>6</v>
      </c>
      <c r="AC1181" t="n">
        <v>7</v>
      </c>
      <c r="AD1181" t="n">
        <v>11</v>
      </c>
      <c r="AE1181" t="n">
        <v>16</v>
      </c>
      <c r="AF1181" t="n">
        <v>5</v>
      </c>
      <c r="AG1181" t="n">
        <v>6</v>
      </c>
      <c r="AH1181" t="n">
        <v>0</v>
      </c>
      <c r="AI1181" t="n">
        <v>2</v>
      </c>
      <c r="AJ1181" t="n">
        <v>2</v>
      </c>
      <c r="AK1181" t="n">
        <v>3</v>
      </c>
      <c r="AL1181" t="n">
        <v>5</v>
      </c>
      <c r="AM1181" t="n">
        <v>6</v>
      </c>
      <c r="AN1181" t="n">
        <v>0</v>
      </c>
      <c r="AO1181" t="n">
        <v>0</v>
      </c>
      <c r="AP1181" t="inlineStr">
        <is>
          <t>No</t>
        </is>
      </c>
      <c r="AQ1181" t="inlineStr">
        <is>
          <t>No</t>
        </is>
      </c>
      <c r="AS1181">
        <f>HYPERLINK("https://creighton-primo.hosted.exlibrisgroup.com/primo-explore/search?tab=default_tab&amp;search_scope=EVERYTHING&amp;vid=01CRU&amp;lang=en_US&amp;offset=0&amp;query=any,contains,991003379499702656","Catalog Record")</f>
        <v/>
      </c>
      <c r="AT1181">
        <f>HYPERLINK("http://www.worldcat.org/oclc/915726","WorldCat Record")</f>
        <v/>
      </c>
      <c r="AU1181" t="inlineStr">
        <is>
          <t>1369096:eng</t>
        </is>
      </c>
      <c r="AV1181" t="inlineStr">
        <is>
          <t>915726</t>
        </is>
      </c>
      <c r="AW1181" t="inlineStr">
        <is>
          <t>991003379499702656</t>
        </is>
      </c>
      <c r="AX1181" t="inlineStr">
        <is>
          <t>991003379499702656</t>
        </is>
      </c>
      <c r="AY1181" t="inlineStr">
        <is>
          <t>2264765520002656</t>
        </is>
      </c>
      <c r="AZ1181" t="inlineStr">
        <is>
          <t>BOOK</t>
        </is>
      </c>
      <c r="BC1181" t="inlineStr">
        <is>
          <t>32285002012952</t>
        </is>
      </c>
      <c r="BD1181" t="inlineStr">
        <is>
          <t>893336446</t>
        </is>
      </c>
    </row>
    <row r="1182">
      <c r="A1182" t="inlineStr">
        <is>
          <t>No</t>
        </is>
      </c>
      <c r="B1182" t="inlineStr">
        <is>
          <t>GV1029.9.S74 G65 1993</t>
        </is>
      </c>
      <c r="C1182" t="inlineStr">
        <is>
          <t>0                      GV 1029900S  74                 G  65          1993</t>
        </is>
      </c>
      <c r="D1182" t="inlineStr">
        <is>
          <t>American zoom : stock car racing--from the dirt tracks to Daytona / Peter Golenbock.</t>
        </is>
      </c>
      <c r="F1182" t="inlineStr">
        <is>
          <t>No</t>
        </is>
      </c>
      <c r="G1182" t="inlineStr">
        <is>
          <t>1</t>
        </is>
      </c>
      <c r="H1182" t="inlineStr">
        <is>
          <t>No</t>
        </is>
      </c>
      <c r="I1182" t="inlineStr">
        <is>
          <t>No</t>
        </is>
      </c>
      <c r="J1182" t="inlineStr">
        <is>
          <t>0</t>
        </is>
      </c>
      <c r="K1182" t="inlineStr">
        <is>
          <t>Golenbock, Peter, 1946-</t>
        </is>
      </c>
      <c r="L1182" t="inlineStr">
        <is>
          <t>New York : Macmillan Pub. ; Toronto : Maxwell Macmillan Canada ; New York : Maxwell Macmillan International, c1993.</t>
        </is>
      </c>
      <c r="M1182" t="inlineStr">
        <is>
          <t>1993</t>
        </is>
      </c>
      <c r="O1182" t="inlineStr">
        <is>
          <t>eng</t>
        </is>
      </c>
      <c r="P1182" t="inlineStr">
        <is>
          <t>nyu</t>
        </is>
      </c>
      <c r="R1182" t="inlineStr">
        <is>
          <t xml:space="preserve">GV </t>
        </is>
      </c>
      <c r="S1182" t="n">
        <v>7</v>
      </c>
      <c r="T1182" t="n">
        <v>7</v>
      </c>
      <c r="U1182" t="inlineStr">
        <is>
          <t>2006-10-10</t>
        </is>
      </c>
      <c r="V1182" t="inlineStr">
        <is>
          <t>2006-10-10</t>
        </is>
      </c>
      <c r="W1182" t="inlineStr">
        <is>
          <t>1994-01-14</t>
        </is>
      </c>
      <c r="X1182" t="inlineStr">
        <is>
          <t>1994-01-14</t>
        </is>
      </c>
      <c r="Y1182" t="n">
        <v>677</v>
      </c>
      <c r="Z1182" t="n">
        <v>663</v>
      </c>
      <c r="AA1182" t="n">
        <v>718</v>
      </c>
      <c r="AB1182" t="n">
        <v>5</v>
      </c>
      <c r="AC1182" t="n">
        <v>6</v>
      </c>
      <c r="AD1182" t="n">
        <v>1</v>
      </c>
      <c r="AE1182" t="n">
        <v>2</v>
      </c>
      <c r="AF1182" t="n">
        <v>1</v>
      </c>
      <c r="AG1182" t="n">
        <v>1</v>
      </c>
      <c r="AH1182" t="n">
        <v>0</v>
      </c>
      <c r="AI1182" t="n">
        <v>0</v>
      </c>
      <c r="AJ1182" t="n">
        <v>0</v>
      </c>
      <c r="AK1182" t="n">
        <v>0</v>
      </c>
      <c r="AL1182" t="n">
        <v>0</v>
      </c>
      <c r="AM1182" t="n">
        <v>1</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HYPERLINK("https://creighton-primo.hosted.exlibrisgroup.com/primo-explore/search?tab=default_tab&amp;search_scope=EVERYTHING&amp;vid=01CRU&amp;lang=en_US&amp;offset=0&amp;query=any,contains,991002098559702656","Catalog Record")</f>
        <v/>
      </c>
      <c r="AT1182">
        <f>HYPERLINK("http://www.worldcat.org/oclc/26930508","WorldCat Record")</f>
        <v/>
      </c>
      <c r="AU1182" t="inlineStr">
        <is>
          <t>324984:eng</t>
        </is>
      </c>
      <c r="AV1182" t="inlineStr">
        <is>
          <t>26930508</t>
        </is>
      </c>
      <c r="AW1182" t="inlineStr">
        <is>
          <t>991002098559702656</t>
        </is>
      </c>
      <c r="AX1182" t="inlineStr">
        <is>
          <t>991002098559702656</t>
        </is>
      </c>
      <c r="AY1182" t="inlineStr">
        <is>
          <t>2258295650002656</t>
        </is>
      </c>
      <c r="AZ1182" t="inlineStr">
        <is>
          <t>BOOK</t>
        </is>
      </c>
      <c r="BB1182" t="inlineStr">
        <is>
          <t>9780025446151</t>
        </is>
      </c>
      <c r="BC1182" t="inlineStr">
        <is>
          <t>32285001831550</t>
        </is>
      </c>
      <c r="BD1182" t="inlineStr">
        <is>
          <t>893510291</t>
        </is>
      </c>
    </row>
    <row r="1183">
      <c r="A1183" t="inlineStr">
        <is>
          <t>No</t>
        </is>
      </c>
      <c r="B1183" t="inlineStr">
        <is>
          <t>GV1032.W37 A3 2004</t>
        </is>
      </c>
      <c r="C1183" t="inlineStr">
        <is>
          <t>0                      GV 1032000W  37                 A  3           2004</t>
        </is>
      </c>
      <c r="D1183" t="inlineStr">
        <is>
          <t>DW : a lifetime going around in circles / Darrell Waltrip with Jade Gurss.</t>
        </is>
      </c>
      <c r="F1183" t="inlineStr">
        <is>
          <t>No</t>
        </is>
      </c>
      <c r="G1183" t="inlineStr">
        <is>
          <t>1</t>
        </is>
      </c>
      <c r="H1183" t="inlineStr">
        <is>
          <t>No</t>
        </is>
      </c>
      <c r="I1183" t="inlineStr">
        <is>
          <t>No</t>
        </is>
      </c>
      <c r="J1183" t="inlineStr">
        <is>
          <t>0</t>
        </is>
      </c>
      <c r="K1183" t="inlineStr">
        <is>
          <t>Waltrip, Darrell.</t>
        </is>
      </c>
      <c r="L1183" t="inlineStr">
        <is>
          <t>New York : G.P. Putnam's Sons, c2004.</t>
        </is>
      </c>
      <c r="M1183" t="inlineStr">
        <is>
          <t>2004</t>
        </is>
      </c>
      <c r="O1183" t="inlineStr">
        <is>
          <t>eng</t>
        </is>
      </c>
      <c r="P1183" t="inlineStr">
        <is>
          <t>nyu</t>
        </is>
      </c>
      <c r="R1183" t="inlineStr">
        <is>
          <t xml:space="preserve">GV </t>
        </is>
      </c>
      <c r="S1183" t="n">
        <v>2</v>
      </c>
      <c r="T1183" t="n">
        <v>2</v>
      </c>
      <c r="U1183" t="inlineStr">
        <is>
          <t>2006-10-10</t>
        </is>
      </c>
      <c r="V1183" t="inlineStr">
        <is>
          <t>2006-10-10</t>
        </is>
      </c>
      <c r="W1183" t="inlineStr">
        <is>
          <t>2004-03-23</t>
        </is>
      </c>
      <c r="X1183" t="inlineStr">
        <is>
          <t>2004-03-23</t>
        </is>
      </c>
      <c r="Y1183" t="n">
        <v>617</v>
      </c>
      <c r="Z1183" t="n">
        <v>603</v>
      </c>
      <c r="AA1183" t="n">
        <v>620</v>
      </c>
      <c r="AB1183" t="n">
        <v>4</v>
      </c>
      <c r="AC1183" t="n">
        <v>4</v>
      </c>
      <c r="AD1183" t="n">
        <v>3</v>
      </c>
      <c r="AE1183" t="n">
        <v>3</v>
      </c>
      <c r="AF1183" t="n">
        <v>2</v>
      </c>
      <c r="AG1183" t="n">
        <v>2</v>
      </c>
      <c r="AH1183" t="n">
        <v>0</v>
      </c>
      <c r="AI1183" t="n">
        <v>0</v>
      </c>
      <c r="AJ1183" t="n">
        <v>1</v>
      </c>
      <c r="AK1183" t="n">
        <v>1</v>
      </c>
      <c r="AL1183" t="n">
        <v>0</v>
      </c>
      <c r="AM1183" t="n">
        <v>0</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HYPERLINK("https://creighton-primo.hosted.exlibrisgroup.com/primo-explore/search?tab=default_tab&amp;search_scope=EVERYTHING&amp;vid=01CRU&amp;lang=en_US&amp;offset=0&amp;query=any,contains,991004266079702656","Catalog Record")</f>
        <v/>
      </c>
      <c r="AT1183">
        <f>HYPERLINK("http://www.worldcat.org/oclc/53315500","WorldCat Record")</f>
        <v/>
      </c>
      <c r="AU1183" t="inlineStr">
        <is>
          <t>793915269:eng</t>
        </is>
      </c>
      <c r="AV1183" t="inlineStr">
        <is>
          <t>53315500</t>
        </is>
      </c>
      <c r="AW1183" t="inlineStr">
        <is>
          <t>991004266079702656</t>
        </is>
      </c>
      <c r="AX1183" t="inlineStr">
        <is>
          <t>991004266079702656</t>
        </is>
      </c>
      <c r="AY1183" t="inlineStr">
        <is>
          <t>2259141460002656</t>
        </is>
      </c>
      <c r="AZ1183" t="inlineStr">
        <is>
          <t>BOOK</t>
        </is>
      </c>
      <c r="BB1183" t="inlineStr">
        <is>
          <t>9780399151538</t>
        </is>
      </c>
      <c r="BC1183" t="inlineStr">
        <is>
          <t>32285004895552</t>
        </is>
      </c>
      <c r="BD1183" t="inlineStr">
        <is>
          <t>893325147</t>
        </is>
      </c>
    </row>
    <row r="1184">
      <c r="A1184" t="inlineStr">
        <is>
          <t>No</t>
        </is>
      </c>
      <c r="B1184" t="inlineStr">
        <is>
          <t>GV1045 .G54 1981</t>
        </is>
      </c>
      <c r="C1184" t="inlineStr">
        <is>
          <t>0                      GV 1045000G  54          1981</t>
        </is>
      </c>
      <c r="D1184" t="inlineStr">
        <is>
          <t>The American bicycle atlas / written and edited by Dave Gilbert ; maps by Dave Gilbert.</t>
        </is>
      </c>
      <c r="F1184" t="inlineStr">
        <is>
          <t>No</t>
        </is>
      </c>
      <c r="G1184" t="inlineStr">
        <is>
          <t>1</t>
        </is>
      </c>
      <c r="H1184" t="inlineStr">
        <is>
          <t>No</t>
        </is>
      </c>
      <c r="I1184" t="inlineStr">
        <is>
          <t>No</t>
        </is>
      </c>
      <c r="J1184" t="inlineStr">
        <is>
          <t>0</t>
        </is>
      </c>
      <c r="K1184" t="inlineStr">
        <is>
          <t>Gilbert, Dave.</t>
        </is>
      </c>
      <c r="L1184" t="inlineStr">
        <is>
          <t>New York : E.P. Dutton, c1981.</t>
        </is>
      </c>
      <c r="M1184" t="inlineStr">
        <is>
          <t>1981</t>
        </is>
      </c>
      <c r="N1184" t="inlineStr">
        <is>
          <t>1st ed.</t>
        </is>
      </c>
      <c r="O1184" t="inlineStr">
        <is>
          <t>eng</t>
        </is>
      </c>
      <c r="P1184" t="inlineStr">
        <is>
          <t>nyu</t>
        </is>
      </c>
      <c r="R1184" t="inlineStr">
        <is>
          <t xml:space="preserve">GV </t>
        </is>
      </c>
      <c r="S1184" t="n">
        <v>4</v>
      </c>
      <c r="T1184" t="n">
        <v>4</v>
      </c>
      <c r="U1184" t="inlineStr">
        <is>
          <t>2001-04-04</t>
        </is>
      </c>
      <c r="V1184" t="inlineStr">
        <is>
          <t>2001-04-04</t>
        </is>
      </c>
      <c r="W1184" t="inlineStr">
        <is>
          <t>1990-08-01</t>
        </is>
      </c>
      <c r="X1184" t="inlineStr">
        <is>
          <t>1990-08-01</t>
        </is>
      </c>
      <c r="Y1184" t="n">
        <v>183</v>
      </c>
      <c r="Z1184" t="n">
        <v>173</v>
      </c>
      <c r="AA1184" t="n">
        <v>174</v>
      </c>
      <c r="AB1184" t="n">
        <v>2</v>
      </c>
      <c r="AC1184" t="n">
        <v>2</v>
      </c>
      <c r="AD1184" t="n">
        <v>1</v>
      </c>
      <c r="AE1184" t="n">
        <v>1</v>
      </c>
      <c r="AF1184" t="n">
        <v>0</v>
      </c>
      <c r="AG1184" t="n">
        <v>0</v>
      </c>
      <c r="AH1184" t="n">
        <v>1</v>
      </c>
      <c r="AI1184" t="n">
        <v>1</v>
      </c>
      <c r="AJ1184" t="n">
        <v>0</v>
      </c>
      <c r="AK1184" t="n">
        <v>0</v>
      </c>
      <c r="AL1184" t="n">
        <v>0</v>
      </c>
      <c r="AM1184" t="n">
        <v>0</v>
      </c>
      <c r="AN1184" t="n">
        <v>0</v>
      </c>
      <c r="AO1184" t="n">
        <v>0</v>
      </c>
      <c r="AP1184" t="inlineStr">
        <is>
          <t>No</t>
        </is>
      </c>
      <c r="AQ1184" t="inlineStr">
        <is>
          <t>Yes</t>
        </is>
      </c>
      <c r="AR1184">
        <f>HYPERLINK("http://catalog.hathitrust.org/Record/000145948","HathiTrust Record")</f>
        <v/>
      </c>
      <c r="AS1184">
        <f>HYPERLINK("https://creighton-primo.hosted.exlibrisgroup.com/primo-explore/search?tab=default_tab&amp;search_scope=EVERYTHING&amp;vid=01CRU&amp;lang=en_US&amp;offset=0&amp;query=any,contains,991005133129702656","Catalog Record")</f>
        <v/>
      </c>
      <c r="AT1184">
        <f>HYPERLINK("http://www.worldcat.org/oclc/7574214","WorldCat Record")</f>
        <v/>
      </c>
      <c r="AU1184" t="inlineStr">
        <is>
          <t>508137:eng</t>
        </is>
      </c>
      <c r="AV1184" t="inlineStr">
        <is>
          <t>7574214</t>
        </is>
      </c>
      <c r="AW1184" t="inlineStr">
        <is>
          <t>991005133129702656</t>
        </is>
      </c>
      <c r="AX1184" t="inlineStr">
        <is>
          <t>991005133129702656</t>
        </is>
      </c>
      <c r="AY1184" t="inlineStr">
        <is>
          <t>2270935930002656</t>
        </is>
      </c>
      <c r="AZ1184" t="inlineStr">
        <is>
          <t>BOOK</t>
        </is>
      </c>
      <c r="BB1184" t="inlineStr">
        <is>
          <t>9780525931720</t>
        </is>
      </c>
      <c r="BC1184" t="inlineStr">
        <is>
          <t>32285000262054</t>
        </is>
      </c>
      <c r="BD1184" t="inlineStr">
        <is>
          <t>893600673</t>
        </is>
      </c>
    </row>
    <row r="1185">
      <c r="A1185" t="inlineStr">
        <is>
          <t>No</t>
        </is>
      </c>
      <c r="B1185" t="inlineStr">
        <is>
          <t>GV1048 .B873 2000</t>
        </is>
      </c>
      <c r="C1185" t="inlineStr">
        <is>
          <t>0                      GV 1048000B  873         2000</t>
        </is>
      </c>
      <c r="D1185" t="inlineStr">
        <is>
          <t>The complete book of long-distance cycling : build the strength, skills, and confidence to ride as far as you want / by Edmund R. Burke and Ed Pavelka.</t>
        </is>
      </c>
      <c r="F1185" t="inlineStr">
        <is>
          <t>No</t>
        </is>
      </c>
      <c r="G1185" t="inlineStr">
        <is>
          <t>1</t>
        </is>
      </c>
      <c r="H1185" t="inlineStr">
        <is>
          <t>No</t>
        </is>
      </c>
      <c r="I1185" t="inlineStr">
        <is>
          <t>No</t>
        </is>
      </c>
      <c r="J1185" t="inlineStr">
        <is>
          <t>0</t>
        </is>
      </c>
      <c r="K1185" t="inlineStr">
        <is>
          <t>Burke, Ed, 1949-</t>
        </is>
      </c>
      <c r="L1185" t="inlineStr">
        <is>
          <t>[Emmaus, Pa.] : Rodale ; [New York] : Distributed to the book trade by St. Martin's Press, c2000.</t>
        </is>
      </c>
      <c r="M1185" t="inlineStr">
        <is>
          <t>2000</t>
        </is>
      </c>
      <c r="O1185" t="inlineStr">
        <is>
          <t>eng</t>
        </is>
      </c>
      <c r="P1185" t="inlineStr">
        <is>
          <t>pau</t>
        </is>
      </c>
      <c r="R1185" t="inlineStr">
        <is>
          <t xml:space="preserve">GV </t>
        </is>
      </c>
      <c r="S1185" t="n">
        <v>7</v>
      </c>
      <c r="T1185" t="n">
        <v>7</v>
      </c>
      <c r="U1185" t="inlineStr">
        <is>
          <t>2008-02-29</t>
        </is>
      </c>
      <c r="V1185" t="inlineStr">
        <is>
          <t>2008-02-29</t>
        </is>
      </c>
      <c r="W1185" t="inlineStr">
        <is>
          <t>2000-11-13</t>
        </is>
      </c>
      <c r="X1185" t="inlineStr">
        <is>
          <t>2000-11-13</t>
        </is>
      </c>
      <c r="Y1185" t="n">
        <v>467</v>
      </c>
      <c r="Z1185" t="n">
        <v>440</v>
      </c>
      <c r="AA1185" t="n">
        <v>445</v>
      </c>
      <c r="AB1185" t="n">
        <v>3</v>
      </c>
      <c r="AC1185" t="n">
        <v>3</v>
      </c>
      <c r="AD1185" t="n">
        <v>2</v>
      </c>
      <c r="AE1185" t="n">
        <v>2</v>
      </c>
      <c r="AF1185" t="n">
        <v>2</v>
      </c>
      <c r="AG1185" t="n">
        <v>2</v>
      </c>
      <c r="AH1185" t="n">
        <v>0</v>
      </c>
      <c r="AI1185" t="n">
        <v>0</v>
      </c>
      <c r="AJ1185" t="n">
        <v>1</v>
      </c>
      <c r="AK1185" t="n">
        <v>1</v>
      </c>
      <c r="AL1185" t="n">
        <v>0</v>
      </c>
      <c r="AM1185" t="n">
        <v>0</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HYPERLINK("https://creighton-primo.hosted.exlibrisgroup.com/primo-explore/search?tab=default_tab&amp;search_scope=EVERYTHING&amp;vid=01CRU&amp;lang=en_US&amp;offset=0&amp;query=any,contains,991003331709702656","Catalog Record")</f>
        <v/>
      </c>
      <c r="AT1185">
        <f>HYPERLINK("http://www.worldcat.org/oclc/44090399","WorldCat Record")</f>
        <v/>
      </c>
      <c r="AU1185" t="inlineStr">
        <is>
          <t>354074328:eng</t>
        </is>
      </c>
      <c r="AV1185" t="inlineStr">
        <is>
          <t>44090399</t>
        </is>
      </c>
      <c r="AW1185" t="inlineStr">
        <is>
          <t>991003331709702656</t>
        </is>
      </c>
      <c r="AX1185" t="inlineStr">
        <is>
          <t>991003331709702656</t>
        </is>
      </c>
      <c r="AY1185" t="inlineStr">
        <is>
          <t>2259325970002656</t>
        </is>
      </c>
      <c r="AZ1185" t="inlineStr">
        <is>
          <t>BOOK</t>
        </is>
      </c>
      <c r="BB1185" t="inlineStr">
        <is>
          <t>9781579541996</t>
        </is>
      </c>
      <c r="BC1185" t="inlineStr">
        <is>
          <t>32285004265392</t>
        </is>
      </c>
      <c r="BD1185" t="inlineStr">
        <is>
          <t>893246256</t>
        </is>
      </c>
    </row>
    <row r="1186">
      <c r="A1186" t="inlineStr">
        <is>
          <t>No</t>
        </is>
      </c>
      <c r="B1186" t="inlineStr">
        <is>
          <t>GV1060.5 .H84 1988</t>
        </is>
      </c>
      <c r="C1186" t="inlineStr">
        <is>
          <t>0                      GV 1060500H  84          1988</t>
        </is>
      </c>
      <c r="D1186" t="inlineStr">
        <is>
          <t>The Olympic Games : complete track and field results, 1896-1988 / Barry J. Hugman and Peter Arnold.</t>
        </is>
      </c>
      <c r="F1186" t="inlineStr">
        <is>
          <t>No</t>
        </is>
      </c>
      <c r="G1186" t="inlineStr">
        <is>
          <t>1</t>
        </is>
      </c>
      <c r="H1186" t="inlineStr">
        <is>
          <t>No</t>
        </is>
      </c>
      <c r="I1186" t="inlineStr">
        <is>
          <t>No</t>
        </is>
      </c>
      <c r="J1186" t="inlineStr">
        <is>
          <t>0</t>
        </is>
      </c>
      <c r="K1186" t="inlineStr">
        <is>
          <t>Hugman, Barry J.</t>
        </is>
      </c>
      <c r="L1186" t="inlineStr">
        <is>
          <t>New York, NY : Facts on File, 1988.</t>
        </is>
      </c>
      <c r="M1186" t="inlineStr">
        <is>
          <t>1988</t>
        </is>
      </c>
      <c r="O1186" t="inlineStr">
        <is>
          <t>eng</t>
        </is>
      </c>
      <c r="P1186" t="inlineStr">
        <is>
          <t>nyu</t>
        </is>
      </c>
      <c r="R1186" t="inlineStr">
        <is>
          <t xml:space="preserve">GV </t>
        </is>
      </c>
      <c r="S1186" t="n">
        <v>6</v>
      </c>
      <c r="T1186" t="n">
        <v>6</v>
      </c>
      <c r="U1186" t="inlineStr">
        <is>
          <t>2008-03-17</t>
        </is>
      </c>
      <c r="V1186" t="inlineStr">
        <is>
          <t>2008-03-17</t>
        </is>
      </c>
      <c r="W1186" t="inlineStr">
        <is>
          <t>1990-10-30</t>
        </is>
      </c>
      <c r="X1186" t="inlineStr">
        <is>
          <t>1990-10-30</t>
        </is>
      </c>
      <c r="Y1186" t="n">
        <v>436</v>
      </c>
      <c r="Z1186" t="n">
        <v>382</v>
      </c>
      <c r="AA1186" t="n">
        <v>388</v>
      </c>
      <c r="AB1186" t="n">
        <v>2</v>
      </c>
      <c r="AC1186" t="n">
        <v>2</v>
      </c>
      <c r="AD1186" t="n">
        <v>4</v>
      </c>
      <c r="AE1186" t="n">
        <v>4</v>
      </c>
      <c r="AF1186" t="n">
        <v>1</v>
      </c>
      <c r="AG1186" t="n">
        <v>1</v>
      </c>
      <c r="AH1186" t="n">
        <v>2</v>
      </c>
      <c r="AI1186" t="n">
        <v>2</v>
      </c>
      <c r="AJ1186" t="n">
        <v>1</v>
      </c>
      <c r="AK1186" t="n">
        <v>1</v>
      </c>
      <c r="AL1186" t="n">
        <v>0</v>
      </c>
      <c r="AM1186" t="n">
        <v>0</v>
      </c>
      <c r="AN1186" t="n">
        <v>0</v>
      </c>
      <c r="AO1186" t="n">
        <v>0</v>
      </c>
      <c r="AP1186" t="inlineStr">
        <is>
          <t>No</t>
        </is>
      </c>
      <c r="AQ1186" t="inlineStr">
        <is>
          <t>No</t>
        </is>
      </c>
      <c r="AS1186">
        <f>HYPERLINK("https://creighton-primo.hosted.exlibrisgroup.com/primo-explore/search?tab=default_tab&amp;search_scope=EVERYTHING&amp;vid=01CRU&amp;lang=en_US&amp;offset=0&amp;query=any,contains,991001392389702656","Catalog Record")</f>
        <v/>
      </c>
      <c r="AT1186">
        <f>HYPERLINK("http://www.worldcat.org/oclc/18779017","WorldCat Record")</f>
        <v/>
      </c>
      <c r="AU1186" t="inlineStr">
        <is>
          <t>5090695066:eng</t>
        </is>
      </c>
      <c r="AV1186" t="inlineStr">
        <is>
          <t>18779017</t>
        </is>
      </c>
      <c r="AW1186" t="inlineStr">
        <is>
          <t>991001392389702656</t>
        </is>
      </c>
      <c r="AX1186" t="inlineStr">
        <is>
          <t>991001392389702656</t>
        </is>
      </c>
      <c r="AY1186" t="inlineStr">
        <is>
          <t>2256600300002656</t>
        </is>
      </c>
      <c r="AZ1186" t="inlineStr">
        <is>
          <t>BOOK</t>
        </is>
      </c>
      <c r="BB1186" t="inlineStr">
        <is>
          <t>9780816021208</t>
        </is>
      </c>
      <c r="BC1186" t="inlineStr">
        <is>
          <t>32285000344787</t>
        </is>
      </c>
      <c r="BD1186" t="inlineStr">
        <is>
          <t>893690589</t>
        </is>
      </c>
    </row>
    <row r="1187">
      <c r="A1187" t="inlineStr">
        <is>
          <t>No</t>
        </is>
      </c>
      <c r="B1187" t="inlineStr">
        <is>
          <t>GV1061 .C64 1985</t>
        </is>
      </c>
      <c r="C1187" t="inlineStr">
        <is>
          <t>0                      GV 1061000C  64          1985</t>
        </is>
      </c>
      <c r="D1187" t="inlineStr">
        <is>
          <t>Complete guide to running / Jim Alford ... [et al.].</t>
        </is>
      </c>
      <c r="F1187" t="inlineStr">
        <is>
          <t>No</t>
        </is>
      </c>
      <c r="G1187" t="inlineStr">
        <is>
          <t>1</t>
        </is>
      </c>
      <c r="H1187" t="inlineStr">
        <is>
          <t>No</t>
        </is>
      </c>
      <c r="I1187" t="inlineStr">
        <is>
          <t>No</t>
        </is>
      </c>
      <c r="J1187" t="inlineStr">
        <is>
          <t>0</t>
        </is>
      </c>
      <c r="L1187" t="inlineStr">
        <is>
          <t>New York : Sterling Pub. Co., 1985.</t>
        </is>
      </c>
      <c r="M1187" t="inlineStr">
        <is>
          <t>1985</t>
        </is>
      </c>
      <c r="O1187" t="inlineStr">
        <is>
          <t>eng</t>
        </is>
      </c>
      <c r="P1187" t="inlineStr">
        <is>
          <t>nyu</t>
        </is>
      </c>
      <c r="R1187" t="inlineStr">
        <is>
          <t xml:space="preserve">GV </t>
        </is>
      </c>
      <c r="S1187" t="n">
        <v>10</v>
      </c>
      <c r="T1187" t="n">
        <v>10</v>
      </c>
      <c r="U1187" t="inlineStr">
        <is>
          <t>2001-01-21</t>
        </is>
      </c>
      <c r="V1187" t="inlineStr">
        <is>
          <t>2001-01-21</t>
        </is>
      </c>
      <c r="W1187" t="inlineStr">
        <is>
          <t>1990-04-20</t>
        </is>
      </c>
      <c r="X1187" t="inlineStr">
        <is>
          <t>1990-04-20</t>
        </is>
      </c>
      <c r="Y1187" t="n">
        <v>205</v>
      </c>
      <c r="Z1187" t="n">
        <v>194</v>
      </c>
      <c r="AA1187" t="n">
        <v>200</v>
      </c>
      <c r="AB1187" t="n">
        <v>4</v>
      </c>
      <c r="AC1187" t="n">
        <v>4</v>
      </c>
      <c r="AD1187" t="n">
        <v>0</v>
      </c>
      <c r="AE1187" t="n">
        <v>0</v>
      </c>
      <c r="AF1187" t="n">
        <v>0</v>
      </c>
      <c r="AG1187" t="n">
        <v>0</v>
      </c>
      <c r="AH1187" t="n">
        <v>0</v>
      </c>
      <c r="AI1187" t="n">
        <v>0</v>
      </c>
      <c r="AJ1187" t="n">
        <v>0</v>
      </c>
      <c r="AK1187" t="n">
        <v>0</v>
      </c>
      <c r="AL1187" t="n">
        <v>0</v>
      </c>
      <c r="AM1187" t="n">
        <v>0</v>
      </c>
      <c r="AN1187" t="n">
        <v>0</v>
      </c>
      <c r="AO1187" t="n">
        <v>0</v>
      </c>
      <c r="AP1187" t="inlineStr">
        <is>
          <t>No</t>
        </is>
      </c>
      <c r="AQ1187" t="inlineStr">
        <is>
          <t>No</t>
        </is>
      </c>
      <c r="AS1187">
        <f>HYPERLINK("https://creighton-primo.hosted.exlibrisgroup.com/primo-explore/search?tab=default_tab&amp;search_scope=EVERYTHING&amp;vid=01CRU&amp;lang=en_US&amp;offset=0&amp;query=any,contains,991000638139702656","Catalog Record")</f>
        <v/>
      </c>
      <c r="AT1187">
        <f>HYPERLINK("http://www.worldcat.org/oclc/12084638","WorldCat Record")</f>
        <v/>
      </c>
      <c r="AU1187" t="inlineStr">
        <is>
          <t>54718538:eng</t>
        </is>
      </c>
      <c r="AV1187" t="inlineStr">
        <is>
          <t>12084638</t>
        </is>
      </c>
      <c r="AW1187" t="inlineStr">
        <is>
          <t>991000638139702656</t>
        </is>
      </c>
      <c r="AX1187" t="inlineStr">
        <is>
          <t>991000638139702656</t>
        </is>
      </c>
      <c r="AY1187" t="inlineStr">
        <is>
          <t>2265666420002656</t>
        </is>
      </c>
      <c r="AZ1187" t="inlineStr">
        <is>
          <t>BOOK</t>
        </is>
      </c>
      <c r="BB1187" t="inlineStr">
        <is>
          <t>9780806979649</t>
        </is>
      </c>
      <c r="BC1187" t="inlineStr">
        <is>
          <t>32285000123470</t>
        </is>
      </c>
      <c r="BD1187" t="inlineStr">
        <is>
          <t>893321214</t>
        </is>
      </c>
    </row>
    <row r="1188">
      <c r="A1188" t="inlineStr">
        <is>
          <t>No</t>
        </is>
      </c>
      <c r="B1188" t="inlineStr">
        <is>
          <t>GV1061 .F55</t>
        </is>
      </c>
      <c r="C1188" t="inlineStr">
        <is>
          <t>0                      GV 1061000F  55</t>
        </is>
      </c>
      <c r="D1188" t="inlineStr">
        <is>
          <t>The complete book of running / James F. Fixx.</t>
        </is>
      </c>
      <c r="F1188" t="inlineStr">
        <is>
          <t>No</t>
        </is>
      </c>
      <c r="G1188" t="inlineStr">
        <is>
          <t>1</t>
        </is>
      </c>
      <c r="H1188" t="inlineStr">
        <is>
          <t>No</t>
        </is>
      </c>
      <c r="I1188" t="inlineStr">
        <is>
          <t>No</t>
        </is>
      </c>
      <c r="J1188" t="inlineStr">
        <is>
          <t>0</t>
        </is>
      </c>
      <c r="K1188" t="inlineStr">
        <is>
          <t>Fixx, James F.</t>
        </is>
      </c>
      <c r="L1188" t="inlineStr">
        <is>
          <t>New York : Random House, c1977.</t>
        </is>
      </c>
      <c r="M1188" t="inlineStr">
        <is>
          <t>1977</t>
        </is>
      </c>
      <c r="N1188" t="inlineStr">
        <is>
          <t>1st ed.</t>
        </is>
      </c>
      <c r="O1188" t="inlineStr">
        <is>
          <t>eng</t>
        </is>
      </c>
      <c r="P1188" t="inlineStr">
        <is>
          <t>nyu</t>
        </is>
      </c>
      <c r="R1188" t="inlineStr">
        <is>
          <t xml:space="preserve">GV </t>
        </is>
      </c>
      <c r="S1188" t="n">
        <v>13</v>
      </c>
      <c r="T1188" t="n">
        <v>13</v>
      </c>
      <c r="U1188" t="inlineStr">
        <is>
          <t>2005-04-11</t>
        </is>
      </c>
      <c r="V1188" t="inlineStr">
        <is>
          <t>2005-04-11</t>
        </is>
      </c>
      <c r="W1188" t="inlineStr">
        <is>
          <t>1992-11-10</t>
        </is>
      </c>
      <c r="X1188" t="inlineStr">
        <is>
          <t>1992-11-10</t>
        </is>
      </c>
      <c r="Y1188" t="n">
        <v>2346</v>
      </c>
      <c r="Z1188" t="n">
        <v>2221</v>
      </c>
      <c r="AA1188" t="n">
        <v>2241</v>
      </c>
      <c r="AB1188" t="n">
        <v>19</v>
      </c>
      <c r="AC1188" t="n">
        <v>19</v>
      </c>
      <c r="AD1188" t="n">
        <v>46</v>
      </c>
      <c r="AE1188" t="n">
        <v>46</v>
      </c>
      <c r="AF1188" t="n">
        <v>20</v>
      </c>
      <c r="AG1188" t="n">
        <v>20</v>
      </c>
      <c r="AH1188" t="n">
        <v>6</v>
      </c>
      <c r="AI1188" t="n">
        <v>6</v>
      </c>
      <c r="AJ1188" t="n">
        <v>19</v>
      </c>
      <c r="AK1188" t="n">
        <v>19</v>
      </c>
      <c r="AL1188" t="n">
        <v>9</v>
      </c>
      <c r="AM1188" t="n">
        <v>9</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HYPERLINK("https://creighton-primo.hosted.exlibrisgroup.com/primo-explore/search?tab=default_tab&amp;search_scope=EVERYTHING&amp;vid=01CRU&amp;lang=en_US&amp;offset=0&amp;query=any,contains,991004307579702656","Catalog Record")</f>
        <v/>
      </c>
      <c r="AT1188">
        <f>HYPERLINK("http://www.worldcat.org/oclc/2984473","WorldCat Record")</f>
        <v/>
      </c>
      <c r="AU1188" t="inlineStr">
        <is>
          <t>461534:eng</t>
        </is>
      </c>
      <c r="AV1188" t="inlineStr">
        <is>
          <t>2984473</t>
        </is>
      </c>
      <c r="AW1188" t="inlineStr">
        <is>
          <t>991004307579702656</t>
        </is>
      </c>
      <c r="AX1188" t="inlineStr">
        <is>
          <t>991004307579702656</t>
        </is>
      </c>
      <c r="AY1188" t="inlineStr">
        <is>
          <t>2258305220002656</t>
        </is>
      </c>
      <c r="AZ1188" t="inlineStr">
        <is>
          <t>BOOK</t>
        </is>
      </c>
      <c r="BB1188" t="inlineStr">
        <is>
          <t>9780394411590</t>
        </is>
      </c>
      <c r="BC1188" t="inlineStr">
        <is>
          <t>32285001384329</t>
        </is>
      </c>
      <c r="BD1188" t="inlineStr">
        <is>
          <t>893513074</t>
        </is>
      </c>
    </row>
    <row r="1189">
      <c r="A1189" t="inlineStr">
        <is>
          <t>No</t>
        </is>
      </c>
      <c r="B1189" t="inlineStr">
        <is>
          <t>GV1062 .L93 1999</t>
        </is>
      </c>
      <c r="C1189" t="inlineStr">
        <is>
          <t>0                      GV 1062000L  93          1999</t>
        </is>
      </c>
      <c r="D1189" t="inlineStr">
        <is>
          <t>Distance training for young athletes / Arthur Lydiard, Garth Gilmour.</t>
        </is>
      </c>
      <c r="F1189" t="inlineStr">
        <is>
          <t>No</t>
        </is>
      </c>
      <c r="G1189" t="inlineStr">
        <is>
          <t>1</t>
        </is>
      </c>
      <c r="H1189" t="inlineStr">
        <is>
          <t>No</t>
        </is>
      </c>
      <c r="I1189" t="inlineStr">
        <is>
          <t>No</t>
        </is>
      </c>
      <c r="J1189" t="inlineStr">
        <is>
          <t>0</t>
        </is>
      </c>
      <c r="K1189" t="inlineStr">
        <is>
          <t>Lydiard, Arthur, 1917-2004.</t>
        </is>
      </c>
      <c r="L1189" t="inlineStr">
        <is>
          <t>Aachen [Germany] : Meyer &amp; Meyer Sport, c1999.</t>
        </is>
      </c>
      <c r="M1189" t="inlineStr">
        <is>
          <t>1999</t>
        </is>
      </c>
      <c r="O1189" t="inlineStr">
        <is>
          <t>eng</t>
        </is>
      </c>
      <c r="P1189" t="inlineStr">
        <is>
          <t xml:space="preserve">gw </t>
        </is>
      </c>
      <c r="R1189" t="inlineStr">
        <is>
          <t xml:space="preserve">GV </t>
        </is>
      </c>
      <c r="S1189" t="n">
        <v>6</v>
      </c>
      <c r="T1189" t="n">
        <v>6</v>
      </c>
      <c r="U1189" t="inlineStr">
        <is>
          <t>2003-12-04</t>
        </is>
      </c>
      <c r="V1189" t="inlineStr">
        <is>
          <t>2003-12-04</t>
        </is>
      </c>
      <c r="W1189" t="inlineStr">
        <is>
          <t>2000-08-15</t>
        </is>
      </c>
      <c r="X1189" t="inlineStr">
        <is>
          <t>2000-08-15</t>
        </is>
      </c>
      <c r="Y1189" t="n">
        <v>74</v>
      </c>
      <c r="Z1189" t="n">
        <v>26</v>
      </c>
      <c r="AA1189" t="n">
        <v>26</v>
      </c>
      <c r="AB1189" t="n">
        <v>1</v>
      </c>
      <c r="AC1189" t="n">
        <v>1</v>
      </c>
      <c r="AD1189" t="n">
        <v>0</v>
      </c>
      <c r="AE1189" t="n">
        <v>0</v>
      </c>
      <c r="AF1189" t="n">
        <v>0</v>
      </c>
      <c r="AG1189" t="n">
        <v>0</v>
      </c>
      <c r="AH1189" t="n">
        <v>0</v>
      </c>
      <c r="AI1189" t="n">
        <v>0</v>
      </c>
      <c r="AJ1189" t="n">
        <v>0</v>
      </c>
      <c r="AK1189" t="n">
        <v>0</v>
      </c>
      <c r="AL1189" t="n">
        <v>0</v>
      </c>
      <c r="AM1189" t="n">
        <v>0</v>
      </c>
      <c r="AN1189" t="n">
        <v>0</v>
      </c>
      <c r="AO1189" t="n">
        <v>0</v>
      </c>
      <c r="AP1189" t="inlineStr">
        <is>
          <t>No</t>
        </is>
      </c>
      <c r="AQ1189" t="inlineStr">
        <is>
          <t>No</t>
        </is>
      </c>
      <c r="AS1189">
        <f>HYPERLINK("https://creighton-primo.hosted.exlibrisgroup.com/primo-explore/search?tab=default_tab&amp;search_scope=EVERYTHING&amp;vid=01CRU&amp;lang=en_US&amp;offset=0&amp;query=any,contains,991003226959702656","Catalog Record")</f>
        <v/>
      </c>
      <c r="AT1189">
        <f>HYPERLINK("http://www.worldcat.org/oclc/41949320","WorldCat Record")</f>
        <v/>
      </c>
      <c r="AU1189" t="inlineStr">
        <is>
          <t>898149972:eng</t>
        </is>
      </c>
      <c r="AV1189" t="inlineStr">
        <is>
          <t>41949320</t>
        </is>
      </c>
      <c r="AW1189" t="inlineStr">
        <is>
          <t>991003226959702656</t>
        </is>
      </c>
      <c r="AX1189" t="inlineStr">
        <is>
          <t>991003226959702656</t>
        </is>
      </c>
      <c r="AY1189" t="inlineStr">
        <is>
          <t>2270197950002656</t>
        </is>
      </c>
      <c r="AZ1189" t="inlineStr">
        <is>
          <t>BOOK</t>
        </is>
      </c>
      <c r="BB1189" t="inlineStr">
        <is>
          <t>9783891245330</t>
        </is>
      </c>
      <c r="BC1189" t="inlineStr">
        <is>
          <t>32285003757589</t>
        </is>
      </c>
      <c r="BD1189" t="inlineStr">
        <is>
          <t>893874552</t>
        </is>
      </c>
    </row>
    <row r="1190">
      <c r="A1190" t="inlineStr">
        <is>
          <t>No</t>
        </is>
      </c>
      <c r="B1190" t="inlineStr">
        <is>
          <t>GV1065 .C63</t>
        </is>
      </c>
      <c r="C1190" t="inlineStr">
        <is>
          <t>0                      GV 1065000C  63</t>
        </is>
      </c>
      <c r="D1190" t="inlineStr">
        <is>
          <t>Complete book of marathon running / by the editors of Consumer guide.</t>
        </is>
      </c>
      <c r="F1190" t="inlineStr">
        <is>
          <t>No</t>
        </is>
      </c>
      <c r="G1190" t="inlineStr">
        <is>
          <t>1</t>
        </is>
      </c>
      <c r="H1190" t="inlineStr">
        <is>
          <t>No</t>
        </is>
      </c>
      <c r="I1190" t="inlineStr">
        <is>
          <t>No</t>
        </is>
      </c>
      <c r="J1190" t="inlineStr">
        <is>
          <t>0</t>
        </is>
      </c>
      <c r="L1190" t="inlineStr">
        <is>
          <t>New York : Beekman House, c1979.</t>
        </is>
      </c>
      <c r="M1190" t="inlineStr">
        <is>
          <t>1979</t>
        </is>
      </c>
      <c r="O1190" t="inlineStr">
        <is>
          <t>eng</t>
        </is>
      </c>
      <c r="P1190" t="inlineStr">
        <is>
          <t>nyu</t>
        </is>
      </c>
      <c r="R1190" t="inlineStr">
        <is>
          <t xml:space="preserve">GV </t>
        </is>
      </c>
      <c r="S1190" t="n">
        <v>12</v>
      </c>
      <c r="T1190" t="n">
        <v>12</v>
      </c>
      <c r="U1190" t="inlineStr">
        <is>
          <t>2006-09-17</t>
        </is>
      </c>
      <c r="V1190" t="inlineStr">
        <is>
          <t>2006-09-17</t>
        </is>
      </c>
      <c r="W1190" t="inlineStr">
        <is>
          <t>1990-04-20</t>
        </is>
      </c>
      <c r="X1190" t="inlineStr">
        <is>
          <t>1990-04-20</t>
        </is>
      </c>
      <c r="Y1190" t="n">
        <v>279</v>
      </c>
      <c r="Z1190" t="n">
        <v>270</v>
      </c>
      <c r="AA1190" t="n">
        <v>296</v>
      </c>
      <c r="AB1190" t="n">
        <v>3</v>
      </c>
      <c r="AC1190" t="n">
        <v>4</v>
      </c>
      <c r="AD1190" t="n">
        <v>2</v>
      </c>
      <c r="AE1190" t="n">
        <v>3</v>
      </c>
      <c r="AF1190" t="n">
        <v>1</v>
      </c>
      <c r="AG1190" t="n">
        <v>1</v>
      </c>
      <c r="AH1190" t="n">
        <v>0</v>
      </c>
      <c r="AI1190" t="n">
        <v>0</v>
      </c>
      <c r="AJ1190" t="n">
        <v>0</v>
      </c>
      <c r="AK1190" t="n">
        <v>0</v>
      </c>
      <c r="AL1190" t="n">
        <v>1</v>
      </c>
      <c r="AM1190" t="n">
        <v>2</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HYPERLINK("https://creighton-primo.hosted.exlibrisgroup.com/primo-explore/search?tab=default_tab&amp;search_scope=EVERYTHING&amp;vid=01CRU&amp;lang=en_US&amp;offset=0&amp;query=any,contains,991004713349702656","Catalog Record")</f>
        <v/>
      </c>
      <c r="AT1190">
        <f>HYPERLINK("http://www.worldcat.org/oclc/4775161","WorldCat Record")</f>
        <v/>
      </c>
      <c r="AU1190" t="inlineStr">
        <is>
          <t>498221:eng</t>
        </is>
      </c>
      <c r="AV1190" t="inlineStr">
        <is>
          <t>4775161</t>
        </is>
      </c>
      <c r="AW1190" t="inlineStr">
        <is>
          <t>991004713349702656</t>
        </is>
      </c>
      <c r="AX1190" t="inlineStr">
        <is>
          <t>991004713349702656</t>
        </is>
      </c>
      <c r="AY1190" t="inlineStr">
        <is>
          <t>2256480400002656</t>
        </is>
      </c>
      <c r="AZ1190" t="inlineStr">
        <is>
          <t>BOOK</t>
        </is>
      </c>
      <c r="BB1190" t="inlineStr">
        <is>
          <t>9780517288450</t>
        </is>
      </c>
      <c r="BC1190" t="inlineStr">
        <is>
          <t>32285000124080</t>
        </is>
      </c>
      <c r="BD1190" t="inlineStr">
        <is>
          <t>893870016</t>
        </is>
      </c>
    </row>
    <row r="1191">
      <c r="A1191" t="inlineStr">
        <is>
          <t>No</t>
        </is>
      </c>
      <c r="B1191" t="inlineStr">
        <is>
          <t>GV1065 .S7313</t>
        </is>
      </c>
      <c r="C1191" t="inlineStr">
        <is>
          <t>0                      GV 1065000S  7313</t>
        </is>
      </c>
      <c r="D1191" t="inlineStr">
        <is>
          <t>Marathoning : a book / by Manfred Steffny ; translated by George Beinhorn.</t>
        </is>
      </c>
      <c r="F1191" t="inlineStr">
        <is>
          <t>No</t>
        </is>
      </c>
      <c r="G1191" t="inlineStr">
        <is>
          <t>1</t>
        </is>
      </c>
      <c r="H1191" t="inlineStr">
        <is>
          <t>No</t>
        </is>
      </c>
      <c r="I1191" t="inlineStr">
        <is>
          <t>No</t>
        </is>
      </c>
      <c r="J1191" t="inlineStr">
        <is>
          <t>0</t>
        </is>
      </c>
      <c r="K1191" t="inlineStr">
        <is>
          <t>Steffny, Manfred, 1941-</t>
        </is>
      </c>
      <c r="L1191" t="inlineStr">
        <is>
          <t>Mountain View, Calif. : World Publications, c1979, 1981 printing.</t>
        </is>
      </c>
      <c r="M1191" t="inlineStr">
        <is>
          <t>1979</t>
        </is>
      </c>
      <c r="O1191" t="inlineStr">
        <is>
          <t>eng</t>
        </is>
      </c>
      <c r="P1191" t="inlineStr">
        <is>
          <t>cau</t>
        </is>
      </c>
      <c r="R1191" t="inlineStr">
        <is>
          <t xml:space="preserve">GV </t>
        </is>
      </c>
      <c r="S1191" t="n">
        <v>7</v>
      </c>
      <c r="T1191" t="n">
        <v>7</v>
      </c>
      <c r="U1191" t="inlineStr">
        <is>
          <t>2006-09-17</t>
        </is>
      </c>
      <c r="V1191" t="inlineStr">
        <is>
          <t>2006-09-17</t>
        </is>
      </c>
      <c r="W1191" t="inlineStr">
        <is>
          <t>1990-03-19</t>
        </is>
      </c>
      <c r="X1191" t="inlineStr">
        <is>
          <t>1990-03-19</t>
        </is>
      </c>
      <c r="Y1191" t="n">
        <v>146</v>
      </c>
      <c r="Z1191" t="n">
        <v>124</v>
      </c>
      <c r="AA1191" t="n">
        <v>135</v>
      </c>
      <c r="AB1191" t="n">
        <v>1</v>
      </c>
      <c r="AC1191" t="n">
        <v>1</v>
      </c>
      <c r="AD1191" t="n">
        <v>1</v>
      </c>
      <c r="AE1191" t="n">
        <v>1</v>
      </c>
      <c r="AF1191" t="n">
        <v>1</v>
      </c>
      <c r="AG1191" t="n">
        <v>1</v>
      </c>
      <c r="AH1191" t="n">
        <v>0</v>
      </c>
      <c r="AI1191" t="n">
        <v>0</v>
      </c>
      <c r="AJ1191" t="n">
        <v>1</v>
      </c>
      <c r="AK1191" t="n">
        <v>1</v>
      </c>
      <c r="AL1191" t="n">
        <v>0</v>
      </c>
      <c r="AM1191" t="n">
        <v>0</v>
      </c>
      <c r="AN1191" t="n">
        <v>0</v>
      </c>
      <c r="AO1191" t="n">
        <v>0</v>
      </c>
      <c r="AP1191" t="inlineStr">
        <is>
          <t>No</t>
        </is>
      </c>
      <c r="AQ1191" t="inlineStr">
        <is>
          <t>Yes</t>
        </is>
      </c>
      <c r="AR1191">
        <f>HYPERLINK("http://catalog.hathitrust.org/Record/012268950","HathiTrust Record")</f>
        <v/>
      </c>
      <c r="AS1191">
        <f>HYPERLINK("https://creighton-primo.hosted.exlibrisgroup.com/primo-explore/search?tab=default_tab&amp;search_scope=EVERYTHING&amp;vid=01CRU&amp;lang=en_US&amp;offset=0&amp;query=any,contains,991004674809702656","Catalog Record")</f>
        <v/>
      </c>
      <c r="AT1191">
        <f>HYPERLINK("http://www.worldcat.org/oclc/4529984","WorldCat Record")</f>
        <v/>
      </c>
      <c r="AU1191" t="inlineStr">
        <is>
          <t>569728:eng</t>
        </is>
      </c>
      <c r="AV1191" t="inlineStr">
        <is>
          <t>4529984</t>
        </is>
      </c>
      <c r="AW1191" t="inlineStr">
        <is>
          <t>991004674809702656</t>
        </is>
      </c>
      <c r="AX1191" t="inlineStr">
        <is>
          <t>991004674809702656</t>
        </is>
      </c>
      <c r="AY1191" t="inlineStr">
        <is>
          <t>2264403900002656</t>
        </is>
      </c>
      <c r="AZ1191" t="inlineStr">
        <is>
          <t>BOOK</t>
        </is>
      </c>
      <c r="BB1191" t="inlineStr">
        <is>
          <t>9780890371565</t>
        </is>
      </c>
      <c r="BC1191" t="inlineStr">
        <is>
          <t>32285000085695</t>
        </is>
      </c>
      <c r="BD1191" t="inlineStr">
        <is>
          <t>893882781</t>
        </is>
      </c>
    </row>
    <row r="1192">
      <c r="A1192" t="inlineStr">
        <is>
          <t>No</t>
        </is>
      </c>
      <c r="B1192" t="inlineStr">
        <is>
          <t>GV1065.17 .L93 2000</t>
        </is>
      </c>
      <c r="C1192" t="inlineStr">
        <is>
          <t>0                      GV 1065170L  93          2000</t>
        </is>
      </c>
      <c r="D1192" t="inlineStr">
        <is>
          <t>Distance training for masters / Arthur Lydiard &amp; Garth Gilmour.</t>
        </is>
      </c>
      <c r="F1192" t="inlineStr">
        <is>
          <t>No</t>
        </is>
      </c>
      <c r="G1192" t="inlineStr">
        <is>
          <t>1</t>
        </is>
      </c>
      <c r="H1192" t="inlineStr">
        <is>
          <t>No</t>
        </is>
      </c>
      <c r="I1192" t="inlineStr">
        <is>
          <t>No</t>
        </is>
      </c>
      <c r="J1192" t="inlineStr">
        <is>
          <t>0</t>
        </is>
      </c>
      <c r="K1192" t="inlineStr">
        <is>
          <t>Lydiard, Arthur, 1917-2004.</t>
        </is>
      </c>
      <c r="L1192" t="inlineStr">
        <is>
          <t>Aachen : Meyer &amp; Meyer Verlag ; Garsington : Windsor, 2000.</t>
        </is>
      </c>
      <c r="M1192" t="inlineStr">
        <is>
          <t>2000</t>
        </is>
      </c>
      <c r="O1192" t="inlineStr">
        <is>
          <t>eng</t>
        </is>
      </c>
      <c r="P1192" t="inlineStr">
        <is>
          <t xml:space="preserve">gw </t>
        </is>
      </c>
      <c r="R1192" t="inlineStr">
        <is>
          <t xml:space="preserve">GV </t>
        </is>
      </c>
      <c r="S1192" t="n">
        <v>6</v>
      </c>
      <c r="T1192" t="n">
        <v>6</v>
      </c>
      <c r="U1192" t="inlineStr">
        <is>
          <t>2008-08-21</t>
        </is>
      </c>
      <c r="V1192" t="inlineStr">
        <is>
          <t>2008-08-21</t>
        </is>
      </c>
      <c r="W1192" t="inlineStr">
        <is>
          <t>2001-03-06</t>
        </is>
      </c>
      <c r="X1192" t="inlineStr">
        <is>
          <t>2001-03-06</t>
        </is>
      </c>
      <c r="Y1192" t="n">
        <v>52</v>
      </c>
      <c r="Z1192" t="n">
        <v>29</v>
      </c>
      <c r="AA1192" t="n">
        <v>31</v>
      </c>
      <c r="AB1192" t="n">
        <v>1</v>
      </c>
      <c r="AC1192" t="n">
        <v>1</v>
      </c>
      <c r="AD1192" t="n">
        <v>0</v>
      </c>
      <c r="AE1192" t="n">
        <v>0</v>
      </c>
      <c r="AF1192" t="n">
        <v>0</v>
      </c>
      <c r="AG1192" t="n">
        <v>0</v>
      </c>
      <c r="AH1192" t="n">
        <v>0</v>
      </c>
      <c r="AI1192" t="n">
        <v>0</v>
      </c>
      <c r="AJ1192" t="n">
        <v>0</v>
      </c>
      <c r="AK1192" t="n">
        <v>0</v>
      </c>
      <c r="AL1192" t="n">
        <v>0</v>
      </c>
      <c r="AM1192" t="n">
        <v>0</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HYPERLINK("https://creighton-primo.hosted.exlibrisgroup.com/primo-explore/search?tab=default_tab&amp;search_scope=EVERYTHING&amp;vid=01CRU&amp;lang=en_US&amp;offset=0&amp;query=any,contains,991003502359702656","Catalog Record")</f>
        <v/>
      </c>
      <c r="AT1192">
        <f>HYPERLINK("http://www.worldcat.org/oclc/46965940","WorldCat Record")</f>
        <v/>
      </c>
      <c r="AU1192" t="inlineStr">
        <is>
          <t>777004771:eng</t>
        </is>
      </c>
      <c r="AV1192" t="inlineStr">
        <is>
          <t>46965940</t>
        </is>
      </c>
      <c r="AW1192" t="inlineStr">
        <is>
          <t>991003502359702656</t>
        </is>
      </c>
      <c r="AX1192" t="inlineStr">
        <is>
          <t>991003502359702656</t>
        </is>
      </c>
      <c r="AY1192" t="inlineStr">
        <is>
          <t>2265424300002656</t>
        </is>
      </c>
      <c r="AZ1192" t="inlineStr">
        <is>
          <t>BOOK</t>
        </is>
      </c>
      <c r="BB1192" t="inlineStr">
        <is>
          <t>9781841260181</t>
        </is>
      </c>
      <c r="BC1192" t="inlineStr">
        <is>
          <t>32285004299425</t>
        </is>
      </c>
      <c r="BD1192" t="inlineStr">
        <is>
          <t>893336556</t>
        </is>
      </c>
    </row>
    <row r="1193">
      <c r="A1193" t="inlineStr">
        <is>
          <t>No</t>
        </is>
      </c>
      <c r="B1193" t="inlineStr">
        <is>
          <t>GV1065.17.T73 S37</t>
        </is>
      </c>
      <c r="C1193" t="inlineStr">
        <is>
          <t>0                      GV 1065170T  73                 S  37</t>
        </is>
      </c>
      <c r="D1193" t="inlineStr">
        <is>
          <t>Training to run the perfect marathon / by Michael Schreiber ; ill. by J. T. Sevier.</t>
        </is>
      </c>
      <c r="F1193" t="inlineStr">
        <is>
          <t>No</t>
        </is>
      </c>
      <c r="G1193" t="inlineStr">
        <is>
          <t>1</t>
        </is>
      </c>
      <c r="H1193" t="inlineStr">
        <is>
          <t>No</t>
        </is>
      </c>
      <c r="I1193" t="inlineStr">
        <is>
          <t>No</t>
        </is>
      </c>
      <c r="J1193" t="inlineStr">
        <is>
          <t>0</t>
        </is>
      </c>
      <c r="K1193" t="inlineStr">
        <is>
          <t>Schreiber, Michael.</t>
        </is>
      </c>
      <c r="L1193" t="inlineStr">
        <is>
          <t>Santa Fe, N.M. : J. Muir Publications, c1980.</t>
        </is>
      </c>
      <c r="M1193" t="inlineStr">
        <is>
          <t>1980</t>
        </is>
      </c>
      <c r="O1193" t="inlineStr">
        <is>
          <t>eng</t>
        </is>
      </c>
      <c r="P1193" t="inlineStr">
        <is>
          <t>nmu</t>
        </is>
      </c>
      <c r="R1193" t="inlineStr">
        <is>
          <t xml:space="preserve">GV </t>
        </is>
      </c>
      <c r="S1193" t="n">
        <v>15</v>
      </c>
      <c r="T1193" t="n">
        <v>15</v>
      </c>
      <c r="U1193" t="inlineStr">
        <is>
          <t>2006-09-17</t>
        </is>
      </c>
      <c r="V1193" t="inlineStr">
        <is>
          <t>2006-09-17</t>
        </is>
      </c>
      <c r="W1193" t="inlineStr">
        <is>
          <t>1990-10-30</t>
        </is>
      </c>
      <c r="X1193" t="inlineStr">
        <is>
          <t>1990-10-30</t>
        </is>
      </c>
      <c r="Y1193" t="n">
        <v>148</v>
      </c>
      <c r="Z1193" t="n">
        <v>140</v>
      </c>
      <c r="AA1193" t="n">
        <v>140</v>
      </c>
      <c r="AB1193" t="n">
        <v>1</v>
      </c>
      <c r="AC1193" t="n">
        <v>1</v>
      </c>
      <c r="AD1193" t="n">
        <v>1</v>
      </c>
      <c r="AE1193" t="n">
        <v>1</v>
      </c>
      <c r="AF1193" t="n">
        <v>0</v>
      </c>
      <c r="AG1193" t="n">
        <v>0</v>
      </c>
      <c r="AH1193" t="n">
        <v>1</v>
      </c>
      <c r="AI1193" t="n">
        <v>1</v>
      </c>
      <c r="AJ1193" t="n">
        <v>0</v>
      </c>
      <c r="AK1193" t="n">
        <v>0</v>
      </c>
      <c r="AL1193" t="n">
        <v>0</v>
      </c>
      <c r="AM1193" t="n">
        <v>0</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HYPERLINK("https://creighton-primo.hosted.exlibrisgroup.com/primo-explore/search?tab=default_tab&amp;search_scope=EVERYTHING&amp;vid=01CRU&amp;lang=en_US&amp;offset=0&amp;query=any,contains,991005071939702656","Catalog Record")</f>
        <v/>
      </c>
      <c r="AT1193">
        <f>HYPERLINK("http://www.worldcat.org/oclc/7040836","WorldCat Record")</f>
        <v/>
      </c>
      <c r="AU1193" t="inlineStr">
        <is>
          <t>1402893842:eng</t>
        </is>
      </c>
      <c r="AV1193" t="inlineStr">
        <is>
          <t>7040836</t>
        </is>
      </c>
      <c r="AW1193" t="inlineStr">
        <is>
          <t>991005071939702656</t>
        </is>
      </c>
      <c r="AX1193" t="inlineStr">
        <is>
          <t>991005071939702656</t>
        </is>
      </c>
      <c r="AY1193" t="inlineStr">
        <is>
          <t>2272819290002656</t>
        </is>
      </c>
      <c r="AZ1193" t="inlineStr">
        <is>
          <t>BOOK</t>
        </is>
      </c>
      <c r="BB1193" t="inlineStr">
        <is>
          <t>9780912528199</t>
        </is>
      </c>
      <c r="BC1193" t="inlineStr">
        <is>
          <t>32285000344852</t>
        </is>
      </c>
      <c r="BD1193" t="inlineStr">
        <is>
          <t>893619396</t>
        </is>
      </c>
    </row>
    <row r="1194">
      <c r="A1194" t="inlineStr">
        <is>
          <t>No</t>
        </is>
      </c>
      <c r="B1194" t="inlineStr">
        <is>
          <t>GV1065.2 .C66 1998</t>
        </is>
      </c>
      <c r="C1194" t="inlineStr">
        <is>
          <t>0                      GV 1065200C  66          1998</t>
        </is>
      </c>
      <c r="D1194" t="inlineStr">
        <is>
          <t>The American marathon / Pamela Cooper.</t>
        </is>
      </c>
      <c r="F1194" t="inlineStr">
        <is>
          <t>No</t>
        </is>
      </c>
      <c r="G1194" t="inlineStr">
        <is>
          <t>1</t>
        </is>
      </c>
      <c r="H1194" t="inlineStr">
        <is>
          <t>No</t>
        </is>
      </c>
      <c r="I1194" t="inlineStr">
        <is>
          <t>No</t>
        </is>
      </c>
      <c r="J1194" t="inlineStr">
        <is>
          <t>0</t>
        </is>
      </c>
      <c r="K1194" t="inlineStr">
        <is>
          <t>Cooper, Pamela (Pamela Lynne)</t>
        </is>
      </c>
      <c r="L1194" t="inlineStr">
        <is>
          <t>Syracuse : Syracuse University Press, c1998.</t>
        </is>
      </c>
      <c r="M1194" t="inlineStr">
        <is>
          <t>1998</t>
        </is>
      </c>
      <c r="N1194" t="inlineStr">
        <is>
          <t>1st ed.</t>
        </is>
      </c>
      <c r="O1194" t="inlineStr">
        <is>
          <t>eng</t>
        </is>
      </c>
      <c r="P1194" t="inlineStr">
        <is>
          <t>nyu</t>
        </is>
      </c>
      <c r="Q1194" t="inlineStr">
        <is>
          <t>Sports and entertainment</t>
        </is>
      </c>
      <c r="R1194" t="inlineStr">
        <is>
          <t xml:space="preserve">GV </t>
        </is>
      </c>
      <c r="S1194" t="n">
        <v>3</v>
      </c>
      <c r="T1194" t="n">
        <v>3</v>
      </c>
      <c r="U1194" t="inlineStr">
        <is>
          <t>2006-09-17</t>
        </is>
      </c>
      <c r="V1194" t="inlineStr">
        <is>
          <t>2006-09-17</t>
        </is>
      </c>
      <c r="W1194" t="inlineStr">
        <is>
          <t>1999-10-11</t>
        </is>
      </c>
      <c r="X1194" t="inlineStr">
        <is>
          <t>1999-10-11</t>
        </is>
      </c>
      <c r="Y1194" t="n">
        <v>380</v>
      </c>
      <c r="Z1194" t="n">
        <v>347</v>
      </c>
      <c r="AA1194" t="n">
        <v>893</v>
      </c>
      <c r="AB1194" t="n">
        <v>3</v>
      </c>
      <c r="AC1194" t="n">
        <v>3</v>
      </c>
      <c r="AD1194" t="n">
        <v>13</v>
      </c>
      <c r="AE1194" t="n">
        <v>19</v>
      </c>
      <c r="AF1194" t="n">
        <v>8</v>
      </c>
      <c r="AG1194" t="n">
        <v>12</v>
      </c>
      <c r="AH1194" t="n">
        <v>3</v>
      </c>
      <c r="AI1194" t="n">
        <v>5</v>
      </c>
      <c r="AJ1194" t="n">
        <v>5</v>
      </c>
      <c r="AK1194" t="n">
        <v>8</v>
      </c>
      <c r="AL1194" t="n">
        <v>2</v>
      </c>
      <c r="AM1194" t="n">
        <v>2</v>
      </c>
      <c r="AN1194" t="n">
        <v>0</v>
      </c>
      <c r="AO1194" t="n">
        <v>0</v>
      </c>
      <c r="AP1194" t="inlineStr">
        <is>
          <t>No</t>
        </is>
      </c>
      <c r="AQ1194" t="inlineStr">
        <is>
          <t>Yes</t>
        </is>
      </c>
      <c r="AR1194">
        <f>HYPERLINK("http://catalog.hathitrust.org/Record/003974624","HathiTrust Record")</f>
        <v/>
      </c>
      <c r="AS1194">
        <f>HYPERLINK("https://creighton-primo.hosted.exlibrisgroup.com/primo-explore/search?tab=default_tab&amp;search_scope=EVERYTHING&amp;vid=01CRU&amp;lang=en_US&amp;offset=0&amp;query=any,contains,991002878009702656","Catalog Record")</f>
        <v/>
      </c>
      <c r="AT1194">
        <f>HYPERLINK("http://www.worldcat.org/oclc/37928521","WorldCat Record")</f>
        <v/>
      </c>
      <c r="AU1194" t="inlineStr">
        <is>
          <t>619237:eng</t>
        </is>
      </c>
      <c r="AV1194" t="inlineStr">
        <is>
          <t>37928521</t>
        </is>
      </c>
      <c r="AW1194" t="inlineStr">
        <is>
          <t>991002878009702656</t>
        </is>
      </c>
      <c r="AX1194" t="inlineStr">
        <is>
          <t>991002878009702656</t>
        </is>
      </c>
      <c r="AY1194" t="inlineStr">
        <is>
          <t>2268947330002656</t>
        </is>
      </c>
      <c r="AZ1194" t="inlineStr">
        <is>
          <t>BOOK</t>
        </is>
      </c>
      <c r="BB1194" t="inlineStr">
        <is>
          <t>9780815605201</t>
        </is>
      </c>
      <c r="BC1194" t="inlineStr">
        <is>
          <t>32285003594206</t>
        </is>
      </c>
      <c r="BD1194" t="inlineStr">
        <is>
          <t>893233543</t>
        </is>
      </c>
    </row>
    <row r="1195">
      <c r="A1195" t="inlineStr">
        <is>
          <t>No</t>
        </is>
      </c>
      <c r="B1195" t="inlineStr">
        <is>
          <t>GV1100.77.A2 F75 1997</t>
        </is>
      </c>
      <c r="C1195" t="inlineStr">
        <is>
          <t>0                      GV 1100770A  2                  F  75          1997</t>
        </is>
      </c>
      <c r="D1195" t="inlineStr">
        <is>
          <t>Legacies of the sword : the Kashima-Shinryū and samurai martial culture / Karl F. Friday, with Seki Humitake.</t>
        </is>
      </c>
      <c r="F1195" t="inlineStr">
        <is>
          <t>No</t>
        </is>
      </c>
      <c r="G1195" t="inlineStr">
        <is>
          <t>1</t>
        </is>
      </c>
      <c r="H1195" t="inlineStr">
        <is>
          <t>No</t>
        </is>
      </c>
      <c r="I1195" t="inlineStr">
        <is>
          <t>No</t>
        </is>
      </c>
      <c r="J1195" t="inlineStr">
        <is>
          <t>0</t>
        </is>
      </c>
      <c r="K1195" t="inlineStr">
        <is>
          <t>Friday, Karl F.</t>
        </is>
      </c>
      <c r="L1195" t="inlineStr">
        <is>
          <t>Honolulu : University of Hawai'i Press, c1997.</t>
        </is>
      </c>
      <c r="M1195" t="inlineStr">
        <is>
          <t>1997</t>
        </is>
      </c>
      <c r="O1195" t="inlineStr">
        <is>
          <t>eng</t>
        </is>
      </c>
      <c r="P1195" t="inlineStr">
        <is>
          <t>hiu</t>
        </is>
      </c>
      <c r="R1195" t="inlineStr">
        <is>
          <t xml:space="preserve">GV </t>
        </is>
      </c>
      <c r="S1195" t="n">
        <v>3</v>
      </c>
      <c r="T1195" t="n">
        <v>3</v>
      </c>
      <c r="U1195" t="inlineStr">
        <is>
          <t>2007-11-13</t>
        </is>
      </c>
      <c r="V1195" t="inlineStr">
        <is>
          <t>2007-11-13</t>
        </is>
      </c>
      <c r="W1195" t="inlineStr">
        <is>
          <t>2007-08-27</t>
        </is>
      </c>
      <c r="X1195" t="inlineStr">
        <is>
          <t>2007-08-27</t>
        </is>
      </c>
      <c r="Y1195" t="n">
        <v>307</v>
      </c>
      <c r="Z1195" t="n">
        <v>246</v>
      </c>
      <c r="AA1195" t="n">
        <v>1227</v>
      </c>
      <c r="AB1195" t="n">
        <v>2</v>
      </c>
      <c r="AC1195" t="n">
        <v>4</v>
      </c>
      <c r="AD1195" t="n">
        <v>14</v>
      </c>
      <c r="AE1195" t="n">
        <v>32</v>
      </c>
      <c r="AF1195" t="n">
        <v>5</v>
      </c>
      <c r="AG1195" t="n">
        <v>17</v>
      </c>
      <c r="AH1195" t="n">
        <v>4</v>
      </c>
      <c r="AI1195" t="n">
        <v>8</v>
      </c>
      <c r="AJ1195" t="n">
        <v>9</v>
      </c>
      <c r="AK1195" t="n">
        <v>14</v>
      </c>
      <c r="AL1195" t="n">
        <v>1</v>
      </c>
      <c r="AM1195" t="n">
        <v>3</v>
      </c>
      <c r="AN1195" t="n">
        <v>0</v>
      </c>
      <c r="AO1195" t="n">
        <v>0</v>
      </c>
      <c r="AP1195" t="inlineStr">
        <is>
          <t>No</t>
        </is>
      </c>
      <c r="AQ1195" t="inlineStr">
        <is>
          <t>Yes</t>
        </is>
      </c>
      <c r="AR1195">
        <f>HYPERLINK("http://catalog.hathitrust.org/Record/003966339","HathiTrust Record")</f>
        <v/>
      </c>
      <c r="AS1195">
        <f>HYPERLINK("https://creighton-primo.hosted.exlibrisgroup.com/primo-explore/search?tab=default_tab&amp;search_scope=EVERYTHING&amp;vid=01CRU&amp;lang=en_US&amp;offset=0&amp;query=any,contains,991005106179702656","Catalog Record")</f>
        <v/>
      </c>
      <c r="AT1195">
        <f>HYPERLINK("http://www.worldcat.org/oclc/35269921","WorldCat Record")</f>
        <v/>
      </c>
      <c r="AU1195" t="inlineStr">
        <is>
          <t>793890170:eng</t>
        </is>
      </c>
      <c r="AV1195" t="inlineStr">
        <is>
          <t>35269921</t>
        </is>
      </c>
      <c r="AW1195" t="inlineStr">
        <is>
          <t>991005106179702656</t>
        </is>
      </c>
      <c r="AX1195" t="inlineStr">
        <is>
          <t>991005106179702656</t>
        </is>
      </c>
      <c r="AY1195" t="inlineStr">
        <is>
          <t>2260862860002656</t>
        </is>
      </c>
      <c r="AZ1195" t="inlineStr">
        <is>
          <t>BOOK</t>
        </is>
      </c>
      <c r="BB1195" t="inlineStr">
        <is>
          <t>9780824818470</t>
        </is>
      </c>
      <c r="BC1195" t="inlineStr">
        <is>
          <t>32285005322705</t>
        </is>
      </c>
      <c r="BD1195" t="inlineStr">
        <is>
          <t>893412326</t>
        </is>
      </c>
    </row>
    <row r="1196">
      <c r="A1196" t="inlineStr">
        <is>
          <t>No</t>
        </is>
      </c>
      <c r="B1196" t="inlineStr">
        <is>
          <t>GV1101 .H47 1999</t>
        </is>
      </c>
      <c r="C1196" t="inlineStr">
        <is>
          <t>0                      GV 1101000H  47          1999</t>
        </is>
      </c>
      <c r="D1196" t="inlineStr">
        <is>
          <t>Total quality martial arts : pathways to continuous improvement / Christopher D. Hess.</t>
        </is>
      </c>
      <c r="F1196" t="inlineStr">
        <is>
          <t>No</t>
        </is>
      </c>
      <c r="G1196" t="inlineStr">
        <is>
          <t>1</t>
        </is>
      </c>
      <c r="H1196" t="inlineStr">
        <is>
          <t>No</t>
        </is>
      </c>
      <c r="I1196" t="inlineStr">
        <is>
          <t>No</t>
        </is>
      </c>
      <c r="J1196" t="inlineStr">
        <is>
          <t>0</t>
        </is>
      </c>
      <c r="K1196" t="inlineStr">
        <is>
          <t>Hess, Christopher D.</t>
        </is>
      </c>
      <c r="L1196" t="inlineStr">
        <is>
          <t>Los Angeles : Multi-Media Books ; Burbank, CA : Distributed by Unique Publications, 1999.</t>
        </is>
      </c>
      <c r="M1196" t="inlineStr">
        <is>
          <t>1999</t>
        </is>
      </c>
      <c r="N1196" t="inlineStr">
        <is>
          <t>1st ed.</t>
        </is>
      </c>
      <c r="O1196" t="inlineStr">
        <is>
          <t>eng</t>
        </is>
      </c>
      <c r="P1196" t="inlineStr">
        <is>
          <t>cau</t>
        </is>
      </c>
      <c r="R1196" t="inlineStr">
        <is>
          <t xml:space="preserve">GV </t>
        </is>
      </c>
      <c r="S1196" t="n">
        <v>1</v>
      </c>
      <c r="T1196" t="n">
        <v>1</v>
      </c>
      <c r="U1196" t="inlineStr">
        <is>
          <t>2006-08-02</t>
        </is>
      </c>
      <c r="V1196" t="inlineStr">
        <is>
          <t>2006-08-02</t>
        </is>
      </c>
      <c r="W1196" t="inlineStr">
        <is>
          <t>2006-08-02</t>
        </is>
      </c>
      <c r="X1196" t="inlineStr">
        <is>
          <t>2006-08-02</t>
        </is>
      </c>
      <c r="Y1196" t="n">
        <v>7</v>
      </c>
      <c r="Z1196" t="n">
        <v>6</v>
      </c>
      <c r="AA1196" t="n">
        <v>6</v>
      </c>
      <c r="AB1196" t="n">
        <v>1</v>
      </c>
      <c r="AC1196" t="n">
        <v>1</v>
      </c>
      <c r="AD1196" t="n">
        <v>0</v>
      </c>
      <c r="AE1196" t="n">
        <v>0</v>
      </c>
      <c r="AF1196" t="n">
        <v>0</v>
      </c>
      <c r="AG1196" t="n">
        <v>0</v>
      </c>
      <c r="AH1196" t="n">
        <v>0</v>
      </c>
      <c r="AI1196" t="n">
        <v>0</v>
      </c>
      <c r="AJ1196" t="n">
        <v>0</v>
      </c>
      <c r="AK1196" t="n">
        <v>0</v>
      </c>
      <c r="AL1196" t="n">
        <v>0</v>
      </c>
      <c r="AM1196" t="n">
        <v>0</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HYPERLINK("https://creighton-primo.hosted.exlibrisgroup.com/primo-explore/search?tab=default_tab&amp;search_scope=EVERYTHING&amp;vid=01CRU&amp;lang=en_US&amp;offset=0&amp;query=any,contains,991004896149702656","Catalog Record")</f>
        <v/>
      </c>
      <c r="AT1196">
        <f>HYPERLINK("http://www.worldcat.org/oclc/42714682","WorldCat Record")</f>
        <v/>
      </c>
      <c r="AU1196" t="inlineStr">
        <is>
          <t>27812495:eng</t>
        </is>
      </c>
      <c r="AV1196" t="inlineStr">
        <is>
          <t>42714682</t>
        </is>
      </c>
      <c r="AW1196" t="inlineStr">
        <is>
          <t>991004896149702656</t>
        </is>
      </c>
      <c r="AX1196" t="inlineStr">
        <is>
          <t>991004896149702656</t>
        </is>
      </c>
      <c r="AY1196" t="inlineStr">
        <is>
          <t>2260374140002656</t>
        </is>
      </c>
      <c r="AZ1196" t="inlineStr">
        <is>
          <t>BOOK</t>
        </is>
      </c>
      <c r="BB1196" t="inlineStr">
        <is>
          <t>9781892515025</t>
        </is>
      </c>
      <c r="BC1196" t="inlineStr">
        <is>
          <t>32285005199616</t>
        </is>
      </c>
      <c r="BD1196" t="inlineStr">
        <is>
          <t>893412043</t>
        </is>
      </c>
    </row>
    <row r="1197">
      <c r="A1197" t="inlineStr">
        <is>
          <t>No</t>
        </is>
      </c>
      <c r="B1197" t="inlineStr">
        <is>
          <t>GV1101 .P39 1981</t>
        </is>
      </c>
      <c r="C1197" t="inlineStr">
        <is>
          <t>0                      GV 1101000P  39          1981</t>
        </is>
      </c>
      <c r="D1197" t="inlineStr">
        <is>
          <t>Martial arts : the spiritual dimension / Peter Payne.</t>
        </is>
      </c>
      <c r="F1197" t="inlineStr">
        <is>
          <t>No</t>
        </is>
      </c>
      <c r="G1197" t="inlineStr">
        <is>
          <t>1</t>
        </is>
      </c>
      <c r="H1197" t="inlineStr">
        <is>
          <t>No</t>
        </is>
      </c>
      <c r="I1197" t="inlineStr">
        <is>
          <t>No</t>
        </is>
      </c>
      <c r="J1197" t="inlineStr">
        <is>
          <t>0</t>
        </is>
      </c>
      <c r="K1197" t="inlineStr">
        <is>
          <t>Payne, Peter.</t>
        </is>
      </c>
      <c r="L1197" t="inlineStr">
        <is>
          <t>New York : Crossroad Pub. Co., 1981.</t>
        </is>
      </c>
      <c r="M1197" t="inlineStr">
        <is>
          <t>1981</t>
        </is>
      </c>
      <c r="O1197" t="inlineStr">
        <is>
          <t>eng</t>
        </is>
      </c>
      <c r="P1197" t="inlineStr">
        <is>
          <t>nyu</t>
        </is>
      </c>
      <c r="Q1197" t="inlineStr">
        <is>
          <t>Illustrated library of sacred imagination</t>
        </is>
      </c>
      <c r="R1197" t="inlineStr">
        <is>
          <t xml:space="preserve">GV </t>
        </is>
      </c>
      <c r="S1197" t="n">
        <v>39</v>
      </c>
      <c r="T1197" t="n">
        <v>39</v>
      </c>
      <c r="U1197" t="inlineStr">
        <is>
          <t>2008-10-14</t>
        </is>
      </c>
      <c r="V1197" t="inlineStr">
        <is>
          <t>2008-10-14</t>
        </is>
      </c>
      <c r="W1197" t="inlineStr">
        <is>
          <t>1990-08-01</t>
        </is>
      </c>
      <c r="X1197" t="inlineStr">
        <is>
          <t>1990-08-01</t>
        </is>
      </c>
      <c r="Y1197" t="n">
        <v>215</v>
      </c>
      <c r="Z1197" t="n">
        <v>210</v>
      </c>
      <c r="AA1197" t="n">
        <v>309</v>
      </c>
      <c r="AB1197" t="n">
        <v>2</v>
      </c>
      <c r="AC1197" t="n">
        <v>2</v>
      </c>
      <c r="AD1197" t="n">
        <v>9</v>
      </c>
      <c r="AE1197" t="n">
        <v>10</v>
      </c>
      <c r="AF1197" t="n">
        <v>4</v>
      </c>
      <c r="AG1197" t="n">
        <v>4</v>
      </c>
      <c r="AH1197" t="n">
        <v>0</v>
      </c>
      <c r="AI1197" t="n">
        <v>0</v>
      </c>
      <c r="AJ1197" t="n">
        <v>6</v>
      </c>
      <c r="AK1197" t="n">
        <v>7</v>
      </c>
      <c r="AL1197" t="n">
        <v>0</v>
      </c>
      <c r="AM1197" t="n">
        <v>0</v>
      </c>
      <c r="AN1197" t="n">
        <v>0</v>
      </c>
      <c r="AO1197" t="n">
        <v>0</v>
      </c>
      <c r="AP1197" t="inlineStr">
        <is>
          <t>No</t>
        </is>
      </c>
      <c r="AQ1197" t="inlineStr">
        <is>
          <t>No</t>
        </is>
      </c>
      <c r="AS1197">
        <f>HYPERLINK("https://creighton-primo.hosted.exlibrisgroup.com/primo-explore/search?tab=default_tab&amp;search_scope=EVERYTHING&amp;vid=01CRU&amp;lang=en_US&amp;offset=0&amp;query=any,contains,991005208659702656","Catalog Record")</f>
        <v/>
      </c>
      <c r="AT1197">
        <f>HYPERLINK("http://www.worldcat.org/oclc/8135325","WorldCat Record")</f>
        <v/>
      </c>
      <c r="AU1197" t="inlineStr">
        <is>
          <t>11520170:eng</t>
        </is>
      </c>
      <c r="AV1197" t="inlineStr">
        <is>
          <t>8135325</t>
        </is>
      </c>
      <c r="AW1197" t="inlineStr">
        <is>
          <t>991005208659702656</t>
        </is>
      </c>
      <c r="AX1197" t="inlineStr">
        <is>
          <t>991005208659702656</t>
        </is>
      </c>
      <c r="AY1197" t="inlineStr">
        <is>
          <t>2266286960002656</t>
        </is>
      </c>
      <c r="AZ1197" t="inlineStr">
        <is>
          <t>BOOK</t>
        </is>
      </c>
      <c r="BB1197" t="inlineStr">
        <is>
          <t>9780824500238</t>
        </is>
      </c>
      <c r="BC1197" t="inlineStr">
        <is>
          <t>32285000249911</t>
        </is>
      </c>
      <c r="BD1197" t="inlineStr">
        <is>
          <t>893242374</t>
        </is>
      </c>
    </row>
    <row r="1198">
      <c r="A1198" t="inlineStr">
        <is>
          <t>No</t>
        </is>
      </c>
      <c r="B1198" t="inlineStr">
        <is>
          <t>GV1107 .K4 1959</t>
        </is>
      </c>
      <c r="C1198" t="inlineStr">
        <is>
          <t>0                      GV 1107000K  4           1959</t>
        </is>
      </c>
      <c r="D1198" t="inlineStr">
        <is>
          <t>Aficionado! : The pictorial encyclopedia of the fiesta de toros of Spain / by Vincent J-R Kehoe.</t>
        </is>
      </c>
      <c r="F1198" t="inlineStr">
        <is>
          <t>No</t>
        </is>
      </c>
      <c r="G1198" t="inlineStr">
        <is>
          <t>1</t>
        </is>
      </c>
      <c r="H1198" t="inlineStr">
        <is>
          <t>No</t>
        </is>
      </c>
      <c r="I1198" t="inlineStr">
        <is>
          <t>No</t>
        </is>
      </c>
      <c r="J1198" t="inlineStr">
        <is>
          <t>0</t>
        </is>
      </c>
      <c r="K1198" t="inlineStr">
        <is>
          <t>Kehoe, Vincent J-R.</t>
        </is>
      </c>
      <c r="L1198" t="inlineStr">
        <is>
          <t>New York : Bonanza Books, 1959.</t>
        </is>
      </c>
      <c r="M1198" t="inlineStr">
        <is>
          <t>1959</t>
        </is>
      </c>
      <c r="O1198" t="inlineStr">
        <is>
          <t>eng</t>
        </is>
      </c>
      <c r="P1198" t="inlineStr">
        <is>
          <t xml:space="preserve">xx </t>
        </is>
      </c>
      <c r="R1198" t="inlineStr">
        <is>
          <t xml:space="preserve">GV </t>
        </is>
      </c>
      <c r="S1198" t="n">
        <v>15</v>
      </c>
      <c r="T1198" t="n">
        <v>15</v>
      </c>
      <c r="U1198" t="inlineStr">
        <is>
          <t>2001-09-23</t>
        </is>
      </c>
      <c r="V1198" t="inlineStr">
        <is>
          <t>2001-09-23</t>
        </is>
      </c>
      <c r="W1198" t="inlineStr">
        <is>
          <t>1990-08-01</t>
        </is>
      </c>
      <c r="X1198" t="inlineStr">
        <is>
          <t>1990-08-01</t>
        </is>
      </c>
      <c r="Y1198" t="n">
        <v>49</v>
      </c>
      <c r="Z1198" t="n">
        <v>49</v>
      </c>
      <c r="AA1198" t="n">
        <v>190</v>
      </c>
      <c r="AB1198" t="n">
        <v>1</v>
      </c>
      <c r="AC1198" t="n">
        <v>1</v>
      </c>
      <c r="AD1198" t="n">
        <v>3</v>
      </c>
      <c r="AE1198" t="n">
        <v>6</v>
      </c>
      <c r="AF1198" t="n">
        <v>1</v>
      </c>
      <c r="AG1198" t="n">
        <v>2</v>
      </c>
      <c r="AH1198" t="n">
        <v>1</v>
      </c>
      <c r="AI1198" t="n">
        <v>1</v>
      </c>
      <c r="AJ1198" t="n">
        <v>2</v>
      </c>
      <c r="AK1198" t="n">
        <v>4</v>
      </c>
      <c r="AL1198" t="n">
        <v>0</v>
      </c>
      <c r="AM1198" t="n">
        <v>0</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HYPERLINK("https://creighton-primo.hosted.exlibrisgroup.com/primo-explore/search?tab=default_tab&amp;search_scope=EVERYTHING&amp;vid=01CRU&amp;lang=en_US&amp;offset=0&amp;query=any,contains,991004104569702656","Catalog Record")</f>
        <v/>
      </c>
      <c r="AT1198">
        <f>HYPERLINK("http://www.worldcat.org/oclc/2378398","WorldCat Record")</f>
        <v/>
      </c>
      <c r="AU1198" t="inlineStr">
        <is>
          <t>431827905:eng</t>
        </is>
      </c>
      <c r="AV1198" t="inlineStr">
        <is>
          <t>2378398</t>
        </is>
      </c>
      <c r="AW1198" t="inlineStr">
        <is>
          <t>991004104569702656</t>
        </is>
      </c>
      <c r="AX1198" t="inlineStr">
        <is>
          <t>991004104569702656</t>
        </is>
      </c>
      <c r="AY1198" t="inlineStr">
        <is>
          <t>2260221620002656</t>
        </is>
      </c>
      <c r="AZ1198" t="inlineStr">
        <is>
          <t>BOOK</t>
        </is>
      </c>
      <c r="BC1198" t="inlineStr">
        <is>
          <t>32285000249929</t>
        </is>
      </c>
      <c r="BD1198" t="inlineStr">
        <is>
          <t>893624344</t>
        </is>
      </c>
    </row>
    <row r="1199">
      <c r="A1199" t="inlineStr">
        <is>
          <t>No</t>
        </is>
      </c>
      <c r="B1199" t="inlineStr">
        <is>
          <t>GV1107 .T596</t>
        </is>
      </c>
      <c r="C1199" t="inlineStr">
        <is>
          <t>0                      GV 1107000T  596</t>
        </is>
      </c>
      <c r="D1199" t="inlineStr">
        <is>
          <t>Los Toros : bullfighting / [translation by Vicente Gaos and Donald Mills.</t>
        </is>
      </c>
      <c r="F1199" t="inlineStr">
        <is>
          <t>No</t>
        </is>
      </c>
      <c r="G1199" t="inlineStr">
        <is>
          <t>1</t>
        </is>
      </c>
      <c r="H1199" t="inlineStr">
        <is>
          <t>No</t>
        </is>
      </c>
      <c r="I1199" t="inlineStr">
        <is>
          <t>No</t>
        </is>
      </c>
      <c r="J1199" t="inlineStr">
        <is>
          <t>0</t>
        </is>
      </c>
      <c r="L1199" t="inlineStr">
        <is>
          <t>Madrid] : Indice, [1964?]</t>
        </is>
      </c>
      <c r="M1199" t="inlineStr">
        <is>
          <t>1964</t>
        </is>
      </c>
      <c r="O1199" t="inlineStr">
        <is>
          <t>eng</t>
        </is>
      </c>
      <c r="P1199" t="inlineStr">
        <is>
          <t xml:space="preserve">sp </t>
        </is>
      </c>
      <c r="R1199" t="inlineStr">
        <is>
          <t xml:space="preserve">GV </t>
        </is>
      </c>
      <c r="S1199" t="n">
        <v>11</v>
      </c>
      <c r="T1199" t="n">
        <v>11</v>
      </c>
      <c r="U1199" t="inlineStr">
        <is>
          <t>2005-02-07</t>
        </is>
      </c>
      <c r="V1199" t="inlineStr">
        <is>
          <t>2005-02-07</t>
        </is>
      </c>
      <c r="W1199" t="inlineStr">
        <is>
          <t>1993-05-27</t>
        </is>
      </c>
      <c r="X1199" t="inlineStr">
        <is>
          <t>1993-05-27</t>
        </is>
      </c>
      <c r="Y1199" t="n">
        <v>76</v>
      </c>
      <c r="Z1199" t="n">
        <v>74</v>
      </c>
      <c r="AA1199" t="n">
        <v>74</v>
      </c>
      <c r="AB1199" t="n">
        <v>3</v>
      </c>
      <c r="AC1199" t="n">
        <v>3</v>
      </c>
      <c r="AD1199" t="n">
        <v>7</v>
      </c>
      <c r="AE1199" t="n">
        <v>7</v>
      </c>
      <c r="AF1199" t="n">
        <v>3</v>
      </c>
      <c r="AG1199" t="n">
        <v>3</v>
      </c>
      <c r="AH1199" t="n">
        <v>1</v>
      </c>
      <c r="AI1199" t="n">
        <v>1</v>
      </c>
      <c r="AJ1199" t="n">
        <v>3</v>
      </c>
      <c r="AK1199" t="n">
        <v>3</v>
      </c>
      <c r="AL1199" t="n">
        <v>2</v>
      </c>
      <c r="AM1199" t="n">
        <v>2</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HYPERLINK("https://creighton-primo.hosted.exlibrisgroup.com/primo-explore/search?tab=default_tab&amp;search_scope=EVERYTHING&amp;vid=01CRU&amp;lang=en_US&amp;offset=0&amp;query=any,contains,991003977579702656","Catalog Record")</f>
        <v/>
      </c>
      <c r="AT1199">
        <f>HYPERLINK("http://www.worldcat.org/oclc/2010147","WorldCat Record")</f>
        <v/>
      </c>
      <c r="AU1199" t="inlineStr">
        <is>
          <t>8907570505:eng</t>
        </is>
      </c>
      <c r="AV1199" t="inlineStr">
        <is>
          <t>2010147</t>
        </is>
      </c>
      <c r="AW1199" t="inlineStr">
        <is>
          <t>991003977579702656</t>
        </is>
      </c>
      <c r="AX1199" t="inlineStr">
        <is>
          <t>991003977579702656</t>
        </is>
      </c>
      <c r="AY1199" t="inlineStr">
        <is>
          <t>2265786070002656</t>
        </is>
      </c>
      <c r="AZ1199" t="inlineStr">
        <is>
          <t>BOOK</t>
        </is>
      </c>
      <c r="BC1199" t="inlineStr">
        <is>
          <t>32285001584340</t>
        </is>
      </c>
      <c r="BD1199" t="inlineStr">
        <is>
          <t>893324778</t>
        </is>
      </c>
    </row>
    <row r="1200">
      <c r="A1200" t="inlineStr">
        <is>
          <t>No</t>
        </is>
      </c>
      <c r="B1200" t="inlineStr">
        <is>
          <t>GV1108.6.B6 M3813 2006</t>
        </is>
      </c>
      <c r="C1200" t="inlineStr">
        <is>
          <t>0                      GV 1108600B  6                  M  3813        2006</t>
        </is>
      </c>
      <c r="D1200" t="inlineStr">
        <is>
          <t>Eagles, donkeys and butterflies : an anthropological study of Brazil's "animal game" / Roberto DaMatta and Elena Soárez ; translated by Clifford E. Landers.</t>
        </is>
      </c>
      <c r="F1200" t="inlineStr">
        <is>
          <t>No</t>
        </is>
      </c>
      <c r="G1200" t="inlineStr">
        <is>
          <t>1</t>
        </is>
      </c>
      <c r="H1200" t="inlineStr">
        <is>
          <t>No</t>
        </is>
      </c>
      <c r="I1200" t="inlineStr">
        <is>
          <t>No</t>
        </is>
      </c>
      <c r="J1200" t="inlineStr">
        <is>
          <t>0</t>
        </is>
      </c>
      <c r="K1200" t="inlineStr">
        <is>
          <t>Matta, Roberto da.</t>
        </is>
      </c>
      <c r="L1200" t="inlineStr">
        <is>
          <t>Notre Dame, Ind. : University of Notre Dame Press, c2006.</t>
        </is>
      </c>
      <c r="M1200" t="inlineStr">
        <is>
          <t>2006</t>
        </is>
      </c>
      <c r="O1200" t="inlineStr">
        <is>
          <t>eng</t>
        </is>
      </c>
      <c r="P1200" t="inlineStr">
        <is>
          <t>inu</t>
        </is>
      </c>
      <c r="Q1200" t="inlineStr">
        <is>
          <t>Recent titles from the Helen Kellogg Institute for International Studies</t>
        </is>
      </c>
      <c r="R1200" t="inlineStr">
        <is>
          <t xml:space="preserve">GV </t>
        </is>
      </c>
      <c r="S1200" t="n">
        <v>1</v>
      </c>
      <c r="T1200" t="n">
        <v>1</v>
      </c>
      <c r="U1200" t="inlineStr">
        <is>
          <t>2006-03-09</t>
        </is>
      </c>
      <c r="V1200" t="inlineStr">
        <is>
          <t>2006-03-09</t>
        </is>
      </c>
      <c r="W1200" t="inlineStr">
        <is>
          <t>2006-03-09</t>
        </is>
      </c>
      <c r="X1200" t="inlineStr">
        <is>
          <t>2006-03-09</t>
        </is>
      </c>
      <c r="Y1200" t="n">
        <v>166</v>
      </c>
      <c r="Z1200" t="n">
        <v>140</v>
      </c>
      <c r="AA1200" t="n">
        <v>142</v>
      </c>
      <c r="AB1200" t="n">
        <v>2</v>
      </c>
      <c r="AC1200" t="n">
        <v>2</v>
      </c>
      <c r="AD1200" t="n">
        <v>8</v>
      </c>
      <c r="AE1200" t="n">
        <v>8</v>
      </c>
      <c r="AF1200" t="n">
        <v>4</v>
      </c>
      <c r="AG1200" t="n">
        <v>4</v>
      </c>
      <c r="AH1200" t="n">
        <v>3</v>
      </c>
      <c r="AI1200" t="n">
        <v>3</v>
      </c>
      <c r="AJ1200" t="n">
        <v>4</v>
      </c>
      <c r="AK1200" t="n">
        <v>4</v>
      </c>
      <c r="AL1200" t="n">
        <v>1</v>
      </c>
      <c r="AM1200" t="n">
        <v>1</v>
      </c>
      <c r="AN1200" t="n">
        <v>0</v>
      </c>
      <c r="AO1200" t="n">
        <v>0</v>
      </c>
      <c r="AP1200" t="inlineStr">
        <is>
          <t>No</t>
        </is>
      </c>
      <c r="AQ1200" t="inlineStr">
        <is>
          <t>Yes</t>
        </is>
      </c>
      <c r="AR1200">
        <f>HYPERLINK("http://catalog.hathitrust.org/Record/005136736","HathiTrust Record")</f>
        <v/>
      </c>
      <c r="AS1200">
        <f>HYPERLINK("https://creighton-primo.hosted.exlibrisgroup.com/primo-explore/search?tab=default_tab&amp;search_scope=EVERYTHING&amp;vid=01CRU&amp;lang=en_US&amp;offset=0&amp;query=any,contains,991004715569702656","Catalog Record")</f>
        <v/>
      </c>
      <c r="AT1200">
        <f>HYPERLINK("http://www.worldcat.org/oclc/62290588","WorldCat Record")</f>
        <v/>
      </c>
      <c r="AU1200" t="inlineStr">
        <is>
          <t>905890937:eng</t>
        </is>
      </c>
      <c r="AV1200" t="inlineStr">
        <is>
          <t>62290588</t>
        </is>
      </c>
      <c r="AW1200" t="inlineStr">
        <is>
          <t>991004715569702656</t>
        </is>
      </c>
      <c r="AX1200" t="inlineStr">
        <is>
          <t>991004715569702656</t>
        </is>
      </c>
      <c r="AY1200" t="inlineStr">
        <is>
          <t>2265219870002656</t>
        </is>
      </c>
      <c r="AZ1200" t="inlineStr">
        <is>
          <t>BOOK</t>
        </is>
      </c>
      <c r="BB1200" t="inlineStr">
        <is>
          <t>9780268025809</t>
        </is>
      </c>
      <c r="BC1200" t="inlineStr">
        <is>
          <t>32285005164420</t>
        </is>
      </c>
      <c r="BD1200" t="inlineStr">
        <is>
          <t>893254018</t>
        </is>
      </c>
    </row>
    <row r="1201">
      <c r="A1201" t="inlineStr">
        <is>
          <t>No</t>
        </is>
      </c>
      <c r="B1201" t="inlineStr">
        <is>
          <t>GV1108.O7 O2 1969</t>
        </is>
      </c>
      <c r="C1201" t="inlineStr">
        <is>
          <t>0                      GV 1108000O  7                  O  2           1969</t>
        </is>
      </c>
      <c r="D1201" t="inlineStr">
        <is>
          <t>In the presence of death: Antonio Ordoñez / by Shay Oag.</t>
        </is>
      </c>
      <c r="F1201" t="inlineStr">
        <is>
          <t>No</t>
        </is>
      </c>
      <c r="G1201" t="inlineStr">
        <is>
          <t>1</t>
        </is>
      </c>
      <c r="H1201" t="inlineStr">
        <is>
          <t>No</t>
        </is>
      </c>
      <c r="I1201" t="inlineStr">
        <is>
          <t>No</t>
        </is>
      </c>
      <c r="J1201" t="inlineStr">
        <is>
          <t>0</t>
        </is>
      </c>
      <c r="K1201" t="inlineStr">
        <is>
          <t>Oag, Shay.</t>
        </is>
      </c>
      <c r="L1201" t="inlineStr">
        <is>
          <t>New York : Coward-McCann, c1968, 1969 printing.</t>
        </is>
      </c>
      <c r="M1201" t="inlineStr">
        <is>
          <t>1969</t>
        </is>
      </c>
      <c r="O1201" t="inlineStr">
        <is>
          <t>eng</t>
        </is>
      </c>
      <c r="P1201" t="inlineStr">
        <is>
          <t>nyu</t>
        </is>
      </c>
      <c r="R1201" t="inlineStr">
        <is>
          <t xml:space="preserve">GV </t>
        </is>
      </c>
      <c r="S1201" t="n">
        <v>5</v>
      </c>
      <c r="T1201" t="n">
        <v>5</v>
      </c>
      <c r="U1201" t="inlineStr">
        <is>
          <t>2001-09-23</t>
        </is>
      </c>
      <c r="V1201" t="inlineStr">
        <is>
          <t>2001-09-23</t>
        </is>
      </c>
      <c r="W1201" t="inlineStr">
        <is>
          <t>1990-08-01</t>
        </is>
      </c>
      <c r="X1201" t="inlineStr">
        <is>
          <t>1990-08-01</t>
        </is>
      </c>
      <c r="Y1201" t="n">
        <v>185</v>
      </c>
      <c r="Z1201" t="n">
        <v>180</v>
      </c>
      <c r="AA1201" t="n">
        <v>234</v>
      </c>
      <c r="AB1201" t="n">
        <v>1</v>
      </c>
      <c r="AC1201" t="n">
        <v>2</v>
      </c>
      <c r="AD1201" t="n">
        <v>1</v>
      </c>
      <c r="AE1201" t="n">
        <v>3</v>
      </c>
      <c r="AF1201" t="n">
        <v>0</v>
      </c>
      <c r="AG1201" t="n">
        <v>0</v>
      </c>
      <c r="AH1201" t="n">
        <v>1</v>
      </c>
      <c r="AI1201" t="n">
        <v>1</v>
      </c>
      <c r="AJ1201" t="n">
        <v>1</v>
      </c>
      <c r="AK1201" t="n">
        <v>2</v>
      </c>
      <c r="AL1201" t="n">
        <v>0</v>
      </c>
      <c r="AM1201" t="n">
        <v>1</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HYPERLINK("https://creighton-primo.hosted.exlibrisgroup.com/primo-explore/search?tab=default_tab&amp;search_scope=EVERYTHING&amp;vid=01CRU&amp;lang=en_US&amp;offset=0&amp;query=any,contains,991000502509702656","Catalog Record")</f>
        <v/>
      </c>
      <c r="AT1201">
        <f>HYPERLINK("http://www.worldcat.org/oclc/81990","WorldCat Record")</f>
        <v/>
      </c>
      <c r="AU1201" t="inlineStr">
        <is>
          <t>1136758:eng</t>
        </is>
      </c>
      <c r="AV1201" t="inlineStr">
        <is>
          <t>81990</t>
        </is>
      </c>
      <c r="AW1201" t="inlineStr">
        <is>
          <t>991000502509702656</t>
        </is>
      </c>
      <c r="AX1201" t="inlineStr">
        <is>
          <t>991000502509702656</t>
        </is>
      </c>
      <c r="AY1201" t="inlineStr">
        <is>
          <t>2272134990002656</t>
        </is>
      </c>
      <c r="AZ1201" t="inlineStr">
        <is>
          <t>BOOK</t>
        </is>
      </c>
      <c r="BC1201" t="inlineStr">
        <is>
          <t>32285000249937</t>
        </is>
      </c>
      <c r="BD1201" t="inlineStr">
        <is>
          <t>893620531</t>
        </is>
      </c>
    </row>
    <row r="1202">
      <c r="A1202" t="inlineStr">
        <is>
          <t>No</t>
        </is>
      </c>
      <c r="B1202" t="inlineStr">
        <is>
          <t>GV1111 .M383 2007</t>
        </is>
      </c>
      <c r="C1202" t="inlineStr">
        <is>
          <t>0                      GV 1111000M  383         2007</t>
        </is>
      </c>
      <c r="D1202" t="inlineStr">
        <is>
          <t>Self-defense : steps to survival / Katy Mattingly.</t>
        </is>
      </c>
      <c r="F1202" t="inlineStr">
        <is>
          <t>No</t>
        </is>
      </c>
      <c r="G1202" t="inlineStr">
        <is>
          <t>1</t>
        </is>
      </c>
      <c r="H1202" t="inlineStr">
        <is>
          <t>No</t>
        </is>
      </c>
      <c r="I1202" t="inlineStr">
        <is>
          <t>No</t>
        </is>
      </c>
      <c r="J1202" t="inlineStr">
        <is>
          <t>0</t>
        </is>
      </c>
      <c r="K1202" t="inlineStr">
        <is>
          <t>Mattingly, Katy.</t>
        </is>
      </c>
      <c r="L1202" t="inlineStr">
        <is>
          <t>Champaign, IL : Human Kinetics, c2007.</t>
        </is>
      </c>
      <c r="M1202" t="inlineStr">
        <is>
          <t>2007</t>
        </is>
      </c>
      <c r="O1202" t="inlineStr">
        <is>
          <t>eng</t>
        </is>
      </c>
      <c r="P1202" t="inlineStr">
        <is>
          <t>ilu</t>
        </is>
      </c>
      <c r="R1202" t="inlineStr">
        <is>
          <t xml:space="preserve">GV </t>
        </is>
      </c>
      <c r="S1202" t="n">
        <v>2</v>
      </c>
      <c r="T1202" t="n">
        <v>2</v>
      </c>
      <c r="U1202" t="inlineStr">
        <is>
          <t>2009-10-29</t>
        </is>
      </c>
      <c r="V1202" t="inlineStr">
        <is>
          <t>2009-10-29</t>
        </is>
      </c>
      <c r="W1202" t="inlineStr">
        <is>
          <t>2007-08-20</t>
        </is>
      </c>
      <c r="X1202" t="inlineStr">
        <is>
          <t>2007-08-20</t>
        </is>
      </c>
      <c r="Y1202" t="n">
        <v>398</v>
      </c>
      <c r="Z1202" t="n">
        <v>323</v>
      </c>
      <c r="AA1202" t="n">
        <v>330</v>
      </c>
      <c r="AB1202" t="n">
        <v>1</v>
      </c>
      <c r="AC1202" t="n">
        <v>1</v>
      </c>
      <c r="AD1202" t="n">
        <v>3</v>
      </c>
      <c r="AE1202" t="n">
        <v>3</v>
      </c>
      <c r="AF1202" t="n">
        <v>3</v>
      </c>
      <c r="AG1202" t="n">
        <v>3</v>
      </c>
      <c r="AH1202" t="n">
        <v>0</v>
      </c>
      <c r="AI1202" t="n">
        <v>0</v>
      </c>
      <c r="AJ1202" t="n">
        <v>2</v>
      </c>
      <c r="AK1202" t="n">
        <v>2</v>
      </c>
      <c r="AL1202" t="n">
        <v>0</v>
      </c>
      <c r="AM1202" t="n">
        <v>0</v>
      </c>
      <c r="AN1202" t="n">
        <v>0</v>
      </c>
      <c r="AO1202" t="n">
        <v>0</v>
      </c>
      <c r="AP1202" t="inlineStr">
        <is>
          <t>No</t>
        </is>
      </c>
      <c r="AQ1202" t="inlineStr">
        <is>
          <t>No</t>
        </is>
      </c>
      <c r="AS1202">
        <f>HYPERLINK("https://creighton-primo.hosted.exlibrisgroup.com/primo-explore/search?tab=default_tab&amp;search_scope=EVERYTHING&amp;vid=01CRU&amp;lang=en_US&amp;offset=0&amp;query=any,contains,991005084329702656","Catalog Record")</f>
        <v/>
      </c>
      <c r="AT1202">
        <f>HYPERLINK("http://www.worldcat.org/oclc/123485462","WorldCat Record")</f>
        <v/>
      </c>
      <c r="AU1202" t="inlineStr">
        <is>
          <t>864117018:eng</t>
        </is>
      </c>
      <c r="AV1202" t="inlineStr">
        <is>
          <t>123485462</t>
        </is>
      </c>
      <c r="AW1202" t="inlineStr">
        <is>
          <t>991005084329702656</t>
        </is>
      </c>
      <c r="AX1202" t="inlineStr">
        <is>
          <t>991005084329702656</t>
        </is>
      </c>
      <c r="AY1202" t="inlineStr">
        <is>
          <t>2260818940002656</t>
        </is>
      </c>
      <c r="AZ1202" t="inlineStr">
        <is>
          <t>BOOK</t>
        </is>
      </c>
      <c r="BB1202" t="inlineStr">
        <is>
          <t>9780736066891</t>
        </is>
      </c>
      <c r="BC1202" t="inlineStr">
        <is>
          <t>32285005322549</t>
        </is>
      </c>
      <c r="BD1202" t="inlineStr">
        <is>
          <t>893501289</t>
        </is>
      </c>
    </row>
    <row r="1203">
      <c r="A1203" t="inlineStr">
        <is>
          <t>No</t>
        </is>
      </c>
      <c r="B1203" t="inlineStr">
        <is>
          <t>GV1111 .W42 1970</t>
        </is>
      </c>
      <c r="C1203" t="inlineStr">
        <is>
          <t>0                      GV 1111000W  42          1970</t>
        </is>
      </c>
      <c r="D1203" t="inlineStr">
        <is>
          <t>Aikido and the dynamic sphere : an illustrated introduction / by A. Westbrook and O. Ratti ; illustrations by O. Ratti.</t>
        </is>
      </c>
      <c r="F1203" t="inlineStr">
        <is>
          <t>No</t>
        </is>
      </c>
      <c r="G1203" t="inlineStr">
        <is>
          <t>1</t>
        </is>
      </c>
      <c r="H1203" t="inlineStr">
        <is>
          <t>No</t>
        </is>
      </c>
      <c r="I1203" t="inlineStr">
        <is>
          <t>No</t>
        </is>
      </c>
      <c r="J1203" t="inlineStr">
        <is>
          <t>0</t>
        </is>
      </c>
      <c r="K1203" t="inlineStr">
        <is>
          <t>Westbrook, Adele.</t>
        </is>
      </c>
      <c r="L1203" t="inlineStr">
        <is>
          <t>Rutland, Vt. : C.E. Tuttle Co., [1970]</t>
        </is>
      </c>
      <c r="M1203" t="inlineStr">
        <is>
          <t>1970</t>
        </is>
      </c>
      <c r="N1203" t="inlineStr">
        <is>
          <t>[1st ed.]</t>
        </is>
      </c>
      <c r="O1203" t="inlineStr">
        <is>
          <t>eng</t>
        </is>
      </c>
      <c r="P1203" t="inlineStr">
        <is>
          <t>vtu</t>
        </is>
      </c>
      <c r="R1203" t="inlineStr">
        <is>
          <t xml:space="preserve">GV </t>
        </is>
      </c>
      <c r="S1203" t="n">
        <v>1</v>
      </c>
      <c r="T1203" t="n">
        <v>1</v>
      </c>
      <c r="U1203" t="inlineStr">
        <is>
          <t>2006-09-20</t>
        </is>
      </c>
      <c r="V1203" t="inlineStr">
        <is>
          <t>2006-09-20</t>
        </is>
      </c>
      <c r="W1203" t="inlineStr">
        <is>
          <t>2006-09-20</t>
        </is>
      </c>
      <c r="X1203" t="inlineStr">
        <is>
          <t>2006-09-20</t>
        </is>
      </c>
      <c r="Y1203" t="n">
        <v>419</v>
      </c>
      <c r="Z1203" t="n">
        <v>336</v>
      </c>
      <c r="AA1203" t="n">
        <v>475</v>
      </c>
      <c r="AB1203" t="n">
        <v>1</v>
      </c>
      <c r="AC1203" t="n">
        <v>2</v>
      </c>
      <c r="AD1203" t="n">
        <v>2</v>
      </c>
      <c r="AE1203" t="n">
        <v>7</v>
      </c>
      <c r="AF1203" t="n">
        <v>2</v>
      </c>
      <c r="AG1203" t="n">
        <v>4</v>
      </c>
      <c r="AH1203" t="n">
        <v>0</v>
      </c>
      <c r="AI1203" t="n">
        <v>2</v>
      </c>
      <c r="AJ1203" t="n">
        <v>1</v>
      </c>
      <c r="AK1203" t="n">
        <v>2</v>
      </c>
      <c r="AL1203" t="n">
        <v>0</v>
      </c>
      <c r="AM1203" t="n">
        <v>1</v>
      </c>
      <c r="AN1203" t="n">
        <v>0</v>
      </c>
      <c r="AO1203" t="n">
        <v>0</v>
      </c>
      <c r="AP1203" t="inlineStr">
        <is>
          <t>No</t>
        </is>
      </c>
      <c r="AQ1203" t="inlineStr">
        <is>
          <t>Yes</t>
        </is>
      </c>
      <c r="AR1203">
        <f>HYPERLINK("http://catalog.hathitrust.org/Record/000000642","HathiTrust Record")</f>
        <v/>
      </c>
      <c r="AS1203">
        <f>HYPERLINK("https://creighton-primo.hosted.exlibrisgroup.com/primo-explore/search?tab=default_tab&amp;search_scope=EVERYTHING&amp;vid=01CRU&amp;lang=en_US&amp;offset=0&amp;query=any,contains,991004917809702656","Catalog Record")</f>
        <v/>
      </c>
      <c r="AT1203">
        <f>HYPERLINK("http://www.worldcat.org/oclc/58428","WorldCat Record")</f>
        <v/>
      </c>
      <c r="AU1203" t="inlineStr">
        <is>
          <t>1195994:eng</t>
        </is>
      </c>
      <c r="AV1203" t="inlineStr">
        <is>
          <t>58428</t>
        </is>
      </c>
      <c r="AW1203" t="inlineStr">
        <is>
          <t>991004917809702656</t>
        </is>
      </c>
      <c r="AX1203" t="inlineStr">
        <is>
          <t>991004917809702656</t>
        </is>
      </c>
      <c r="AY1203" t="inlineStr">
        <is>
          <t>2260068100002656</t>
        </is>
      </c>
      <c r="AZ1203" t="inlineStr">
        <is>
          <t>BOOK</t>
        </is>
      </c>
      <c r="BB1203" t="inlineStr">
        <is>
          <t>9780804800044</t>
        </is>
      </c>
      <c r="BC1203" t="inlineStr">
        <is>
          <t>32285005224117</t>
        </is>
      </c>
      <c r="BD1203" t="inlineStr">
        <is>
          <t>893883107</t>
        </is>
      </c>
    </row>
    <row r="1204">
      <c r="A1204" t="inlineStr">
        <is>
          <t>No</t>
        </is>
      </c>
      <c r="B1204" t="inlineStr">
        <is>
          <t>GV1114.3 .K83 1977</t>
        </is>
      </c>
      <c r="C1204" t="inlineStr">
        <is>
          <t>0                      GV 1114300K  83          1977</t>
        </is>
      </c>
      <c r="D1204" t="inlineStr">
        <is>
          <t>The art of karate / Tak Kubota ; photography, Mark Miller.</t>
        </is>
      </c>
      <c r="F1204" t="inlineStr">
        <is>
          <t>No</t>
        </is>
      </c>
      <c r="G1204" t="inlineStr">
        <is>
          <t>1</t>
        </is>
      </c>
      <c r="H1204" t="inlineStr">
        <is>
          <t>No</t>
        </is>
      </c>
      <c r="I1204" t="inlineStr">
        <is>
          <t>No</t>
        </is>
      </c>
      <c r="J1204" t="inlineStr">
        <is>
          <t>0</t>
        </is>
      </c>
      <c r="K1204" t="inlineStr">
        <is>
          <t>Kubota, Takayuki, 1934-</t>
        </is>
      </c>
      <c r="L1204" t="inlineStr">
        <is>
          <t>New York : Haddington House ; Indianapolis : distributed by Bobbs-Merrill, 1977.</t>
        </is>
      </c>
      <c r="M1204" t="inlineStr">
        <is>
          <t>1977</t>
        </is>
      </c>
      <c r="O1204" t="inlineStr">
        <is>
          <t>eng</t>
        </is>
      </c>
      <c r="P1204" t="inlineStr">
        <is>
          <t>nyu</t>
        </is>
      </c>
      <c r="R1204" t="inlineStr">
        <is>
          <t xml:space="preserve">GV </t>
        </is>
      </c>
      <c r="S1204" t="n">
        <v>25</v>
      </c>
      <c r="T1204" t="n">
        <v>25</v>
      </c>
      <c r="U1204" t="inlineStr">
        <is>
          <t>2005-08-19</t>
        </is>
      </c>
      <c r="V1204" t="inlineStr">
        <is>
          <t>2005-08-19</t>
        </is>
      </c>
      <c r="W1204" t="inlineStr">
        <is>
          <t>1990-11-02</t>
        </is>
      </c>
      <c r="X1204" t="inlineStr">
        <is>
          <t>1990-11-02</t>
        </is>
      </c>
      <c r="Y1204" t="n">
        <v>196</v>
      </c>
      <c r="Z1204" t="n">
        <v>185</v>
      </c>
      <c r="AA1204" t="n">
        <v>187</v>
      </c>
      <c r="AB1204" t="n">
        <v>3</v>
      </c>
      <c r="AC1204" t="n">
        <v>3</v>
      </c>
      <c r="AD1204" t="n">
        <v>1</v>
      </c>
      <c r="AE1204" t="n">
        <v>1</v>
      </c>
      <c r="AF1204" t="n">
        <v>0</v>
      </c>
      <c r="AG1204" t="n">
        <v>0</v>
      </c>
      <c r="AH1204" t="n">
        <v>0</v>
      </c>
      <c r="AI1204" t="n">
        <v>0</v>
      </c>
      <c r="AJ1204" t="n">
        <v>0</v>
      </c>
      <c r="AK1204" t="n">
        <v>0</v>
      </c>
      <c r="AL1204" t="n">
        <v>1</v>
      </c>
      <c r="AM1204" t="n">
        <v>1</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HYPERLINK("https://creighton-primo.hosted.exlibrisgroup.com/primo-explore/search?tab=default_tab&amp;search_scope=EVERYTHING&amp;vid=01CRU&amp;lang=en_US&amp;offset=0&amp;query=any,contains,991004274589702656","Catalog Record")</f>
        <v/>
      </c>
      <c r="AT1204">
        <f>HYPERLINK("http://www.worldcat.org/oclc/2890018","WorldCat Record")</f>
        <v/>
      </c>
      <c r="AU1204" t="inlineStr">
        <is>
          <t>286399029:eng</t>
        </is>
      </c>
      <c r="AV1204" t="inlineStr">
        <is>
          <t>2890018</t>
        </is>
      </c>
      <c r="AW1204" t="inlineStr">
        <is>
          <t>991004274589702656</t>
        </is>
      </c>
      <c r="AX1204" t="inlineStr">
        <is>
          <t>991004274589702656</t>
        </is>
      </c>
      <c r="AY1204" t="inlineStr">
        <is>
          <t>2271241430002656</t>
        </is>
      </c>
      <c r="AZ1204" t="inlineStr">
        <is>
          <t>BOOK</t>
        </is>
      </c>
      <c r="BB1204" t="inlineStr">
        <is>
          <t>9780672523311</t>
        </is>
      </c>
      <c r="BC1204" t="inlineStr">
        <is>
          <t>32285000344910</t>
        </is>
      </c>
      <c r="BD1204" t="inlineStr">
        <is>
          <t>893782060</t>
        </is>
      </c>
    </row>
    <row r="1205">
      <c r="A1205" t="inlineStr">
        <is>
          <t>No</t>
        </is>
      </c>
      <c r="B1205" t="inlineStr">
        <is>
          <t>GV1114.35 .A37 1985</t>
        </is>
      </c>
      <c r="C1205" t="inlineStr">
        <is>
          <t>0                      GV 1114350A  37          1985</t>
        </is>
      </c>
      <c r="D1205" t="inlineStr">
        <is>
          <t>Aikido and the new warrior / edited by Richard Strozzi Heckler.</t>
        </is>
      </c>
      <c r="F1205" t="inlineStr">
        <is>
          <t>No</t>
        </is>
      </c>
      <c r="G1205" t="inlineStr">
        <is>
          <t>1</t>
        </is>
      </c>
      <c r="H1205" t="inlineStr">
        <is>
          <t>No</t>
        </is>
      </c>
      <c r="I1205" t="inlineStr">
        <is>
          <t>No</t>
        </is>
      </c>
      <c r="J1205" t="inlineStr">
        <is>
          <t>0</t>
        </is>
      </c>
      <c r="L1205" t="inlineStr">
        <is>
          <t>Berkeley, Calif. : North Atlantic Books, c1985.</t>
        </is>
      </c>
      <c r="M1205" t="inlineStr">
        <is>
          <t>1985</t>
        </is>
      </c>
      <c r="O1205" t="inlineStr">
        <is>
          <t>eng</t>
        </is>
      </c>
      <c r="P1205" t="inlineStr">
        <is>
          <t>cau</t>
        </is>
      </c>
      <c r="Q1205" t="inlineStr">
        <is>
          <t>Io ; 35</t>
        </is>
      </c>
      <c r="R1205" t="inlineStr">
        <is>
          <t xml:space="preserve">GV </t>
        </is>
      </c>
      <c r="S1205" t="n">
        <v>1</v>
      </c>
      <c r="T1205" t="n">
        <v>1</v>
      </c>
      <c r="U1205" t="inlineStr">
        <is>
          <t>2007-01-04</t>
        </is>
      </c>
      <c r="V1205" t="inlineStr">
        <is>
          <t>2007-01-04</t>
        </is>
      </c>
      <c r="W1205" t="inlineStr">
        <is>
          <t>2007-01-04</t>
        </is>
      </c>
      <c r="X1205" t="inlineStr">
        <is>
          <t>2007-01-04</t>
        </is>
      </c>
      <c r="Y1205" t="n">
        <v>169</v>
      </c>
      <c r="Z1205" t="n">
        <v>146</v>
      </c>
      <c r="AA1205" t="n">
        <v>151</v>
      </c>
      <c r="AB1205" t="n">
        <v>1</v>
      </c>
      <c r="AC1205" t="n">
        <v>1</v>
      </c>
      <c r="AD1205" t="n">
        <v>3</v>
      </c>
      <c r="AE1205" t="n">
        <v>3</v>
      </c>
      <c r="AF1205" t="n">
        <v>1</v>
      </c>
      <c r="AG1205" t="n">
        <v>1</v>
      </c>
      <c r="AH1205" t="n">
        <v>1</v>
      </c>
      <c r="AI1205" t="n">
        <v>1</v>
      </c>
      <c r="AJ1205" t="n">
        <v>2</v>
      </c>
      <c r="AK1205" t="n">
        <v>2</v>
      </c>
      <c r="AL1205" t="n">
        <v>0</v>
      </c>
      <c r="AM1205" t="n">
        <v>0</v>
      </c>
      <c r="AN1205" t="n">
        <v>0</v>
      </c>
      <c r="AO1205" t="n">
        <v>0</v>
      </c>
      <c r="AP1205" t="inlineStr">
        <is>
          <t>No</t>
        </is>
      </c>
      <c r="AQ1205" t="inlineStr">
        <is>
          <t>No</t>
        </is>
      </c>
      <c r="AS1205">
        <f>HYPERLINK("https://creighton-primo.hosted.exlibrisgroup.com/primo-explore/search?tab=default_tab&amp;search_scope=EVERYTHING&amp;vid=01CRU&amp;lang=en_US&amp;offset=0&amp;query=any,contains,991005002699702656","Catalog Record")</f>
        <v/>
      </c>
      <c r="AT1205">
        <f>HYPERLINK("http://www.worldcat.org/oclc/11970962","WorldCat Record")</f>
        <v/>
      </c>
      <c r="AU1205" t="inlineStr">
        <is>
          <t>54713277:eng</t>
        </is>
      </c>
      <c r="AV1205" t="inlineStr">
        <is>
          <t>11970962</t>
        </is>
      </c>
      <c r="AW1205" t="inlineStr">
        <is>
          <t>991005002699702656</t>
        </is>
      </c>
      <c r="AX1205" t="inlineStr">
        <is>
          <t>991005002699702656</t>
        </is>
      </c>
      <c r="AY1205" t="inlineStr">
        <is>
          <t>2257155570002656</t>
        </is>
      </c>
      <c r="AZ1205" t="inlineStr">
        <is>
          <t>BOOK</t>
        </is>
      </c>
      <c r="BB1205" t="inlineStr">
        <is>
          <t>9780938190516</t>
        </is>
      </c>
      <c r="BC1205" t="inlineStr">
        <is>
          <t>32285005268296</t>
        </is>
      </c>
      <c r="BD1205" t="inlineStr">
        <is>
          <t>893876807</t>
        </is>
      </c>
    </row>
    <row r="1206">
      <c r="A1206" t="inlineStr">
        <is>
          <t>No</t>
        </is>
      </c>
      <c r="B1206" t="inlineStr">
        <is>
          <t>GV1114.35 .M34 1983</t>
        </is>
      </c>
      <c r="C1206" t="inlineStr">
        <is>
          <t>0                      GV 1114350M  34          1983</t>
        </is>
      </c>
      <c r="D1206" t="inlineStr">
        <is>
          <t>Keijutsukai aikido : Japanese art of self-defense / by Thomas H. Makiyama ; editor, Gregory Lee.</t>
        </is>
      </c>
      <c r="F1206" t="inlineStr">
        <is>
          <t>No</t>
        </is>
      </c>
      <c r="G1206" t="inlineStr">
        <is>
          <t>1</t>
        </is>
      </c>
      <c r="H1206" t="inlineStr">
        <is>
          <t>No</t>
        </is>
      </c>
      <c r="I1206" t="inlineStr">
        <is>
          <t>No</t>
        </is>
      </c>
      <c r="J1206" t="inlineStr">
        <is>
          <t>0</t>
        </is>
      </c>
      <c r="K1206" t="inlineStr">
        <is>
          <t>Makiyama, Thomas H.</t>
        </is>
      </c>
      <c r="L1206" t="inlineStr">
        <is>
          <t>Burbank, Calif. : Ohara Publications, c1983.</t>
        </is>
      </c>
      <c r="M1206" t="inlineStr">
        <is>
          <t>1983</t>
        </is>
      </c>
      <c r="O1206" t="inlineStr">
        <is>
          <t>eng</t>
        </is>
      </c>
      <c r="P1206" t="inlineStr">
        <is>
          <t>cau</t>
        </is>
      </c>
      <c r="Q1206" t="inlineStr">
        <is>
          <t>Literary links to the Orient</t>
        </is>
      </c>
      <c r="R1206" t="inlineStr">
        <is>
          <t xml:space="preserve">GV </t>
        </is>
      </c>
      <c r="S1206" t="n">
        <v>35</v>
      </c>
      <c r="T1206" t="n">
        <v>35</v>
      </c>
      <c r="U1206" t="inlineStr">
        <is>
          <t>2000-10-09</t>
        </is>
      </c>
      <c r="V1206" t="inlineStr">
        <is>
          <t>2000-10-09</t>
        </is>
      </c>
      <c r="W1206" t="inlineStr">
        <is>
          <t>1990-02-08</t>
        </is>
      </c>
      <c r="X1206" t="inlineStr">
        <is>
          <t>1990-02-08</t>
        </is>
      </c>
      <c r="Y1206" t="n">
        <v>79</v>
      </c>
      <c r="Z1206" t="n">
        <v>64</v>
      </c>
      <c r="AA1206" t="n">
        <v>64</v>
      </c>
      <c r="AB1206" t="n">
        <v>2</v>
      </c>
      <c r="AC1206" t="n">
        <v>2</v>
      </c>
      <c r="AD1206" t="n">
        <v>1</v>
      </c>
      <c r="AE1206" t="n">
        <v>1</v>
      </c>
      <c r="AF1206" t="n">
        <v>0</v>
      </c>
      <c r="AG1206" t="n">
        <v>0</v>
      </c>
      <c r="AH1206" t="n">
        <v>0</v>
      </c>
      <c r="AI1206" t="n">
        <v>0</v>
      </c>
      <c r="AJ1206" t="n">
        <v>0</v>
      </c>
      <c r="AK1206" t="n">
        <v>0</v>
      </c>
      <c r="AL1206" t="n">
        <v>1</v>
      </c>
      <c r="AM1206" t="n">
        <v>1</v>
      </c>
      <c r="AN1206" t="n">
        <v>0</v>
      </c>
      <c r="AO1206" t="n">
        <v>0</v>
      </c>
      <c r="AP1206" t="inlineStr">
        <is>
          <t>No</t>
        </is>
      </c>
      <c r="AQ1206" t="inlineStr">
        <is>
          <t>No</t>
        </is>
      </c>
      <c r="AS1206">
        <f>HYPERLINK("https://creighton-primo.hosted.exlibrisgroup.com/primo-explore/search?tab=default_tab&amp;search_scope=EVERYTHING&amp;vid=01CRU&amp;lang=en_US&amp;offset=0&amp;query=any,contains,991000299469702656","Catalog Record")</f>
        <v/>
      </c>
      <c r="AT1206">
        <f>HYPERLINK("http://www.worldcat.org/oclc/10020565","WorldCat Record")</f>
        <v/>
      </c>
      <c r="AU1206" t="inlineStr">
        <is>
          <t>1780165227:eng</t>
        </is>
      </c>
      <c r="AV1206" t="inlineStr">
        <is>
          <t>10020565</t>
        </is>
      </c>
      <c r="AW1206" t="inlineStr">
        <is>
          <t>991000299469702656</t>
        </is>
      </c>
      <c r="AX1206" t="inlineStr">
        <is>
          <t>991000299469702656</t>
        </is>
      </c>
      <c r="AY1206" t="inlineStr">
        <is>
          <t>2265296390002656</t>
        </is>
      </c>
      <c r="AZ1206" t="inlineStr">
        <is>
          <t>BOOK</t>
        </is>
      </c>
      <c r="BB1206" t="inlineStr">
        <is>
          <t>9780897500920</t>
        </is>
      </c>
      <c r="BC1206" t="inlineStr">
        <is>
          <t>32285000008051</t>
        </is>
      </c>
      <c r="BD1206" t="inlineStr">
        <is>
          <t>893695740</t>
        </is>
      </c>
    </row>
    <row r="1207">
      <c r="A1207" t="inlineStr">
        <is>
          <t>No</t>
        </is>
      </c>
      <c r="B1207" t="inlineStr">
        <is>
          <t>GV1131 .N55 1999</t>
        </is>
      </c>
      <c r="C1207" t="inlineStr">
        <is>
          <t>0                      GV 1131000N  55          1999</t>
        </is>
      </c>
      <c r="D1207" t="inlineStr">
        <is>
          <t>Los diez mejores en la historia del boxeo / Carlos Nina Gómez.</t>
        </is>
      </c>
      <c r="F1207" t="inlineStr">
        <is>
          <t>No</t>
        </is>
      </c>
      <c r="G1207" t="inlineStr">
        <is>
          <t>1</t>
        </is>
      </c>
      <c r="H1207" t="inlineStr">
        <is>
          <t>No</t>
        </is>
      </c>
      <c r="I1207" t="inlineStr">
        <is>
          <t>No</t>
        </is>
      </c>
      <c r="J1207" t="inlineStr">
        <is>
          <t>0</t>
        </is>
      </c>
      <c r="K1207" t="inlineStr">
        <is>
          <t>Nina Gómez, Carlos.</t>
        </is>
      </c>
      <c r="L1207" t="inlineStr">
        <is>
          <t>[Santo Domingo?] : Editora Collado, c1999.</t>
        </is>
      </c>
      <c r="M1207" t="inlineStr">
        <is>
          <t>1999</t>
        </is>
      </c>
      <c r="N1207" t="inlineStr">
        <is>
          <t>2a ed.</t>
        </is>
      </c>
      <c r="O1207" t="inlineStr">
        <is>
          <t>spa</t>
        </is>
      </c>
      <c r="P1207" t="inlineStr">
        <is>
          <t xml:space="preserve">dr </t>
        </is>
      </c>
      <c r="R1207" t="inlineStr">
        <is>
          <t xml:space="preserve">GV </t>
        </is>
      </c>
      <c r="S1207" t="n">
        <v>6</v>
      </c>
      <c r="T1207" t="n">
        <v>6</v>
      </c>
      <c r="U1207" t="inlineStr">
        <is>
          <t>2003-07-14</t>
        </is>
      </c>
      <c r="V1207" t="inlineStr">
        <is>
          <t>2003-07-14</t>
        </is>
      </c>
      <c r="W1207" t="inlineStr">
        <is>
          <t>2000-09-11</t>
        </is>
      </c>
      <c r="X1207" t="inlineStr">
        <is>
          <t>2000-09-11</t>
        </is>
      </c>
      <c r="Y1207" t="n">
        <v>4</v>
      </c>
      <c r="Z1207" t="n">
        <v>4</v>
      </c>
      <c r="AA1207" t="n">
        <v>4</v>
      </c>
      <c r="AB1207" t="n">
        <v>1</v>
      </c>
      <c r="AC1207" t="n">
        <v>1</v>
      </c>
      <c r="AD1207" t="n">
        <v>0</v>
      </c>
      <c r="AE1207" t="n">
        <v>0</v>
      </c>
      <c r="AF1207" t="n">
        <v>0</v>
      </c>
      <c r="AG1207" t="n">
        <v>0</v>
      </c>
      <c r="AH1207" t="n">
        <v>0</v>
      </c>
      <c r="AI1207" t="n">
        <v>0</v>
      </c>
      <c r="AJ1207" t="n">
        <v>0</v>
      </c>
      <c r="AK1207" t="n">
        <v>0</v>
      </c>
      <c r="AL1207" t="n">
        <v>0</v>
      </c>
      <c r="AM1207" t="n">
        <v>0</v>
      </c>
      <c r="AN1207" t="n">
        <v>0</v>
      </c>
      <c r="AO1207" t="n">
        <v>0</v>
      </c>
      <c r="AP1207" t="inlineStr">
        <is>
          <t>No</t>
        </is>
      </c>
      <c r="AQ1207" t="inlineStr">
        <is>
          <t>No</t>
        </is>
      </c>
      <c r="AS1207">
        <f>HYPERLINK("https://creighton-primo.hosted.exlibrisgroup.com/primo-explore/search?tab=default_tab&amp;search_scope=EVERYTHING&amp;vid=01CRU&amp;lang=en_US&amp;offset=0&amp;query=any,contains,991003288309702656","Catalog Record")</f>
        <v/>
      </c>
      <c r="AT1207">
        <f>HYPERLINK("http://www.worldcat.org/oclc/42771584","WorldCat Record")</f>
        <v/>
      </c>
      <c r="AU1207" t="inlineStr">
        <is>
          <t>477761363:spa</t>
        </is>
      </c>
      <c r="AV1207" t="inlineStr">
        <is>
          <t>42771584</t>
        </is>
      </c>
      <c r="AW1207" t="inlineStr">
        <is>
          <t>991003288309702656</t>
        </is>
      </c>
      <c r="AX1207" t="inlineStr">
        <is>
          <t>991003288309702656</t>
        </is>
      </c>
      <c r="AY1207" t="inlineStr">
        <is>
          <t>2271528180002656</t>
        </is>
      </c>
      <c r="AZ1207" t="inlineStr">
        <is>
          <t>BOOK</t>
        </is>
      </c>
      <c r="BC1207" t="inlineStr">
        <is>
          <t>32285003760856</t>
        </is>
      </c>
      <c r="BD1207" t="inlineStr">
        <is>
          <t>893518335</t>
        </is>
      </c>
    </row>
    <row r="1208">
      <c r="A1208" t="inlineStr">
        <is>
          <t>No</t>
        </is>
      </c>
      <c r="B1208" t="inlineStr">
        <is>
          <t>GV1132.A4 S65 2007</t>
        </is>
      </c>
      <c r="C1208" t="inlineStr">
        <is>
          <t>0                      GV 1132000A  4                  S  65          2007</t>
        </is>
      </c>
      <c r="D1208" t="inlineStr">
        <is>
          <t>Twelve rounds to glory : the story of Muhammad Ali / Charles R. Smith Jr. ; illustrated by Bryan Collier.</t>
        </is>
      </c>
      <c r="F1208" t="inlineStr">
        <is>
          <t>No</t>
        </is>
      </c>
      <c r="G1208" t="inlineStr">
        <is>
          <t>1</t>
        </is>
      </c>
      <c r="H1208" t="inlineStr">
        <is>
          <t>No</t>
        </is>
      </c>
      <c r="I1208" t="inlineStr">
        <is>
          <t>No</t>
        </is>
      </c>
      <c r="J1208" t="inlineStr">
        <is>
          <t>0</t>
        </is>
      </c>
      <c r="K1208" t="inlineStr">
        <is>
          <t>Smith, Charles R., Jr., 1969-</t>
        </is>
      </c>
      <c r="L1208" t="inlineStr">
        <is>
          <t>Cambridge, Mass. : Candlewick Press, 2007.</t>
        </is>
      </c>
      <c r="M1208" t="inlineStr">
        <is>
          <t>2007</t>
        </is>
      </c>
      <c r="N1208" t="inlineStr">
        <is>
          <t>1st ed.</t>
        </is>
      </c>
      <c r="O1208" t="inlineStr">
        <is>
          <t>eng</t>
        </is>
      </c>
      <c r="P1208" t="inlineStr">
        <is>
          <t>mau</t>
        </is>
      </c>
      <c r="R1208" t="inlineStr">
        <is>
          <t xml:space="preserve">GV </t>
        </is>
      </c>
      <c r="S1208" t="n">
        <v>2</v>
      </c>
      <c r="T1208" t="n">
        <v>2</v>
      </c>
      <c r="U1208" t="inlineStr">
        <is>
          <t>2008-03-04</t>
        </is>
      </c>
      <c r="V1208" t="inlineStr">
        <is>
          <t>2008-03-04</t>
        </is>
      </c>
      <c r="W1208" t="inlineStr">
        <is>
          <t>2008-03-04</t>
        </is>
      </c>
      <c r="X1208" t="inlineStr">
        <is>
          <t>2008-03-04</t>
        </is>
      </c>
      <c r="Y1208" t="n">
        <v>1527</v>
      </c>
      <c r="Z1208" t="n">
        <v>1452</v>
      </c>
      <c r="AA1208" t="n">
        <v>1479</v>
      </c>
      <c r="AB1208" t="n">
        <v>13</v>
      </c>
      <c r="AC1208" t="n">
        <v>14</v>
      </c>
      <c r="AD1208" t="n">
        <v>29</v>
      </c>
      <c r="AE1208" t="n">
        <v>30</v>
      </c>
      <c r="AF1208" t="n">
        <v>15</v>
      </c>
      <c r="AG1208" t="n">
        <v>16</v>
      </c>
      <c r="AH1208" t="n">
        <v>5</v>
      </c>
      <c r="AI1208" t="n">
        <v>5</v>
      </c>
      <c r="AJ1208" t="n">
        <v>10</v>
      </c>
      <c r="AK1208" t="n">
        <v>11</v>
      </c>
      <c r="AL1208" t="n">
        <v>6</v>
      </c>
      <c r="AM1208" t="n">
        <v>6</v>
      </c>
      <c r="AN1208" t="n">
        <v>0</v>
      </c>
      <c r="AO1208" t="n">
        <v>0</v>
      </c>
      <c r="AP1208" t="inlineStr">
        <is>
          <t>No</t>
        </is>
      </c>
      <c r="AQ1208" t="inlineStr">
        <is>
          <t>Yes</t>
        </is>
      </c>
      <c r="AR1208">
        <f>HYPERLINK("http://catalog.hathitrust.org/Record/005660831","HathiTrust Record")</f>
        <v/>
      </c>
      <c r="AS1208">
        <f>HYPERLINK("https://creighton-primo.hosted.exlibrisgroup.com/primo-explore/search?tab=default_tab&amp;search_scope=EVERYTHING&amp;vid=01CRU&amp;lang=en_US&amp;offset=0&amp;query=any,contains,991005187719702656","Catalog Record")</f>
        <v/>
      </c>
      <c r="AT1208">
        <f>HYPERLINK("http://www.worldcat.org/oclc/144225324","WorldCat Record")</f>
        <v/>
      </c>
      <c r="AU1208" t="inlineStr">
        <is>
          <t>196150588:eng</t>
        </is>
      </c>
      <c r="AV1208" t="inlineStr">
        <is>
          <t>144225324</t>
        </is>
      </c>
      <c r="AW1208" t="inlineStr">
        <is>
          <t>991005187719702656</t>
        </is>
      </c>
      <c r="AX1208" t="inlineStr">
        <is>
          <t>991005187719702656</t>
        </is>
      </c>
      <c r="AY1208" t="inlineStr">
        <is>
          <t>2268625590002656</t>
        </is>
      </c>
      <c r="AZ1208" t="inlineStr">
        <is>
          <t>BOOK</t>
        </is>
      </c>
      <c r="BB1208" t="inlineStr">
        <is>
          <t>9780763616922</t>
        </is>
      </c>
      <c r="BC1208" t="inlineStr">
        <is>
          <t>32285005395156</t>
        </is>
      </c>
      <c r="BD1208" t="inlineStr">
        <is>
          <t>893768510</t>
        </is>
      </c>
    </row>
    <row r="1209">
      <c r="A1209" t="inlineStr">
        <is>
          <t>No</t>
        </is>
      </c>
      <c r="B1209" t="inlineStr">
        <is>
          <t>GV1132.A44 R46 1998</t>
        </is>
      </c>
      <c r="C1209" t="inlineStr">
        <is>
          <t>0                      GV 1132000A  44                 R  46          1998</t>
        </is>
      </c>
      <c r="D1209" t="inlineStr">
        <is>
          <t>King of the world : Muhammad Ali and the rise of an American hero / David Remnick.</t>
        </is>
      </c>
      <c r="F1209" t="inlineStr">
        <is>
          <t>No</t>
        </is>
      </c>
      <c r="G1209" t="inlineStr">
        <is>
          <t>1</t>
        </is>
      </c>
      <c r="H1209" t="inlineStr">
        <is>
          <t>No</t>
        </is>
      </c>
      <c r="I1209" t="inlineStr">
        <is>
          <t>No</t>
        </is>
      </c>
      <c r="J1209" t="inlineStr">
        <is>
          <t>0</t>
        </is>
      </c>
      <c r="K1209" t="inlineStr">
        <is>
          <t>Remnick, David.</t>
        </is>
      </c>
      <c r="L1209" t="inlineStr">
        <is>
          <t>New York : Random House, c1998.</t>
        </is>
      </c>
      <c r="M1209" t="inlineStr">
        <is>
          <t>1998</t>
        </is>
      </c>
      <c r="N1209" t="inlineStr">
        <is>
          <t>1st ed.</t>
        </is>
      </c>
      <c r="O1209" t="inlineStr">
        <is>
          <t>eng</t>
        </is>
      </c>
      <c r="P1209" t="inlineStr">
        <is>
          <t>nyu</t>
        </is>
      </c>
      <c r="R1209" t="inlineStr">
        <is>
          <t xml:space="preserve">GV </t>
        </is>
      </c>
      <c r="S1209" t="n">
        <v>4</v>
      </c>
      <c r="T1209" t="n">
        <v>4</v>
      </c>
      <c r="U1209" t="inlineStr">
        <is>
          <t>2008-08-06</t>
        </is>
      </c>
      <c r="V1209" t="inlineStr">
        <is>
          <t>2008-08-06</t>
        </is>
      </c>
      <c r="W1209" t="inlineStr">
        <is>
          <t>1998-12-02</t>
        </is>
      </c>
      <c r="X1209" t="inlineStr">
        <is>
          <t>1998-12-02</t>
        </is>
      </c>
      <c r="Y1209" t="n">
        <v>2043</v>
      </c>
      <c r="Z1209" t="n">
        <v>1963</v>
      </c>
      <c r="AA1209" t="n">
        <v>2233</v>
      </c>
      <c r="AB1209" t="n">
        <v>17</v>
      </c>
      <c r="AC1209" t="n">
        <v>17</v>
      </c>
      <c r="AD1209" t="n">
        <v>43</v>
      </c>
      <c r="AE1209" t="n">
        <v>45</v>
      </c>
      <c r="AF1209" t="n">
        <v>18</v>
      </c>
      <c r="AG1209" t="n">
        <v>19</v>
      </c>
      <c r="AH1209" t="n">
        <v>8</v>
      </c>
      <c r="AI1209" t="n">
        <v>9</v>
      </c>
      <c r="AJ1209" t="n">
        <v>20</v>
      </c>
      <c r="AK1209" t="n">
        <v>21</v>
      </c>
      <c r="AL1209" t="n">
        <v>6</v>
      </c>
      <c r="AM1209" t="n">
        <v>6</v>
      </c>
      <c r="AN1209" t="n">
        <v>0</v>
      </c>
      <c r="AO1209" t="n">
        <v>0</v>
      </c>
      <c r="AP1209" t="inlineStr">
        <is>
          <t>No</t>
        </is>
      </c>
      <c r="AQ1209" t="inlineStr">
        <is>
          <t>Yes</t>
        </is>
      </c>
      <c r="AR1209">
        <f>HYPERLINK("http://catalog.hathitrust.org/Record/004002297","HathiTrust Record")</f>
        <v/>
      </c>
      <c r="AS1209">
        <f>HYPERLINK("https://creighton-primo.hosted.exlibrisgroup.com/primo-explore/search?tab=default_tab&amp;search_scope=EVERYTHING&amp;vid=01CRU&amp;lang=en_US&amp;offset=0&amp;query=any,contains,991002946119702656","Catalog Record")</f>
        <v/>
      </c>
      <c r="AT1209">
        <f>HYPERLINK("http://www.worldcat.org/oclc/39229674","WorldCat Record")</f>
        <v/>
      </c>
      <c r="AU1209" t="inlineStr">
        <is>
          <t>3885506905:eng</t>
        </is>
      </c>
      <c r="AV1209" t="inlineStr">
        <is>
          <t>39229674</t>
        </is>
      </c>
      <c r="AW1209" t="inlineStr">
        <is>
          <t>991002946119702656</t>
        </is>
      </c>
      <c r="AX1209" t="inlineStr">
        <is>
          <t>991002946119702656</t>
        </is>
      </c>
      <c r="AY1209" t="inlineStr">
        <is>
          <t>2257194300002656</t>
        </is>
      </c>
      <c r="AZ1209" t="inlineStr">
        <is>
          <t>BOOK</t>
        </is>
      </c>
      <c r="BB1209" t="inlineStr">
        <is>
          <t>9780375500657</t>
        </is>
      </c>
      <c r="BC1209" t="inlineStr">
        <is>
          <t>32285003492880</t>
        </is>
      </c>
      <c r="BD1209" t="inlineStr">
        <is>
          <t>893867916</t>
        </is>
      </c>
    </row>
    <row r="1210">
      <c r="A1210" t="inlineStr">
        <is>
          <t>No</t>
        </is>
      </c>
      <c r="B1210" t="inlineStr">
        <is>
          <t>GV1132.D4 K35 1999</t>
        </is>
      </c>
      <c r="C1210" t="inlineStr">
        <is>
          <t>0                      GV 1132000D  4                  K  35          1999</t>
        </is>
      </c>
      <c r="D1210" t="inlineStr">
        <is>
          <t>A flame of pure fire : Jack Dempsey and the roaring '20s / Roger Kahn.</t>
        </is>
      </c>
      <c r="F1210" t="inlineStr">
        <is>
          <t>No</t>
        </is>
      </c>
      <c r="G1210" t="inlineStr">
        <is>
          <t>1</t>
        </is>
      </c>
      <c r="H1210" t="inlineStr">
        <is>
          <t>No</t>
        </is>
      </c>
      <c r="I1210" t="inlineStr">
        <is>
          <t>No</t>
        </is>
      </c>
      <c r="J1210" t="inlineStr">
        <is>
          <t>0</t>
        </is>
      </c>
      <c r="K1210" t="inlineStr">
        <is>
          <t>Kahn, Roger.</t>
        </is>
      </c>
      <c r="L1210" t="inlineStr">
        <is>
          <t>New York : Harcourt Brace &amp; Co., c1999.</t>
        </is>
      </c>
      <c r="M1210" t="inlineStr">
        <is>
          <t>1999</t>
        </is>
      </c>
      <c r="N1210" t="inlineStr">
        <is>
          <t>1st ed.</t>
        </is>
      </c>
      <c r="O1210" t="inlineStr">
        <is>
          <t>eng</t>
        </is>
      </c>
      <c r="P1210" t="inlineStr">
        <is>
          <t>nyu</t>
        </is>
      </c>
      <c r="R1210" t="inlineStr">
        <is>
          <t xml:space="preserve">GV </t>
        </is>
      </c>
      <c r="S1210" t="n">
        <v>2</v>
      </c>
      <c r="T1210" t="n">
        <v>2</v>
      </c>
      <c r="U1210" t="inlineStr">
        <is>
          <t>2010-06-24</t>
        </is>
      </c>
      <c r="V1210" t="inlineStr">
        <is>
          <t>2010-06-24</t>
        </is>
      </c>
      <c r="W1210" t="inlineStr">
        <is>
          <t>2006-11-16</t>
        </is>
      </c>
      <c r="X1210" t="inlineStr">
        <is>
          <t>2006-11-16</t>
        </is>
      </c>
      <c r="Y1210" t="n">
        <v>977</v>
      </c>
      <c r="Z1210" t="n">
        <v>941</v>
      </c>
      <c r="AA1210" t="n">
        <v>965</v>
      </c>
      <c r="AB1210" t="n">
        <v>9</v>
      </c>
      <c r="AC1210" t="n">
        <v>9</v>
      </c>
      <c r="AD1210" t="n">
        <v>18</v>
      </c>
      <c r="AE1210" t="n">
        <v>19</v>
      </c>
      <c r="AF1210" t="n">
        <v>9</v>
      </c>
      <c r="AG1210" t="n">
        <v>10</v>
      </c>
      <c r="AH1210" t="n">
        <v>1</v>
      </c>
      <c r="AI1210" t="n">
        <v>2</v>
      </c>
      <c r="AJ1210" t="n">
        <v>8</v>
      </c>
      <c r="AK1210" t="n">
        <v>8</v>
      </c>
      <c r="AL1210" t="n">
        <v>3</v>
      </c>
      <c r="AM1210" t="n">
        <v>3</v>
      </c>
      <c r="AN1210" t="n">
        <v>0</v>
      </c>
      <c r="AO1210" t="n">
        <v>0</v>
      </c>
      <c r="AP1210" t="inlineStr">
        <is>
          <t>No</t>
        </is>
      </c>
      <c r="AQ1210" t="inlineStr">
        <is>
          <t>Yes</t>
        </is>
      </c>
      <c r="AR1210">
        <f>HYPERLINK("http://catalog.hathitrust.org/Record/007137885","HathiTrust Record")</f>
        <v/>
      </c>
      <c r="AS1210">
        <f>HYPERLINK("https://creighton-primo.hosted.exlibrisgroup.com/primo-explore/search?tab=default_tab&amp;search_scope=EVERYTHING&amp;vid=01CRU&amp;lang=en_US&amp;offset=0&amp;query=any,contains,991004983359702656","Catalog Record")</f>
        <v/>
      </c>
      <c r="AT1210">
        <f>HYPERLINK("http://www.worldcat.org/oclc/41231219","WorldCat Record")</f>
        <v/>
      </c>
      <c r="AU1210" t="inlineStr">
        <is>
          <t>2548891:eng</t>
        </is>
      </c>
      <c r="AV1210" t="inlineStr">
        <is>
          <t>41231219</t>
        </is>
      </c>
      <c r="AW1210" t="inlineStr">
        <is>
          <t>991004983359702656</t>
        </is>
      </c>
      <c r="AX1210" t="inlineStr">
        <is>
          <t>991004983359702656</t>
        </is>
      </c>
      <c r="AY1210" t="inlineStr">
        <is>
          <t>2257763560002656</t>
        </is>
      </c>
      <c r="AZ1210" t="inlineStr">
        <is>
          <t>BOOK</t>
        </is>
      </c>
      <c r="BB1210" t="inlineStr">
        <is>
          <t>9780151002962</t>
        </is>
      </c>
      <c r="BC1210" t="inlineStr">
        <is>
          <t>32285005260053</t>
        </is>
      </c>
      <c r="BD1210" t="inlineStr">
        <is>
          <t>893870322</t>
        </is>
      </c>
    </row>
    <row r="1211">
      <c r="A1211" t="inlineStr">
        <is>
          <t>No</t>
        </is>
      </c>
      <c r="B1211" t="inlineStr">
        <is>
          <t>GV1133 .L47 1992</t>
        </is>
      </c>
      <c r="C1211" t="inlineStr">
        <is>
          <t>0                      GV 1133000L  47          1992</t>
        </is>
      </c>
      <c r="D1211" t="inlineStr">
        <is>
          <t>A neutral corner : boxing essays / by A.J. Liebling ; edited by Fred Warner and James Barbour ; foreword by Bill Barich.</t>
        </is>
      </c>
      <c r="F1211" t="inlineStr">
        <is>
          <t>No</t>
        </is>
      </c>
      <c r="G1211" t="inlineStr">
        <is>
          <t>1</t>
        </is>
      </c>
      <c r="H1211" t="inlineStr">
        <is>
          <t>No</t>
        </is>
      </c>
      <c r="I1211" t="inlineStr">
        <is>
          <t>No</t>
        </is>
      </c>
      <c r="J1211" t="inlineStr">
        <is>
          <t>0</t>
        </is>
      </c>
      <c r="K1211" t="inlineStr">
        <is>
          <t>Liebling, A. J. (Abbott Joseph), 1904-1963.</t>
        </is>
      </c>
      <c r="L1211" t="inlineStr">
        <is>
          <t>New York : Simon &amp; Schuster, 1992.</t>
        </is>
      </c>
      <c r="M1211" t="inlineStr">
        <is>
          <t>1992</t>
        </is>
      </c>
      <c r="N1211" t="inlineStr">
        <is>
          <t>1st Fireside ed.</t>
        </is>
      </c>
      <c r="O1211" t="inlineStr">
        <is>
          <t>eng</t>
        </is>
      </c>
      <c r="P1211" t="inlineStr">
        <is>
          <t>nyu</t>
        </is>
      </c>
      <c r="Q1211" t="inlineStr">
        <is>
          <t>Fireside sports classic</t>
        </is>
      </c>
      <c r="R1211" t="inlineStr">
        <is>
          <t xml:space="preserve">GV </t>
        </is>
      </c>
      <c r="S1211" t="n">
        <v>1</v>
      </c>
      <c r="T1211" t="n">
        <v>1</v>
      </c>
      <c r="U1211" t="inlineStr">
        <is>
          <t>2009-04-23</t>
        </is>
      </c>
      <c r="V1211" t="inlineStr">
        <is>
          <t>2009-04-23</t>
        </is>
      </c>
      <c r="W1211" t="inlineStr">
        <is>
          <t>2009-04-23</t>
        </is>
      </c>
      <c r="X1211" t="inlineStr">
        <is>
          <t>2009-04-23</t>
        </is>
      </c>
      <c r="Y1211" t="n">
        <v>34</v>
      </c>
      <c r="Z1211" t="n">
        <v>31</v>
      </c>
      <c r="AA1211" t="n">
        <v>257</v>
      </c>
      <c r="AB1211" t="n">
        <v>1</v>
      </c>
      <c r="AC1211" t="n">
        <v>1</v>
      </c>
      <c r="AD1211" t="n">
        <v>1</v>
      </c>
      <c r="AE1211" t="n">
        <v>5</v>
      </c>
      <c r="AF1211" t="n">
        <v>1</v>
      </c>
      <c r="AG1211" t="n">
        <v>2</v>
      </c>
      <c r="AH1211" t="n">
        <v>0</v>
      </c>
      <c r="AI1211" t="n">
        <v>2</v>
      </c>
      <c r="AJ1211" t="n">
        <v>1</v>
      </c>
      <c r="AK1211" t="n">
        <v>4</v>
      </c>
      <c r="AL1211" t="n">
        <v>0</v>
      </c>
      <c r="AM1211" t="n">
        <v>0</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HYPERLINK("https://creighton-primo.hosted.exlibrisgroup.com/primo-explore/search?tab=default_tab&amp;search_scope=EVERYTHING&amp;vid=01CRU&amp;lang=en_US&amp;offset=0&amp;query=any,contains,991005312639702656","Catalog Record")</f>
        <v/>
      </c>
      <c r="AT1211">
        <f>HYPERLINK("http://www.worldcat.org/oclc/24501345","WorldCat Record")</f>
        <v/>
      </c>
      <c r="AU1211" t="inlineStr">
        <is>
          <t>23089032:eng</t>
        </is>
      </c>
      <c r="AV1211" t="inlineStr">
        <is>
          <t>24501345</t>
        </is>
      </c>
      <c r="AW1211" t="inlineStr">
        <is>
          <t>991005312639702656</t>
        </is>
      </c>
      <c r="AX1211" t="inlineStr">
        <is>
          <t>991005312639702656</t>
        </is>
      </c>
      <c r="AY1211" t="inlineStr">
        <is>
          <t>2268439570002656</t>
        </is>
      </c>
      <c r="AZ1211" t="inlineStr">
        <is>
          <t>BOOK</t>
        </is>
      </c>
      <c r="BB1211" t="inlineStr">
        <is>
          <t>9780671750459</t>
        </is>
      </c>
      <c r="BC1211" t="inlineStr">
        <is>
          <t>32285005518138</t>
        </is>
      </c>
      <c r="BD1211" t="inlineStr">
        <is>
          <t>893338906</t>
        </is>
      </c>
    </row>
    <row r="1212">
      <c r="A1212" t="inlineStr">
        <is>
          <t>No</t>
        </is>
      </c>
      <c r="B1212" t="inlineStr">
        <is>
          <t>GV1133 .T4</t>
        </is>
      </c>
      <c r="C1212" t="inlineStr">
        <is>
          <t>0                      GV 1133000T  4</t>
        </is>
      </c>
      <c r="D1212" t="inlineStr">
        <is>
          <t>Savate : French foot fighting ; self-defense, sport / by Bruce Tegnér ; What is savate? by Alice McGrath.</t>
        </is>
      </c>
      <c r="F1212" t="inlineStr">
        <is>
          <t>No</t>
        </is>
      </c>
      <c r="G1212" t="inlineStr">
        <is>
          <t>1</t>
        </is>
      </c>
      <c r="H1212" t="inlineStr">
        <is>
          <t>No</t>
        </is>
      </c>
      <c r="I1212" t="inlineStr">
        <is>
          <t>No</t>
        </is>
      </c>
      <c r="J1212" t="inlineStr">
        <is>
          <t>0</t>
        </is>
      </c>
      <c r="K1212" t="inlineStr">
        <is>
          <t>Tegner, Bruce.</t>
        </is>
      </c>
      <c r="L1212" t="inlineStr">
        <is>
          <t>Hollywood, Calif. : Thor Pub. Co., 1961.</t>
        </is>
      </c>
      <c r="M1212" t="inlineStr">
        <is>
          <t>1961</t>
        </is>
      </c>
      <c r="N1212" t="inlineStr">
        <is>
          <t>2d ed.</t>
        </is>
      </c>
      <c r="O1212" t="inlineStr">
        <is>
          <t>eng</t>
        </is>
      </c>
      <c r="P1212" t="inlineStr">
        <is>
          <t>cau</t>
        </is>
      </c>
      <c r="R1212" t="inlineStr">
        <is>
          <t xml:space="preserve">GV </t>
        </is>
      </c>
      <c r="S1212" t="n">
        <v>13</v>
      </c>
      <c r="T1212" t="n">
        <v>13</v>
      </c>
      <c r="U1212" t="inlineStr">
        <is>
          <t>1995-08-29</t>
        </is>
      </c>
      <c r="V1212" t="inlineStr">
        <is>
          <t>1995-08-29</t>
        </is>
      </c>
      <c r="W1212" t="inlineStr">
        <is>
          <t>1993-04-14</t>
        </is>
      </c>
      <c r="X1212" t="inlineStr">
        <is>
          <t>1993-04-14</t>
        </is>
      </c>
      <c r="Y1212" t="n">
        <v>10</v>
      </c>
      <c r="Z1212" t="n">
        <v>8</v>
      </c>
      <c r="AA1212" t="n">
        <v>12</v>
      </c>
      <c r="AB1212" t="n">
        <v>1</v>
      </c>
      <c r="AC1212" t="n">
        <v>1</v>
      </c>
      <c r="AD1212" t="n">
        <v>0</v>
      </c>
      <c r="AE1212" t="n">
        <v>0</v>
      </c>
      <c r="AF1212" t="n">
        <v>0</v>
      </c>
      <c r="AG1212" t="n">
        <v>0</v>
      </c>
      <c r="AH1212" t="n">
        <v>0</v>
      </c>
      <c r="AI1212" t="n">
        <v>0</v>
      </c>
      <c r="AJ1212" t="n">
        <v>0</v>
      </c>
      <c r="AK1212" t="n">
        <v>0</v>
      </c>
      <c r="AL1212" t="n">
        <v>0</v>
      </c>
      <c r="AM1212" t="n">
        <v>0</v>
      </c>
      <c r="AN1212" t="n">
        <v>0</v>
      </c>
      <c r="AO1212" t="n">
        <v>0</v>
      </c>
      <c r="AP1212" t="inlineStr">
        <is>
          <t>No</t>
        </is>
      </c>
      <c r="AQ1212" t="inlineStr">
        <is>
          <t>No</t>
        </is>
      </c>
      <c r="AS1212">
        <f>HYPERLINK("https://creighton-primo.hosted.exlibrisgroup.com/primo-explore/search?tab=default_tab&amp;search_scope=EVERYTHING&amp;vid=01CRU&amp;lang=en_US&amp;offset=0&amp;query=any,contains,991004852749702656","Catalog Record")</f>
        <v/>
      </c>
      <c r="AT1212">
        <f>HYPERLINK("http://www.worldcat.org/oclc/5631029","WorldCat Record")</f>
        <v/>
      </c>
      <c r="AU1212" t="inlineStr">
        <is>
          <t>3856309107:eng</t>
        </is>
      </c>
      <c r="AV1212" t="inlineStr">
        <is>
          <t>5631029</t>
        </is>
      </c>
      <c r="AW1212" t="inlineStr">
        <is>
          <t>991004852749702656</t>
        </is>
      </c>
      <c r="AX1212" t="inlineStr">
        <is>
          <t>991004852749702656</t>
        </is>
      </c>
      <c r="AY1212" t="inlineStr">
        <is>
          <t>2271582680002656</t>
        </is>
      </c>
      <c r="AZ1212" t="inlineStr">
        <is>
          <t>BOOK</t>
        </is>
      </c>
      <c r="BC1212" t="inlineStr">
        <is>
          <t>32285001619021</t>
        </is>
      </c>
      <c r="BD1212" t="inlineStr">
        <is>
          <t>893810722</t>
        </is>
      </c>
    </row>
    <row r="1213">
      <c r="A1213" t="inlineStr">
        <is>
          <t>No</t>
        </is>
      </c>
      <c r="B1213" t="inlineStr">
        <is>
          <t>GV1136.8 .M37 2005</t>
        </is>
      </c>
      <c r="C1213" t="inlineStr">
        <is>
          <t>0                      GV 1136800M  37          2005</t>
        </is>
      </c>
      <c r="D1213" t="inlineStr">
        <is>
          <t>Beyond glory : Joe Louis vs. Max Schmeling and a world on the brink / David Margolick.</t>
        </is>
      </c>
      <c r="F1213" t="inlineStr">
        <is>
          <t>No</t>
        </is>
      </c>
      <c r="G1213" t="inlineStr">
        <is>
          <t>1</t>
        </is>
      </c>
      <c r="H1213" t="inlineStr">
        <is>
          <t>No</t>
        </is>
      </c>
      <c r="I1213" t="inlineStr">
        <is>
          <t>No</t>
        </is>
      </c>
      <c r="J1213" t="inlineStr">
        <is>
          <t>0</t>
        </is>
      </c>
      <c r="K1213" t="inlineStr">
        <is>
          <t>Margolick, David.</t>
        </is>
      </c>
      <c r="L1213" t="inlineStr">
        <is>
          <t>New York : A.A. Knopf, 2005.</t>
        </is>
      </c>
      <c r="M1213" t="inlineStr">
        <is>
          <t>2005</t>
        </is>
      </c>
      <c r="N1213" t="inlineStr">
        <is>
          <t>1st ed.</t>
        </is>
      </c>
      <c r="O1213" t="inlineStr">
        <is>
          <t>eng</t>
        </is>
      </c>
      <c r="P1213" t="inlineStr">
        <is>
          <t>nyu</t>
        </is>
      </c>
      <c r="R1213" t="inlineStr">
        <is>
          <t xml:space="preserve">GV </t>
        </is>
      </c>
      <c r="S1213" t="n">
        <v>1</v>
      </c>
      <c r="T1213" t="n">
        <v>1</v>
      </c>
      <c r="U1213" t="inlineStr">
        <is>
          <t>2005-11-28</t>
        </is>
      </c>
      <c r="V1213" t="inlineStr">
        <is>
          <t>2005-11-28</t>
        </is>
      </c>
      <c r="W1213" t="inlineStr">
        <is>
          <t>2005-11-28</t>
        </is>
      </c>
      <c r="X1213" t="inlineStr">
        <is>
          <t>2005-11-28</t>
        </is>
      </c>
      <c r="Y1213" t="n">
        <v>1166</v>
      </c>
      <c r="Z1213" t="n">
        <v>1120</v>
      </c>
      <c r="AA1213" t="n">
        <v>1228</v>
      </c>
      <c r="AB1213" t="n">
        <v>11</v>
      </c>
      <c r="AC1213" t="n">
        <v>12</v>
      </c>
      <c r="AD1213" t="n">
        <v>23</v>
      </c>
      <c r="AE1213" t="n">
        <v>24</v>
      </c>
      <c r="AF1213" t="n">
        <v>7</v>
      </c>
      <c r="AG1213" t="n">
        <v>7</v>
      </c>
      <c r="AH1213" t="n">
        <v>5</v>
      </c>
      <c r="AI1213" t="n">
        <v>5</v>
      </c>
      <c r="AJ1213" t="n">
        <v>9</v>
      </c>
      <c r="AK1213" t="n">
        <v>9</v>
      </c>
      <c r="AL1213" t="n">
        <v>5</v>
      </c>
      <c r="AM1213" t="n">
        <v>6</v>
      </c>
      <c r="AN1213" t="n">
        <v>0</v>
      </c>
      <c r="AO1213" t="n">
        <v>0</v>
      </c>
      <c r="AP1213" t="inlineStr">
        <is>
          <t>No</t>
        </is>
      </c>
      <c r="AQ1213" t="inlineStr">
        <is>
          <t>Yes</t>
        </is>
      </c>
      <c r="AR1213">
        <f>HYPERLINK("http://catalog.hathitrust.org/Record/005132900","HathiTrust Record")</f>
        <v/>
      </c>
      <c r="AS1213">
        <f>HYPERLINK("https://creighton-primo.hosted.exlibrisgroup.com/primo-explore/search?tab=default_tab&amp;search_scope=EVERYTHING&amp;vid=01CRU&amp;lang=en_US&amp;offset=0&amp;query=any,contains,991004682389702656","Catalog Record")</f>
        <v/>
      </c>
      <c r="AT1213">
        <f>HYPERLINK("http://www.worldcat.org/oclc/58563138","WorldCat Record")</f>
        <v/>
      </c>
      <c r="AU1213" t="inlineStr">
        <is>
          <t>793078426:eng</t>
        </is>
      </c>
      <c r="AV1213" t="inlineStr">
        <is>
          <t>58563138</t>
        </is>
      </c>
      <c r="AW1213" t="inlineStr">
        <is>
          <t>991004682389702656</t>
        </is>
      </c>
      <c r="AX1213" t="inlineStr">
        <is>
          <t>991004682389702656</t>
        </is>
      </c>
      <c r="AY1213" t="inlineStr">
        <is>
          <t>2263759860002656</t>
        </is>
      </c>
      <c r="AZ1213" t="inlineStr">
        <is>
          <t>BOOK</t>
        </is>
      </c>
      <c r="BB1213" t="inlineStr">
        <is>
          <t>9780375411922</t>
        </is>
      </c>
      <c r="BC1213" t="inlineStr">
        <is>
          <t>32285005148282</t>
        </is>
      </c>
      <c r="BD1213" t="inlineStr">
        <is>
          <t>893526386</t>
        </is>
      </c>
    </row>
    <row r="1214">
      <c r="A1214" t="inlineStr">
        <is>
          <t>No</t>
        </is>
      </c>
      <c r="B1214" t="inlineStr">
        <is>
          <t>GV1147 .G3813 1987</t>
        </is>
      </c>
      <c r="C1214" t="inlineStr">
        <is>
          <t>0                      GV 1147000G  3813        1987</t>
        </is>
      </c>
      <c r="D1214" t="inlineStr">
        <is>
          <t>Fencing everyone / William M. Gaugler.</t>
        </is>
      </c>
      <c r="F1214" t="inlineStr">
        <is>
          <t>No</t>
        </is>
      </c>
      <c r="G1214" t="inlineStr">
        <is>
          <t>1</t>
        </is>
      </c>
      <c r="H1214" t="inlineStr">
        <is>
          <t>No</t>
        </is>
      </c>
      <c r="I1214" t="inlineStr">
        <is>
          <t>No</t>
        </is>
      </c>
      <c r="J1214" t="inlineStr">
        <is>
          <t>0</t>
        </is>
      </c>
      <c r="K1214" t="inlineStr">
        <is>
          <t>Gaugler, William M.</t>
        </is>
      </c>
      <c r="L1214" t="inlineStr">
        <is>
          <t>Winston-Salem, N.C. : Hunter Textbooks, c1987.</t>
        </is>
      </c>
      <c r="M1214" t="inlineStr">
        <is>
          <t>1987</t>
        </is>
      </c>
      <c r="O1214" t="inlineStr">
        <is>
          <t>eng</t>
        </is>
      </c>
      <c r="P1214" t="inlineStr">
        <is>
          <t>ncu</t>
        </is>
      </c>
      <c r="R1214" t="inlineStr">
        <is>
          <t xml:space="preserve">GV </t>
        </is>
      </c>
      <c r="S1214" t="n">
        <v>11</v>
      </c>
      <c r="T1214" t="n">
        <v>11</v>
      </c>
      <c r="U1214" t="inlineStr">
        <is>
          <t>2003-03-03</t>
        </is>
      </c>
      <c r="V1214" t="inlineStr">
        <is>
          <t>2003-03-03</t>
        </is>
      </c>
      <c r="W1214" t="inlineStr">
        <is>
          <t>1990-06-06</t>
        </is>
      </c>
      <c r="X1214" t="inlineStr">
        <is>
          <t>1990-06-06</t>
        </is>
      </c>
      <c r="Y1214" t="n">
        <v>60</v>
      </c>
      <c r="Z1214" t="n">
        <v>59</v>
      </c>
      <c r="AA1214" t="n">
        <v>59</v>
      </c>
      <c r="AB1214" t="n">
        <v>1</v>
      </c>
      <c r="AC1214" t="n">
        <v>1</v>
      </c>
      <c r="AD1214" t="n">
        <v>0</v>
      </c>
      <c r="AE1214" t="n">
        <v>0</v>
      </c>
      <c r="AF1214" t="n">
        <v>0</v>
      </c>
      <c r="AG1214" t="n">
        <v>0</v>
      </c>
      <c r="AH1214" t="n">
        <v>0</v>
      </c>
      <c r="AI1214" t="n">
        <v>0</v>
      </c>
      <c r="AJ1214" t="n">
        <v>0</v>
      </c>
      <c r="AK1214" t="n">
        <v>0</v>
      </c>
      <c r="AL1214" t="n">
        <v>0</v>
      </c>
      <c r="AM1214" t="n">
        <v>0</v>
      </c>
      <c r="AN1214" t="n">
        <v>0</v>
      </c>
      <c r="AO1214" t="n">
        <v>0</v>
      </c>
      <c r="AP1214" t="inlineStr">
        <is>
          <t>No</t>
        </is>
      </c>
      <c r="AQ1214" t="inlineStr">
        <is>
          <t>No</t>
        </is>
      </c>
      <c r="AS1214">
        <f>HYPERLINK("https://creighton-primo.hosted.exlibrisgroup.com/primo-explore/search?tab=default_tab&amp;search_scope=EVERYTHING&amp;vid=01CRU&amp;lang=en_US&amp;offset=0&amp;query=any,contains,991001099549702656","Catalog Record")</f>
        <v/>
      </c>
      <c r="AT1214">
        <f>HYPERLINK("http://www.worldcat.org/oclc/16310726","WorldCat Record")</f>
        <v/>
      </c>
      <c r="AU1214" t="inlineStr">
        <is>
          <t>10567149571:eng</t>
        </is>
      </c>
      <c r="AV1214" t="inlineStr">
        <is>
          <t>16310726</t>
        </is>
      </c>
      <c r="AW1214" t="inlineStr">
        <is>
          <t>991001099549702656</t>
        </is>
      </c>
      <c r="AX1214" t="inlineStr">
        <is>
          <t>991001099549702656</t>
        </is>
      </c>
      <c r="AY1214" t="inlineStr">
        <is>
          <t>2259438020002656</t>
        </is>
      </c>
      <c r="AZ1214" t="inlineStr">
        <is>
          <t>BOOK</t>
        </is>
      </c>
      <c r="BB1214" t="inlineStr">
        <is>
          <t>9780887250774</t>
        </is>
      </c>
      <c r="BC1214" t="inlineStr">
        <is>
          <t>32285000175595</t>
        </is>
      </c>
      <c r="BD1214" t="inlineStr">
        <is>
          <t>893432594</t>
        </is>
      </c>
    </row>
    <row r="1215">
      <c r="A1215" t="inlineStr">
        <is>
          <t>No</t>
        </is>
      </c>
      <c r="B1215" t="inlineStr">
        <is>
          <t>GV1147 .N3 1994</t>
        </is>
      </c>
      <c r="C1215" t="inlineStr">
        <is>
          <t>0                      GV 1147000N  3           1994</t>
        </is>
      </c>
      <c r="D1215" t="inlineStr">
        <is>
          <t>On fencing / by Aldo Nadi ; foreword by Paul Gallico ; new foreword by Lance C. Lobo.</t>
        </is>
      </c>
      <c r="F1215" t="inlineStr">
        <is>
          <t>No</t>
        </is>
      </c>
      <c r="G1215" t="inlineStr">
        <is>
          <t>1</t>
        </is>
      </c>
      <c r="H1215" t="inlineStr">
        <is>
          <t>No</t>
        </is>
      </c>
      <c r="I1215" t="inlineStr">
        <is>
          <t>No</t>
        </is>
      </c>
      <c r="J1215" t="inlineStr">
        <is>
          <t>0</t>
        </is>
      </c>
      <c r="K1215" t="inlineStr">
        <is>
          <t>Nadi, Aldo, 1899-1965.</t>
        </is>
      </c>
      <c r="L1215" t="inlineStr">
        <is>
          <t>Sunrise, Fla. : Laureate Press, 1994.</t>
        </is>
      </c>
      <c r="M1215" t="inlineStr">
        <is>
          <t>1943</t>
        </is>
      </c>
      <c r="O1215" t="inlineStr">
        <is>
          <t>eng</t>
        </is>
      </c>
      <c r="P1215" t="inlineStr">
        <is>
          <t>flu</t>
        </is>
      </c>
      <c r="R1215" t="inlineStr">
        <is>
          <t xml:space="preserve">GV </t>
        </is>
      </c>
      <c r="S1215" t="n">
        <v>4</v>
      </c>
      <c r="T1215" t="n">
        <v>4</v>
      </c>
      <c r="U1215" t="inlineStr">
        <is>
          <t>1997-02-27</t>
        </is>
      </c>
      <c r="V1215" t="inlineStr">
        <is>
          <t>1997-02-27</t>
        </is>
      </c>
      <c r="W1215" t="inlineStr">
        <is>
          <t>1994-05-11</t>
        </is>
      </c>
      <c r="X1215" t="inlineStr">
        <is>
          <t>1994-05-11</t>
        </is>
      </c>
      <c r="Y1215" t="n">
        <v>54</v>
      </c>
      <c r="Z1215" t="n">
        <v>54</v>
      </c>
      <c r="AA1215" t="n">
        <v>230</v>
      </c>
      <c r="AB1215" t="n">
        <v>1</v>
      </c>
      <c r="AC1215" t="n">
        <v>3</v>
      </c>
      <c r="AD1215" t="n">
        <v>1</v>
      </c>
      <c r="AE1215" t="n">
        <v>4</v>
      </c>
      <c r="AF1215" t="n">
        <v>0</v>
      </c>
      <c r="AG1215" t="n">
        <v>1</v>
      </c>
      <c r="AH1215" t="n">
        <v>1</v>
      </c>
      <c r="AI1215" t="n">
        <v>2</v>
      </c>
      <c r="AJ1215" t="n">
        <v>0</v>
      </c>
      <c r="AK1215" t="n">
        <v>1</v>
      </c>
      <c r="AL1215" t="n">
        <v>0</v>
      </c>
      <c r="AM1215" t="n">
        <v>1</v>
      </c>
      <c r="AN1215" t="n">
        <v>0</v>
      </c>
      <c r="AO1215" t="n">
        <v>0</v>
      </c>
      <c r="AP1215" t="inlineStr">
        <is>
          <t>No</t>
        </is>
      </c>
      <c r="AQ1215" t="inlineStr">
        <is>
          <t>No</t>
        </is>
      </c>
      <c r="AS1215">
        <f>HYPERLINK("https://creighton-primo.hosted.exlibrisgroup.com/primo-explore/search?tab=default_tab&amp;search_scope=EVERYTHING&amp;vid=01CRU&amp;lang=en_US&amp;offset=0&amp;query=any,contains,991002334399702656","Catalog Record")</f>
        <v/>
      </c>
      <c r="AT1215">
        <f>HYPERLINK("http://www.worldcat.org/oclc/30397216","WorldCat Record")</f>
        <v/>
      </c>
      <c r="AU1215" t="inlineStr">
        <is>
          <t>2208465:eng</t>
        </is>
      </c>
      <c r="AV1215" t="inlineStr">
        <is>
          <t>30397216</t>
        </is>
      </c>
      <c r="AW1215" t="inlineStr">
        <is>
          <t>991002334399702656</t>
        </is>
      </c>
      <c r="AX1215" t="inlineStr">
        <is>
          <t>991002334399702656</t>
        </is>
      </c>
      <c r="AY1215" t="inlineStr">
        <is>
          <t>2269113810002656</t>
        </is>
      </c>
      <c r="AZ1215" t="inlineStr">
        <is>
          <t>BOOK</t>
        </is>
      </c>
      <c r="BB1215" t="inlineStr">
        <is>
          <t>9781884528040</t>
        </is>
      </c>
      <c r="BC1215" t="inlineStr">
        <is>
          <t>32285001415321</t>
        </is>
      </c>
      <c r="BD1215" t="inlineStr">
        <is>
          <t>893691500</t>
        </is>
      </c>
    </row>
    <row r="1216">
      <c r="A1216" t="inlineStr">
        <is>
          <t>No</t>
        </is>
      </c>
      <c r="B1216" t="inlineStr">
        <is>
          <t>GV1157.O3 R55 1994</t>
        </is>
      </c>
      <c r="C1216" t="inlineStr">
        <is>
          <t>0                      GV 1157000O  3                  R  55          1994</t>
        </is>
      </c>
      <c r="D1216" t="inlineStr">
        <is>
          <t>The life and legacy of Annie Oakley / by Glenda Riley.</t>
        </is>
      </c>
      <c r="F1216" t="inlineStr">
        <is>
          <t>No</t>
        </is>
      </c>
      <c r="G1216" t="inlineStr">
        <is>
          <t>1</t>
        </is>
      </c>
      <c r="H1216" t="inlineStr">
        <is>
          <t>No</t>
        </is>
      </c>
      <c r="I1216" t="inlineStr">
        <is>
          <t>No</t>
        </is>
      </c>
      <c r="J1216" t="inlineStr">
        <is>
          <t>0</t>
        </is>
      </c>
      <c r="K1216" t="inlineStr">
        <is>
          <t>Riley, Glenda, 1938-</t>
        </is>
      </c>
      <c r="L1216" t="inlineStr">
        <is>
          <t>Norman : University of Oklahoma Press, c1994.</t>
        </is>
      </c>
      <c r="M1216" t="inlineStr">
        <is>
          <t>1994</t>
        </is>
      </c>
      <c r="O1216" t="inlineStr">
        <is>
          <t>eng</t>
        </is>
      </c>
      <c r="P1216" t="inlineStr">
        <is>
          <t>oku</t>
        </is>
      </c>
      <c r="Q1216" t="inlineStr">
        <is>
          <t>The Oklahoma western biographies ; v. 7</t>
        </is>
      </c>
      <c r="R1216" t="inlineStr">
        <is>
          <t xml:space="preserve">GV </t>
        </is>
      </c>
      <c r="S1216" t="n">
        <v>10</v>
      </c>
      <c r="T1216" t="n">
        <v>10</v>
      </c>
      <c r="U1216" t="inlineStr">
        <is>
          <t>2001-03-19</t>
        </is>
      </c>
      <c r="V1216" t="inlineStr">
        <is>
          <t>2001-03-19</t>
        </is>
      </c>
      <c r="W1216" t="inlineStr">
        <is>
          <t>1995-11-27</t>
        </is>
      </c>
      <c r="X1216" t="inlineStr">
        <is>
          <t>1995-11-27</t>
        </is>
      </c>
      <c r="Y1216" t="n">
        <v>1025</v>
      </c>
      <c r="Z1216" t="n">
        <v>980</v>
      </c>
      <c r="AA1216" t="n">
        <v>1386</v>
      </c>
      <c r="AB1216" t="n">
        <v>15</v>
      </c>
      <c r="AC1216" t="n">
        <v>18</v>
      </c>
      <c r="AD1216" t="n">
        <v>32</v>
      </c>
      <c r="AE1216" t="n">
        <v>41</v>
      </c>
      <c r="AF1216" t="n">
        <v>9</v>
      </c>
      <c r="AG1216" t="n">
        <v>16</v>
      </c>
      <c r="AH1216" t="n">
        <v>7</v>
      </c>
      <c r="AI1216" t="n">
        <v>9</v>
      </c>
      <c r="AJ1216" t="n">
        <v>15</v>
      </c>
      <c r="AK1216" t="n">
        <v>16</v>
      </c>
      <c r="AL1216" t="n">
        <v>9</v>
      </c>
      <c r="AM1216" t="n">
        <v>11</v>
      </c>
      <c r="AN1216" t="n">
        <v>0</v>
      </c>
      <c r="AO1216" t="n">
        <v>0</v>
      </c>
      <c r="AP1216" t="inlineStr">
        <is>
          <t>No</t>
        </is>
      </c>
      <c r="AQ1216" t="inlineStr">
        <is>
          <t>No</t>
        </is>
      </c>
      <c r="AS1216">
        <f>HYPERLINK("https://creighton-primo.hosted.exlibrisgroup.com/primo-explore/search?tab=default_tab&amp;search_scope=EVERYTHING&amp;vid=01CRU&amp;lang=en_US&amp;offset=0&amp;query=any,contains,991002317769702656","Catalog Record")</f>
        <v/>
      </c>
      <c r="AT1216">
        <f>HYPERLINK("http://www.worldcat.org/oclc/30072342","WorldCat Record")</f>
        <v/>
      </c>
      <c r="AU1216" t="inlineStr">
        <is>
          <t>1004478:eng</t>
        </is>
      </c>
      <c r="AV1216" t="inlineStr">
        <is>
          <t>30072342</t>
        </is>
      </c>
      <c r="AW1216" t="inlineStr">
        <is>
          <t>991002317769702656</t>
        </is>
      </c>
      <c r="AX1216" t="inlineStr">
        <is>
          <t>991002317769702656</t>
        </is>
      </c>
      <c r="AY1216" t="inlineStr">
        <is>
          <t>2259802670002656</t>
        </is>
      </c>
      <c r="AZ1216" t="inlineStr">
        <is>
          <t>BOOK</t>
        </is>
      </c>
      <c r="BB1216" t="inlineStr">
        <is>
          <t>9780806126562</t>
        </is>
      </c>
      <c r="BC1216" t="inlineStr">
        <is>
          <t>32285002106598</t>
        </is>
      </c>
      <c r="BD1216" t="inlineStr">
        <is>
          <t>893591214</t>
        </is>
      </c>
    </row>
    <row r="1217">
      <c r="A1217" t="inlineStr">
        <is>
          <t>No</t>
        </is>
      </c>
      <c r="B1217" t="inlineStr">
        <is>
          <t>GV1195 .M4</t>
        </is>
      </c>
      <c r="C1217" t="inlineStr">
        <is>
          <t>0                      GV 1195000M  4</t>
        </is>
      </c>
      <c r="D1217" t="inlineStr">
        <is>
          <t>Wrestling, from antiquity to date / by John C. Meyers.</t>
        </is>
      </c>
      <c r="F1217" t="inlineStr">
        <is>
          <t>No</t>
        </is>
      </c>
      <c r="G1217" t="inlineStr">
        <is>
          <t>1</t>
        </is>
      </c>
      <c r="H1217" t="inlineStr">
        <is>
          <t>No</t>
        </is>
      </c>
      <c r="I1217" t="inlineStr">
        <is>
          <t>No</t>
        </is>
      </c>
      <c r="J1217" t="inlineStr">
        <is>
          <t>0</t>
        </is>
      </c>
      <c r="K1217" t="inlineStr">
        <is>
          <t>Meyers, John C.</t>
        </is>
      </c>
      <c r="L1217" t="inlineStr">
        <is>
          <t>St. Louis : The author, 1931.</t>
        </is>
      </c>
      <c r="M1217" t="inlineStr">
        <is>
          <t>1931</t>
        </is>
      </c>
      <c r="O1217" t="inlineStr">
        <is>
          <t>eng</t>
        </is>
      </c>
      <c r="P1217" t="inlineStr">
        <is>
          <t>mou</t>
        </is>
      </c>
      <c r="R1217" t="inlineStr">
        <is>
          <t xml:space="preserve">GV </t>
        </is>
      </c>
      <c r="S1217" t="n">
        <v>7</v>
      </c>
      <c r="T1217" t="n">
        <v>7</v>
      </c>
      <c r="U1217" t="inlineStr">
        <is>
          <t>2006-08-25</t>
        </is>
      </c>
      <c r="V1217" t="inlineStr">
        <is>
          <t>2006-08-25</t>
        </is>
      </c>
      <c r="W1217" t="inlineStr">
        <is>
          <t>1991-09-16</t>
        </is>
      </c>
      <c r="X1217" t="inlineStr">
        <is>
          <t>1991-09-16</t>
        </is>
      </c>
      <c r="Y1217" t="n">
        <v>27</v>
      </c>
      <c r="Z1217" t="n">
        <v>27</v>
      </c>
      <c r="AA1217" t="n">
        <v>27</v>
      </c>
      <c r="AB1217" t="n">
        <v>2</v>
      </c>
      <c r="AC1217" t="n">
        <v>2</v>
      </c>
      <c r="AD1217" t="n">
        <v>1</v>
      </c>
      <c r="AE1217" t="n">
        <v>1</v>
      </c>
      <c r="AF1217" t="n">
        <v>0</v>
      </c>
      <c r="AG1217" t="n">
        <v>0</v>
      </c>
      <c r="AH1217" t="n">
        <v>0</v>
      </c>
      <c r="AI1217" t="n">
        <v>0</v>
      </c>
      <c r="AJ1217" t="n">
        <v>0</v>
      </c>
      <c r="AK1217" t="n">
        <v>0</v>
      </c>
      <c r="AL1217" t="n">
        <v>1</v>
      </c>
      <c r="AM1217" t="n">
        <v>1</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HYPERLINK("https://creighton-primo.hosted.exlibrisgroup.com/primo-explore/search?tab=default_tab&amp;search_scope=EVERYTHING&amp;vid=01CRU&amp;lang=en_US&amp;offset=0&amp;query=any,contains,991004701549702656","Catalog Record")</f>
        <v/>
      </c>
      <c r="AT1217">
        <f>HYPERLINK("http://www.worldcat.org/oclc/4669252","WorldCat Record")</f>
        <v/>
      </c>
      <c r="AU1217" t="inlineStr">
        <is>
          <t>14856011:eng</t>
        </is>
      </c>
      <c r="AV1217" t="inlineStr">
        <is>
          <t>4669252</t>
        </is>
      </c>
      <c r="AW1217" t="inlineStr">
        <is>
          <t>991004701549702656</t>
        </is>
      </c>
      <c r="AX1217" t="inlineStr">
        <is>
          <t>991004701549702656</t>
        </is>
      </c>
      <c r="AY1217" t="inlineStr">
        <is>
          <t>2259300460002656</t>
        </is>
      </c>
      <c r="AZ1217" t="inlineStr">
        <is>
          <t>BOOK</t>
        </is>
      </c>
      <c r="BC1217" t="inlineStr">
        <is>
          <t>32285000737683</t>
        </is>
      </c>
      <c r="BD1217" t="inlineStr">
        <is>
          <t>893719256</t>
        </is>
      </c>
    </row>
    <row r="1218">
      <c r="A1218" t="inlineStr">
        <is>
          <t>No</t>
        </is>
      </c>
      <c r="B1218" t="inlineStr">
        <is>
          <t>GV1196.F59 A3 2004</t>
        </is>
      </c>
      <c r="C1218" t="inlineStr">
        <is>
          <t>0                      GV 1196000F  59                 A  3           2004</t>
        </is>
      </c>
      <c r="D1218" t="inlineStr">
        <is>
          <t>Ric Flair : to be the man / Ric Flair with Keith Elliot Greenberg ; edited by Mark Madden.</t>
        </is>
      </c>
      <c r="F1218" t="inlineStr">
        <is>
          <t>No</t>
        </is>
      </c>
      <c r="G1218" t="inlineStr">
        <is>
          <t>1</t>
        </is>
      </c>
      <c r="H1218" t="inlineStr">
        <is>
          <t>No</t>
        </is>
      </c>
      <c r="I1218" t="inlineStr">
        <is>
          <t>No</t>
        </is>
      </c>
      <c r="J1218" t="inlineStr">
        <is>
          <t>0</t>
        </is>
      </c>
      <c r="K1218" t="inlineStr">
        <is>
          <t>Flair, Ric, 1949-</t>
        </is>
      </c>
      <c r="L1218" t="inlineStr">
        <is>
          <t>New York : Pocket Books, 2004.</t>
        </is>
      </c>
      <c r="M1218" t="inlineStr">
        <is>
          <t>2004</t>
        </is>
      </c>
      <c r="N1218" t="inlineStr">
        <is>
          <t>1st Pocket Books hardcover ed.</t>
        </is>
      </c>
      <c r="O1218" t="inlineStr">
        <is>
          <t>eng</t>
        </is>
      </c>
      <c r="P1218" t="inlineStr">
        <is>
          <t>nyu</t>
        </is>
      </c>
      <c r="R1218" t="inlineStr">
        <is>
          <t xml:space="preserve">GV </t>
        </is>
      </c>
      <c r="S1218" t="n">
        <v>5</v>
      </c>
      <c r="T1218" t="n">
        <v>5</v>
      </c>
      <c r="U1218" t="inlineStr">
        <is>
          <t>2010-06-13</t>
        </is>
      </c>
      <c r="V1218" t="inlineStr">
        <is>
          <t>2010-06-13</t>
        </is>
      </c>
      <c r="W1218" t="inlineStr">
        <is>
          <t>2004-08-30</t>
        </is>
      </c>
      <c r="X1218" t="inlineStr">
        <is>
          <t>2004-08-30</t>
        </is>
      </c>
      <c r="Y1218" t="n">
        <v>573</v>
      </c>
      <c r="Z1218" t="n">
        <v>549</v>
      </c>
      <c r="AA1218" t="n">
        <v>591</v>
      </c>
      <c r="AB1218" t="n">
        <v>6</v>
      </c>
      <c r="AC1218" t="n">
        <v>6</v>
      </c>
      <c r="AD1218" t="n">
        <v>0</v>
      </c>
      <c r="AE1218" t="n">
        <v>0</v>
      </c>
      <c r="AF1218" t="n">
        <v>0</v>
      </c>
      <c r="AG1218" t="n">
        <v>0</v>
      </c>
      <c r="AH1218" t="n">
        <v>0</v>
      </c>
      <c r="AI1218" t="n">
        <v>0</v>
      </c>
      <c r="AJ1218" t="n">
        <v>0</v>
      </c>
      <c r="AK1218" t="n">
        <v>0</v>
      </c>
      <c r="AL1218" t="n">
        <v>0</v>
      </c>
      <c r="AM1218" t="n">
        <v>0</v>
      </c>
      <c r="AN1218" t="n">
        <v>0</v>
      </c>
      <c r="AO1218" t="n">
        <v>0</v>
      </c>
      <c r="AP1218" t="inlineStr">
        <is>
          <t>No</t>
        </is>
      </c>
      <c r="AQ1218" t="inlineStr">
        <is>
          <t>No</t>
        </is>
      </c>
      <c r="AS1218">
        <f>HYPERLINK("https://creighton-primo.hosted.exlibrisgroup.com/primo-explore/search?tab=default_tab&amp;search_scope=EVERYTHING&amp;vid=01CRU&amp;lang=en_US&amp;offset=0&amp;query=any,contains,991004356699702656","Catalog Record")</f>
        <v/>
      </c>
      <c r="AT1218">
        <f>HYPERLINK("http://www.worldcat.org/oclc/55518495","WorldCat Record")</f>
        <v/>
      </c>
      <c r="AU1218" t="inlineStr">
        <is>
          <t>6155:eng</t>
        </is>
      </c>
      <c r="AV1218" t="inlineStr">
        <is>
          <t>55518495</t>
        </is>
      </c>
      <c r="AW1218" t="inlineStr">
        <is>
          <t>991004356699702656</t>
        </is>
      </c>
      <c r="AX1218" t="inlineStr">
        <is>
          <t>991004356699702656</t>
        </is>
      </c>
      <c r="AY1218" t="inlineStr">
        <is>
          <t>2265962540002656</t>
        </is>
      </c>
      <c r="AZ1218" t="inlineStr">
        <is>
          <t>BOOK</t>
        </is>
      </c>
      <c r="BB1218" t="inlineStr">
        <is>
          <t>9780743456913</t>
        </is>
      </c>
      <c r="BC1218" t="inlineStr">
        <is>
          <t>32285004983879</t>
        </is>
      </c>
      <c r="BD1218" t="inlineStr">
        <is>
          <t>893411432</t>
        </is>
      </c>
    </row>
    <row r="1219">
      <c r="A1219" t="inlineStr">
        <is>
          <t>No</t>
        </is>
      </c>
      <c r="B1219" t="inlineStr">
        <is>
          <t>GV1197 .B83 1994</t>
        </is>
      </c>
      <c r="C1219" t="inlineStr">
        <is>
          <t>0                      GV 1197000B  83          1994</t>
        </is>
      </c>
      <c r="D1219" t="inlineStr">
        <is>
          <t>The essential guide to sumo / Dorothea N. Buckingham.</t>
        </is>
      </c>
      <c r="F1219" t="inlineStr">
        <is>
          <t>No</t>
        </is>
      </c>
      <c r="G1219" t="inlineStr">
        <is>
          <t>1</t>
        </is>
      </c>
      <c r="H1219" t="inlineStr">
        <is>
          <t>No</t>
        </is>
      </c>
      <c r="I1219" t="inlineStr">
        <is>
          <t>No</t>
        </is>
      </c>
      <c r="J1219" t="inlineStr">
        <is>
          <t>0</t>
        </is>
      </c>
      <c r="K1219" t="inlineStr">
        <is>
          <t>Buckingham, Dorothea N.</t>
        </is>
      </c>
      <c r="L1219" t="inlineStr">
        <is>
          <t>Honolulu, Hawaii : Bess Press, c1994.</t>
        </is>
      </c>
      <c r="M1219" t="inlineStr">
        <is>
          <t>1994</t>
        </is>
      </c>
      <c r="O1219" t="inlineStr">
        <is>
          <t>eng</t>
        </is>
      </c>
      <c r="P1219" t="inlineStr">
        <is>
          <t>hiu</t>
        </is>
      </c>
      <c r="R1219" t="inlineStr">
        <is>
          <t xml:space="preserve">GV </t>
        </is>
      </c>
      <c r="S1219" t="n">
        <v>11</v>
      </c>
      <c r="T1219" t="n">
        <v>11</v>
      </c>
      <c r="U1219" t="inlineStr">
        <is>
          <t>2005-02-13</t>
        </is>
      </c>
      <c r="V1219" t="inlineStr">
        <is>
          <t>2005-02-13</t>
        </is>
      </c>
      <c r="W1219" t="inlineStr">
        <is>
          <t>1997-01-09</t>
        </is>
      </c>
      <c r="X1219" t="inlineStr">
        <is>
          <t>1997-01-09</t>
        </is>
      </c>
      <c r="Y1219" t="n">
        <v>79</v>
      </c>
      <c r="Z1219" t="n">
        <v>73</v>
      </c>
      <c r="AA1219" t="n">
        <v>78</v>
      </c>
      <c r="AB1219" t="n">
        <v>1</v>
      </c>
      <c r="AC1219" t="n">
        <v>1</v>
      </c>
      <c r="AD1219" t="n">
        <v>0</v>
      </c>
      <c r="AE1219" t="n">
        <v>0</v>
      </c>
      <c r="AF1219" t="n">
        <v>0</v>
      </c>
      <c r="AG1219" t="n">
        <v>0</v>
      </c>
      <c r="AH1219" t="n">
        <v>0</v>
      </c>
      <c r="AI1219" t="n">
        <v>0</v>
      </c>
      <c r="AJ1219" t="n">
        <v>0</v>
      </c>
      <c r="AK1219" t="n">
        <v>0</v>
      </c>
      <c r="AL1219" t="n">
        <v>0</v>
      </c>
      <c r="AM1219" t="n">
        <v>0</v>
      </c>
      <c r="AN1219" t="n">
        <v>0</v>
      </c>
      <c r="AO1219" t="n">
        <v>0</v>
      </c>
      <c r="AP1219" t="inlineStr">
        <is>
          <t>No</t>
        </is>
      </c>
      <c r="AQ1219" t="inlineStr">
        <is>
          <t>No</t>
        </is>
      </c>
      <c r="AS1219">
        <f>HYPERLINK("https://creighton-primo.hosted.exlibrisgroup.com/primo-explore/search?tab=default_tab&amp;search_scope=EVERYTHING&amp;vid=01CRU&amp;lang=en_US&amp;offset=0&amp;query=any,contains,991002391549702656","Catalog Record")</f>
        <v/>
      </c>
      <c r="AT1219">
        <f>HYPERLINK("http://www.worldcat.org/oclc/31054433","WorldCat Record")</f>
        <v/>
      </c>
      <c r="AU1219" t="inlineStr">
        <is>
          <t>5086282094:eng</t>
        </is>
      </c>
      <c r="AV1219" t="inlineStr">
        <is>
          <t>31054433</t>
        </is>
      </c>
      <c r="AW1219" t="inlineStr">
        <is>
          <t>991002391549702656</t>
        </is>
      </c>
      <c r="AX1219" t="inlineStr">
        <is>
          <t>991002391549702656</t>
        </is>
      </c>
      <c r="AY1219" t="inlineStr">
        <is>
          <t>2266436870002656</t>
        </is>
      </c>
      <c r="AZ1219" t="inlineStr">
        <is>
          <t>BOOK</t>
        </is>
      </c>
      <c r="BB1219" t="inlineStr">
        <is>
          <t>9781880188804</t>
        </is>
      </c>
      <c r="BC1219" t="inlineStr">
        <is>
          <t>32285002405818</t>
        </is>
      </c>
      <c r="BD1219" t="inlineStr">
        <is>
          <t>893415140</t>
        </is>
      </c>
    </row>
    <row r="1220">
      <c r="A1220" t="inlineStr">
        <is>
          <t>No</t>
        </is>
      </c>
      <c r="B1220" t="inlineStr">
        <is>
          <t>GV1197 .K83</t>
        </is>
      </c>
      <c r="C1220" t="inlineStr">
        <is>
          <t>0                      GV 1197000K  83</t>
        </is>
      </c>
      <c r="D1220" t="inlineStr">
        <is>
          <t>Takamiyama : the world of Sumo / Jesse Kuhaulua ; with John Wheeler; photographs by D. Turner Givens.</t>
        </is>
      </c>
      <c r="F1220" t="inlineStr">
        <is>
          <t>No</t>
        </is>
      </c>
      <c r="G1220" t="inlineStr">
        <is>
          <t>1</t>
        </is>
      </c>
      <c r="H1220" t="inlineStr">
        <is>
          <t>No</t>
        </is>
      </c>
      <c r="I1220" t="inlineStr">
        <is>
          <t>No</t>
        </is>
      </c>
      <c r="J1220" t="inlineStr">
        <is>
          <t>0</t>
        </is>
      </c>
      <c r="K1220" t="inlineStr">
        <is>
          <t>Takamiyama, Daigorō, 1944-</t>
        </is>
      </c>
      <c r="L1220" t="inlineStr">
        <is>
          <t>Tokyo ; New York : Kodansha International, 1973.</t>
        </is>
      </c>
      <c r="M1220" t="inlineStr">
        <is>
          <t>1973</t>
        </is>
      </c>
      <c r="O1220" t="inlineStr">
        <is>
          <t>eng</t>
        </is>
      </c>
      <c r="P1220" t="inlineStr">
        <is>
          <t xml:space="preserve">ja </t>
        </is>
      </c>
      <c r="R1220" t="inlineStr">
        <is>
          <t xml:space="preserve">GV </t>
        </is>
      </c>
      <c r="S1220" t="n">
        <v>11</v>
      </c>
      <c r="T1220" t="n">
        <v>11</v>
      </c>
      <c r="U1220" t="inlineStr">
        <is>
          <t>2005-04-13</t>
        </is>
      </c>
      <c r="V1220" t="inlineStr">
        <is>
          <t>2005-04-13</t>
        </is>
      </c>
      <c r="W1220" t="inlineStr">
        <is>
          <t>1990-11-01</t>
        </is>
      </c>
      <c r="X1220" t="inlineStr">
        <is>
          <t>1990-11-01</t>
        </is>
      </c>
      <c r="Y1220" t="n">
        <v>230</v>
      </c>
      <c r="Z1220" t="n">
        <v>205</v>
      </c>
      <c r="AA1220" t="n">
        <v>209</v>
      </c>
      <c r="AB1220" t="n">
        <v>2</v>
      </c>
      <c r="AC1220" t="n">
        <v>2</v>
      </c>
      <c r="AD1220" t="n">
        <v>7</v>
      </c>
      <c r="AE1220" t="n">
        <v>7</v>
      </c>
      <c r="AF1220" t="n">
        <v>3</v>
      </c>
      <c r="AG1220" t="n">
        <v>3</v>
      </c>
      <c r="AH1220" t="n">
        <v>2</v>
      </c>
      <c r="AI1220" t="n">
        <v>2</v>
      </c>
      <c r="AJ1220" t="n">
        <v>3</v>
      </c>
      <c r="AK1220" t="n">
        <v>3</v>
      </c>
      <c r="AL1220" t="n">
        <v>1</v>
      </c>
      <c r="AM1220" t="n">
        <v>1</v>
      </c>
      <c r="AN1220" t="n">
        <v>0</v>
      </c>
      <c r="AO1220" t="n">
        <v>0</v>
      </c>
      <c r="AP1220" t="inlineStr">
        <is>
          <t>No</t>
        </is>
      </c>
      <c r="AQ1220" t="inlineStr">
        <is>
          <t>No</t>
        </is>
      </c>
      <c r="AS1220">
        <f>HYPERLINK("https://creighton-primo.hosted.exlibrisgroup.com/primo-explore/search?tab=default_tab&amp;search_scope=EVERYTHING&amp;vid=01CRU&amp;lang=en_US&amp;offset=0&amp;query=any,contains,991003654469702656","Catalog Record")</f>
        <v/>
      </c>
      <c r="AT1220">
        <f>HYPERLINK("http://www.worldcat.org/oclc/1258214","WorldCat Record")</f>
        <v/>
      </c>
      <c r="AU1220" t="inlineStr">
        <is>
          <t>504672327:eng</t>
        </is>
      </c>
      <c r="AV1220" t="inlineStr">
        <is>
          <t>1258214</t>
        </is>
      </c>
      <c r="AW1220" t="inlineStr">
        <is>
          <t>991003654469702656</t>
        </is>
      </c>
      <c r="AX1220" t="inlineStr">
        <is>
          <t>991003654469702656</t>
        </is>
      </c>
      <c r="AY1220" t="inlineStr">
        <is>
          <t>2259473610002656</t>
        </is>
      </c>
      <c r="AZ1220" t="inlineStr">
        <is>
          <t>BOOK</t>
        </is>
      </c>
      <c r="BB1220" t="inlineStr">
        <is>
          <t>9780870111952</t>
        </is>
      </c>
      <c r="BC1220" t="inlineStr">
        <is>
          <t>32285000385038</t>
        </is>
      </c>
      <c r="BD1220" t="inlineStr">
        <is>
          <t>893705472</t>
        </is>
      </c>
    </row>
    <row r="1221">
      <c r="A1221" t="inlineStr">
        <is>
          <t>No</t>
        </is>
      </c>
      <c r="B1221" t="inlineStr">
        <is>
          <t>GV1201 .A85 1983</t>
        </is>
      </c>
      <c r="C1221" t="inlineStr">
        <is>
          <t>0                      GV 1201000A  85          1983</t>
        </is>
      </c>
      <c r="D1221" t="inlineStr">
        <is>
          <t>The world of play : proceedings of the 7th Annual Meeting of the Association of the Anthropological Study of Play / edited by Frank E. Manning.</t>
        </is>
      </c>
      <c r="F1221" t="inlineStr">
        <is>
          <t>No</t>
        </is>
      </c>
      <c r="G1221" t="inlineStr">
        <is>
          <t>1</t>
        </is>
      </c>
      <c r="H1221" t="inlineStr">
        <is>
          <t>No</t>
        </is>
      </c>
      <c r="I1221" t="inlineStr">
        <is>
          <t>No</t>
        </is>
      </c>
      <c r="J1221" t="inlineStr">
        <is>
          <t>0</t>
        </is>
      </c>
      <c r="K1221" t="inlineStr">
        <is>
          <t>Association for the Anthropological Study of Play. Meeting (7th : 1981 : Fort Worth, Tex.)</t>
        </is>
      </c>
      <c r="L1221" t="inlineStr">
        <is>
          <t>West Point, N.Y. : Leisure Press, c1983.</t>
        </is>
      </c>
      <c r="M1221" t="inlineStr">
        <is>
          <t>1983</t>
        </is>
      </c>
      <c r="O1221" t="inlineStr">
        <is>
          <t>eng</t>
        </is>
      </c>
      <c r="P1221" t="inlineStr">
        <is>
          <t>nyu</t>
        </is>
      </c>
      <c r="R1221" t="inlineStr">
        <is>
          <t xml:space="preserve">GV </t>
        </is>
      </c>
      <c r="S1221" t="n">
        <v>1</v>
      </c>
      <c r="T1221" t="n">
        <v>1</v>
      </c>
      <c r="U1221" t="inlineStr">
        <is>
          <t>2004-09-28</t>
        </is>
      </c>
      <c r="V1221" t="inlineStr">
        <is>
          <t>2004-09-28</t>
        </is>
      </c>
      <c r="W1221" t="inlineStr">
        <is>
          <t>1990-11-01</t>
        </is>
      </c>
      <c r="X1221" t="inlineStr">
        <is>
          <t>1990-11-01</t>
        </is>
      </c>
      <c r="Y1221" t="n">
        <v>309</v>
      </c>
      <c r="Z1221" t="n">
        <v>240</v>
      </c>
      <c r="AA1221" t="n">
        <v>248</v>
      </c>
      <c r="AB1221" t="n">
        <v>5</v>
      </c>
      <c r="AC1221" t="n">
        <v>5</v>
      </c>
      <c r="AD1221" t="n">
        <v>9</v>
      </c>
      <c r="AE1221" t="n">
        <v>9</v>
      </c>
      <c r="AF1221" t="n">
        <v>2</v>
      </c>
      <c r="AG1221" t="n">
        <v>2</v>
      </c>
      <c r="AH1221" t="n">
        <v>2</v>
      </c>
      <c r="AI1221" t="n">
        <v>2</v>
      </c>
      <c r="AJ1221" t="n">
        <v>2</v>
      </c>
      <c r="AK1221" t="n">
        <v>2</v>
      </c>
      <c r="AL1221" t="n">
        <v>4</v>
      </c>
      <c r="AM1221" t="n">
        <v>4</v>
      </c>
      <c r="AN1221" t="n">
        <v>0</v>
      </c>
      <c r="AO1221" t="n">
        <v>0</v>
      </c>
      <c r="AP1221" t="inlineStr">
        <is>
          <t>No</t>
        </is>
      </c>
      <c r="AQ1221" t="inlineStr">
        <is>
          <t>Yes</t>
        </is>
      </c>
      <c r="AR1221">
        <f>HYPERLINK("http://catalog.hathitrust.org/Record/007118824","HathiTrust Record")</f>
        <v/>
      </c>
      <c r="AS1221">
        <f>HYPERLINK("https://creighton-primo.hosted.exlibrisgroup.com/primo-explore/search?tab=default_tab&amp;search_scope=EVERYTHING&amp;vid=01CRU&amp;lang=en_US&amp;offset=0&amp;query=any,contains,991000159699702656","Catalog Record")</f>
        <v/>
      </c>
      <c r="AT1221">
        <f>HYPERLINK("http://www.worldcat.org/oclc/9260890","WorldCat Record")</f>
        <v/>
      </c>
      <c r="AU1221" t="inlineStr">
        <is>
          <t>859596114:eng</t>
        </is>
      </c>
      <c r="AV1221" t="inlineStr">
        <is>
          <t>9260890</t>
        </is>
      </c>
      <c r="AW1221" t="inlineStr">
        <is>
          <t>991000159699702656</t>
        </is>
      </c>
      <c r="AX1221" t="inlineStr">
        <is>
          <t>991000159699702656</t>
        </is>
      </c>
      <c r="AY1221" t="inlineStr">
        <is>
          <t>2266100570002656</t>
        </is>
      </c>
      <c r="AZ1221" t="inlineStr">
        <is>
          <t>BOOK</t>
        </is>
      </c>
      <c r="BB1221" t="inlineStr">
        <is>
          <t>9780880110594</t>
        </is>
      </c>
      <c r="BC1221" t="inlineStr">
        <is>
          <t>32285000385046</t>
        </is>
      </c>
      <c r="BD1221" t="inlineStr">
        <is>
          <t>893502298</t>
        </is>
      </c>
    </row>
    <row r="1222">
      <c r="A1222" t="inlineStr">
        <is>
          <t>No</t>
        </is>
      </c>
      <c r="B1222" t="inlineStr">
        <is>
          <t>GV1201 .B23 2001</t>
        </is>
      </c>
      <c r="C1222" t="inlineStr">
        <is>
          <t>0                      GV 1201000B  23          2001</t>
        </is>
      </c>
      <c r="D1222" t="inlineStr">
        <is>
          <t>The ultimate playground &amp; recess game book / Guy Bailey ; illustrated by Cynthia Wilson.</t>
        </is>
      </c>
      <c r="F1222" t="inlineStr">
        <is>
          <t>No</t>
        </is>
      </c>
      <c r="G1222" t="inlineStr">
        <is>
          <t>1</t>
        </is>
      </c>
      <c r="H1222" t="inlineStr">
        <is>
          <t>No</t>
        </is>
      </c>
      <c r="I1222" t="inlineStr">
        <is>
          <t>No</t>
        </is>
      </c>
      <c r="J1222" t="inlineStr">
        <is>
          <t>0</t>
        </is>
      </c>
      <c r="K1222" t="inlineStr">
        <is>
          <t>Bailey, Guy, 1956-</t>
        </is>
      </c>
      <c r="L1222" t="inlineStr">
        <is>
          <t>Camas, WA : Educators Press, c2001.</t>
        </is>
      </c>
      <c r="M1222" t="inlineStr">
        <is>
          <t>2001</t>
        </is>
      </c>
      <c r="O1222" t="inlineStr">
        <is>
          <t>eng</t>
        </is>
      </c>
      <c r="P1222" t="inlineStr">
        <is>
          <t>wau</t>
        </is>
      </c>
      <c r="R1222" t="inlineStr">
        <is>
          <t xml:space="preserve">GV </t>
        </is>
      </c>
      <c r="S1222" t="n">
        <v>2</v>
      </c>
      <c r="T1222" t="n">
        <v>2</v>
      </c>
      <c r="U1222" t="inlineStr">
        <is>
          <t>2004-03-24</t>
        </is>
      </c>
      <c r="V1222" t="inlineStr">
        <is>
          <t>2004-03-24</t>
        </is>
      </c>
      <c r="W1222" t="inlineStr">
        <is>
          <t>2002-05-08</t>
        </is>
      </c>
      <c r="X1222" t="inlineStr">
        <is>
          <t>2002-05-08</t>
        </is>
      </c>
      <c r="Y1222" t="n">
        <v>690</v>
      </c>
      <c r="Z1222" t="n">
        <v>661</v>
      </c>
      <c r="AA1222" t="n">
        <v>670</v>
      </c>
      <c r="AB1222" t="n">
        <v>7</v>
      </c>
      <c r="AC1222" t="n">
        <v>7</v>
      </c>
      <c r="AD1222" t="n">
        <v>8</v>
      </c>
      <c r="AE1222" t="n">
        <v>8</v>
      </c>
      <c r="AF1222" t="n">
        <v>3</v>
      </c>
      <c r="AG1222" t="n">
        <v>3</v>
      </c>
      <c r="AH1222" t="n">
        <v>1</v>
      </c>
      <c r="AI1222" t="n">
        <v>1</v>
      </c>
      <c r="AJ1222" t="n">
        <v>1</v>
      </c>
      <c r="AK1222" t="n">
        <v>1</v>
      </c>
      <c r="AL1222" t="n">
        <v>3</v>
      </c>
      <c r="AM1222" t="n">
        <v>3</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HYPERLINK("https://creighton-primo.hosted.exlibrisgroup.com/primo-explore/search?tab=default_tab&amp;search_scope=EVERYTHING&amp;vid=01CRU&amp;lang=en_US&amp;offset=0&amp;query=any,contains,991003797879702656","Catalog Record")</f>
        <v/>
      </c>
      <c r="AT1222">
        <f>HYPERLINK("http://www.worldcat.org/oclc/45100312","WorldCat Record")</f>
        <v/>
      </c>
      <c r="AU1222" t="inlineStr">
        <is>
          <t>34532426:eng</t>
        </is>
      </c>
      <c r="AV1222" t="inlineStr">
        <is>
          <t>45100312</t>
        </is>
      </c>
      <c r="AW1222" t="inlineStr">
        <is>
          <t>991003797879702656</t>
        </is>
      </c>
      <c r="AX1222" t="inlineStr">
        <is>
          <t>991003797879702656</t>
        </is>
      </c>
      <c r="AY1222" t="inlineStr">
        <is>
          <t>2269525840002656</t>
        </is>
      </c>
      <c r="AZ1222" t="inlineStr">
        <is>
          <t>BOOK</t>
        </is>
      </c>
      <c r="BB1222" t="inlineStr">
        <is>
          <t>9780966972726</t>
        </is>
      </c>
      <c r="BC1222" t="inlineStr">
        <is>
          <t>32285004486733</t>
        </is>
      </c>
      <c r="BD1222" t="inlineStr">
        <is>
          <t>893611461</t>
        </is>
      </c>
    </row>
    <row r="1223">
      <c r="A1223" t="inlineStr">
        <is>
          <t>No</t>
        </is>
      </c>
      <c r="B1223" t="inlineStr">
        <is>
          <t>GV1201 .W437</t>
        </is>
      </c>
      <c r="C1223" t="inlineStr">
        <is>
          <t>0                      GV 1201000W  437</t>
        </is>
      </c>
      <c r="D1223" t="inlineStr">
        <is>
          <t>Playfair : everybody's guide to noncompetitive play / by Matt Weinstein &amp; Joel Goodman.</t>
        </is>
      </c>
      <c r="F1223" t="inlineStr">
        <is>
          <t>No</t>
        </is>
      </c>
      <c r="G1223" t="inlineStr">
        <is>
          <t>1</t>
        </is>
      </c>
      <c r="H1223" t="inlineStr">
        <is>
          <t>No</t>
        </is>
      </c>
      <c r="I1223" t="inlineStr">
        <is>
          <t>No</t>
        </is>
      </c>
      <c r="J1223" t="inlineStr">
        <is>
          <t>0</t>
        </is>
      </c>
      <c r="K1223" t="inlineStr">
        <is>
          <t>Weinstein, Matt.</t>
        </is>
      </c>
      <c r="L1223" t="inlineStr">
        <is>
          <t>San Luis Obispo, Calif. : Impact Publishers, c1980.</t>
        </is>
      </c>
      <c r="M1223" t="inlineStr">
        <is>
          <t>1980</t>
        </is>
      </c>
      <c r="O1223" t="inlineStr">
        <is>
          <t>eng</t>
        </is>
      </c>
      <c r="P1223" t="inlineStr">
        <is>
          <t>cau</t>
        </is>
      </c>
      <c r="R1223" t="inlineStr">
        <is>
          <t xml:space="preserve">GV </t>
        </is>
      </c>
      <c r="S1223" t="n">
        <v>8</v>
      </c>
      <c r="T1223" t="n">
        <v>8</v>
      </c>
      <c r="U1223" t="inlineStr">
        <is>
          <t>2005-01-23</t>
        </is>
      </c>
      <c r="V1223" t="inlineStr">
        <is>
          <t>2005-01-23</t>
        </is>
      </c>
      <c r="W1223" t="inlineStr">
        <is>
          <t>1990-02-05</t>
        </is>
      </c>
      <c r="X1223" t="inlineStr">
        <is>
          <t>1990-02-05</t>
        </is>
      </c>
      <c r="Y1223" t="n">
        <v>732</v>
      </c>
      <c r="Z1223" t="n">
        <v>668</v>
      </c>
      <c r="AA1223" t="n">
        <v>675</v>
      </c>
      <c r="AB1223" t="n">
        <v>9</v>
      </c>
      <c r="AC1223" t="n">
        <v>9</v>
      </c>
      <c r="AD1223" t="n">
        <v>19</v>
      </c>
      <c r="AE1223" t="n">
        <v>19</v>
      </c>
      <c r="AF1223" t="n">
        <v>7</v>
      </c>
      <c r="AG1223" t="n">
        <v>7</v>
      </c>
      <c r="AH1223" t="n">
        <v>1</v>
      </c>
      <c r="AI1223" t="n">
        <v>1</v>
      </c>
      <c r="AJ1223" t="n">
        <v>7</v>
      </c>
      <c r="AK1223" t="n">
        <v>7</v>
      </c>
      <c r="AL1223" t="n">
        <v>7</v>
      </c>
      <c r="AM1223" t="n">
        <v>7</v>
      </c>
      <c r="AN1223" t="n">
        <v>0</v>
      </c>
      <c r="AO1223" t="n">
        <v>0</v>
      </c>
      <c r="AP1223" t="inlineStr">
        <is>
          <t>No</t>
        </is>
      </c>
      <c r="AQ1223" t="inlineStr">
        <is>
          <t>Yes</t>
        </is>
      </c>
      <c r="AR1223">
        <f>HYPERLINK("http://catalog.hathitrust.org/Record/009919975","HathiTrust Record")</f>
        <v/>
      </c>
      <c r="AS1223">
        <f>HYPERLINK("https://creighton-primo.hosted.exlibrisgroup.com/primo-explore/search?tab=default_tab&amp;search_scope=EVERYTHING&amp;vid=01CRU&amp;lang=en_US&amp;offset=0&amp;query=any,contains,991004936589702656","Catalog Record")</f>
        <v/>
      </c>
      <c r="AT1223">
        <f>HYPERLINK("http://www.worldcat.org/oclc/6143645","WorldCat Record")</f>
        <v/>
      </c>
      <c r="AU1223" t="inlineStr">
        <is>
          <t>970981828:eng</t>
        </is>
      </c>
      <c r="AV1223" t="inlineStr">
        <is>
          <t>6143645</t>
        </is>
      </c>
      <c r="AW1223" t="inlineStr">
        <is>
          <t>991004936589702656</t>
        </is>
      </c>
      <c r="AX1223" t="inlineStr">
        <is>
          <t>991004936589702656</t>
        </is>
      </c>
      <c r="AY1223" t="inlineStr">
        <is>
          <t>2259920210002656</t>
        </is>
      </c>
      <c r="AZ1223" t="inlineStr">
        <is>
          <t>BOOK</t>
        </is>
      </c>
      <c r="BB1223" t="inlineStr">
        <is>
          <t>9780915166503</t>
        </is>
      </c>
      <c r="BC1223" t="inlineStr">
        <is>
          <t>32285000005990</t>
        </is>
      </c>
      <c r="BD1223" t="inlineStr">
        <is>
          <t>893600399</t>
        </is>
      </c>
    </row>
    <row r="1224">
      <c r="A1224" t="inlineStr">
        <is>
          <t>No</t>
        </is>
      </c>
      <c r="B1224" t="inlineStr">
        <is>
          <t>GV1201.38 .G45 1999</t>
        </is>
      </c>
      <c r="C1224" t="inlineStr">
        <is>
          <t>0                      GV 1201380G  45          1999</t>
        </is>
      </c>
      <c r="D1224" t="inlineStr">
        <is>
          <t>Hobbies : leisure and the culture of work in America / Steven M. Gelber.</t>
        </is>
      </c>
      <c r="F1224" t="inlineStr">
        <is>
          <t>No</t>
        </is>
      </c>
      <c r="G1224" t="inlineStr">
        <is>
          <t>1</t>
        </is>
      </c>
      <c r="H1224" t="inlineStr">
        <is>
          <t>No</t>
        </is>
      </c>
      <c r="I1224" t="inlineStr">
        <is>
          <t>No</t>
        </is>
      </c>
      <c r="J1224" t="inlineStr">
        <is>
          <t>0</t>
        </is>
      </c>
      <c r="K1224" t="inlineStr">
        <is>
          <t>Gelber, Steven M.</t>
        </is>
      </c>
      <c r="L1224" t="inlineStr">
        <is>
          <t>New York : Columbia University Press, c1999.</t>
        </is>
      </c>
      <c r="M1224" t="inlineStr">
        <is>
          <t>1999</t>
        </is>
      </c>
      <c r="O1224" t="inlineStr">
        <is>
          <t>eng</t>
        </is>
      </c>
      <c r="P1224" t="inlineStr">
        <is>
          <t>nyu</t>
        </is>
      </c>
      <c r="R1224" t="inlineStr">
        <is>
          <t xml:space="preserve">GV </t>
        </is>
      </c>
      <c r="S1224" t="n">
        <v>3</v>
      </c>
      <c r="T1224" t="n">
        <v>3</v>
      </c>
      <c r="U1224" t="inlineStr">
        <is>
          <t>2005-01-23</t>
        </is>
      </c>
      <c r="V1224" t="inlineStr">
        <is>
          <t>2005-01-23</t>
        </is>
      </c>
      <c r="W1224" t="inlineStr">
        <is>
          <t>2001-02-06</t>
        </is>
      </c>
      <c r="X1224" t="inlineStr">
        <is>
          <t>2001-02-06</t>
        </is>
      </c>
      <c r="Y1224" t="n">
        <v>372</v>
      </c>
      <c r="Z1224" t="n">
        <v>303</v>
      </c>
      <c r="AA1224" t="n">
        <v>826</v>
      </c>
      <c r="AB1224" t="n">
        <v>3</v>
      </c>
      <c r="AC1224" t="n">
        <v>26</v>
      </c>
      <c r="AD1224" t="n">
        <v>16</v>
      </c>
      <c r="AE1224" t="n">
        <v>29</v>
      </c>
      <c r="AF1224" t="n">
        <v>6</v>
      </c>
      <c r="AG1224" t="n">
        <v>9</v>
      </c>
      <c r="AH1224" t="n">
        <v>4</v>
      </c>
      <c r="AI1224" t="n">
        <v>4</v>
      </c>
      <c r="AJ1224" t="n">
        <v>9</v>
      </c>
      <c r="AK1224" t="n">
        <v>12</v>
      </c>
      <c r="AL1224" t="n">
        <v>2</v>
      </c>
      <c r="AM1224" t="n">
        <v>11</v>
      </c>
      <c r="AN1224" t="n">
        <v>0</v>
      </c>
      <c r="AO1224" t="n">
        <v>0</v>
      </c>
      <c r="AP1224" t="inlineStr">
        <is>
          <t>No</t>
        </is>
      </c>
      <c r="AQ1224" t="inlineStr">
        <is>
          <t>No</t>
        </is>
      </c>
      <c r="AS1224">
        <f>HYPERLINK("https://creighton-primo.hosted.exlibrisgroup.com/primo-explore/search?tab=default_tab&amp;search_scope=EVERYTHING&amp;vid=01CRU&amp;lang=en_US&amp;offset=0&amp;query=any,contains,991003345469702656","Catalog Record")</f>
        <v/>
      </c>
      <c r="AT1224">
        <f>HYPERLINK("http://www.worldcat.org/oclc/40339024","WorldCat Record")</f>
        <v/>
      </c>
      <c r="AU1224" t="inlineStr">
        <is>
          <t>797184984:eng</t>
        </is>
      </c>
      <c r="AV1224" t="inlineStr">
        <is>
          <t>40339024</t>
        </is>
      </c>
      <c r="AW1224" t="inlineStr">
        <is>
          <t>991003345469702656</t>
        </is>
      </c>
      <c r="AX1224" t="inlineStr">
        <is>
          <t>991003345469702656</t>
        </is>
      </c>
      <c r="AY1224" t="inlineStr">
        <is>
          <t>2262141110002656</t>
        </is>
      </c>
      <c r="AZ1224" t="inlineStr">
        <is>
          <t>BOOK</t>
        </is>
      </c>
      <c r="BB1224" t="inlineStr">
        <is>
          <t>9780231113922</t>
        </is>
      </c>
      <c r="BC1224" t="inlineStr">
        <is>
          <t>32285004293907</t>
        </is>
      </c>
      <c r="BD1224" t="inlineStr">
        <is>
          <t>893434921</t>
        </is>
      </c>
    </row>
    <row r="1225">
      <c r="A1225" t="inlineStr">
        <is>
          <t>No</t>
        </is>
      </c>
      <c r="B1225" t="inlineStr">
        <is>
          <t>GV1202.F33 W35 2006</t>
        </is>
      </c>
      <c r="C1225" t="inlineStr">
        <is>
          <t>0                      GV 1202000F  33                 W  35          2006</t>
        </is>
      </c>
      <c r="D1225" t="inlineStr">
        <is>
          <t>Fantasyland : a season on baseball's lunatic fringe / Sam Walker.</t>
        </is>
      </c>
      <c r="F1225" t="inlineStr">
        <is>
          <t>No</t>
        </is>
      </c>
      <c r="G1225" t="inlineStr">
        <is>
          <t>1</t>
        </is>
      </c>
      <c r="H1225" t="inlineStr">
        <is>
          <t>No</t>
        </is>
      </c>
      <c r="I1225" t="inlineStr">
        <is>
          <t>No</t>
        </is>
      </c>
      <c r="J1225" t="inlineStr">
        <is>
          <t>0</t>
        </is>
      </c>
      <c r="K1225" t="inlineStr">
        <is>
          <t>Walker, Sam.</t>
        </is>
      </c>
      <c r="L1225" t="inlineStr">
        <is>
          <t>New York : Viking, 2006.</t>
        </is>
      </c>
      <c r="M1225" t="inlineStr">
        <is>
          <t>2006</t>
        </is>
      </c>
      <c r="O1225" t="inlineStr">
        <is>
          <t>eng</t>
        </is>
      </c>
      <c r="P1225" t="inlineStr">
        <is>
          <t>nyu</t>
        </is>
      </c>
      <c r="R1225" t="inlineStr">
        <is>
          <t xml:space="preserve">GV </t>
        </is>
      </c>
      <c r="S1225" t="n">
        <v>7</v>
      </c>
      <c r="T1225" t="n">
        <v>7</v>
      </c>
      <c r="U1225" t="inlineStr">
        <is>
          <t>2008-04-03</t>
        </is>
      </c>
      <c r="V1225" t="inlineStr">
        <is>
          <t>2008-04-03</t>
        </is>
      </c>
      <c r="W1225" t="inlineStr">
        <is>
          <t>2006-03-07</t>
        </is>
      </c>
      <c r="X1225" t="inlineStr">
        <is>
          <t>2006-03-07</t>
        </is>
      </c>
      <c r="Y1225" t="n">
        <v>423</v>
      </c>
      <c r="Z1225" t="n">
        <v>412</v>
      </c>
      <c r="AA1225" t="n">
        <v>419</v>
      </c>
      <c r="AB1225" t="n">
        <v>2</v>
      </c>
      <c r="AC1225" t="n">
        <v>2</v>
      </c>
      <c r="AD1225" t="n">
        <v>2</v>
      </c>
      <c r="AE1225" t="n">
        <v>2</v>
      </c>
      <c r="AF1225" t="n">
        <v>1</v>
      </c>
      <c r="AG1225" t="n">
        <v>1</v>
      </c>
      <c r="AH1225" t="n">
        <v>0</v>
      </c>
      <c r="AI1225" t="n">
        <v>0</v>
      </c>
      <c r="AJ1225" t="n">
        <v>1</v>
      </c>
      <c r="AK1225" t="n">
        <v>1</v>
      </c>
      <c r="AL1225" t="n">
        <v>0</v>
      </c>
      <c r="AM1225" t="n">
        <v>0</v>
      </c>
      <c r="AN1225" t="n">
        <v>0</v>
      </c>
      <c r="AO1225" t="n">
        <v>0</v>
      </c>
      <c r="AP1225" t="inlineStr">
        <is>
          <t>No</t>
        </is>
      </c>
      <c r="AQ1225" t="inlineStr">
        <is>
          <t>Yes</t>
        </is>
      </c>
      <c r="AR1225">
        <f>HYPERLINK("http://catalog.hathitrust.org/Record/007146777","HathiTrust Record")</f>
        <v/>
      </c>
      <c r="AS1225">
        <f>HYPERLINK("https://creighton-primo.hosted.exlibrisgroup.com/primo-explore/search?tab=default_tab&amp;search_scope=EVERYTHING&amp;vid=01CRU&amp;lang=en_US&amp;offset=0&amp;query=any,contains,991004760859702656","Catalog Record")</f>
        <v/>
      </c>
      <c r="AT1225">
        <f>HYPERLINK("http://www.worldcat.org/oclc/61458321","WorldCat Record")</f>
        <v/>
      </c>
      <c r="AU1225" t="inlineStr">
        <is>
          <t>803935364:eng</t>
        </is>
      </c>
      <c r="AV1225" t="inlineStr">
        <is>
          <t>61458321</t>
        </is>
      </c>
      <c r="AW1225" t="inlineStr">
        <is>
          <t>991004760859702656</t>
        </is>
      </c>
      <c r="AX1225" t="inlineStr">
        <is>
          <t>991004760859702656</t>
        </is>
      </c>
      <c r="AY1225" t="inlineStr">
        <is>
          <t>2263224420002656</t>
        </is>
      </c>
      <c r="AZ1225" t="inlineStr">
        <is>
          <t>BOOK</t>
        </is>
      </c>
      <c r="BB1225" t="inlineStr">
        <is>
          <t>9780670034284</t>
        </is>
      </c>
      <c r="BC1225" t="inlineStr">
        <is>
          <t>32285005168918</t>
        </is>
      </c>
      <c r="BD1225" t="inlineStr">
        <is>
          <t>893430465</t>
        </is>
      </c>
    </row>
    <row r="1226">
      <c r="A1226" t="inlineStr">
        <is>
          <t>No</t>
        </is>
      </c>
      <c r="B1226" t="inlineStr">
        <is>
          <t>GV1203 .B8</t>
        </is>
      </c>
      <c r="C1226" t="inlineStr">
        <is>
          <t>0                      GV 1203000B  8</t>
        </is>
      </c>
      <c r="D1226" t="inlineStr">
        <is>
          <t>Motivating kids through play / Linda K. Bunker, Candine E. Johnson, Jane E. Parker.</t>
        </is>
      </c>
      <c r="F1226" t="inlineStr">
        <is>
          <t>No</t>
        </is>
      </c>
      <c r="G1226" t="inlineStr">
        <is>
          <t>1</t>
        </is>
      </c>
      <c r="H1226" t="inlineStr">
        <is>
          <t>No</t>
        </is>
      </c>
      <c r="I1226" t="inlineStr">
        <is>
          <t>No</t>
        </is>
      </c>
      <c r="J1226" t="inlineStr">
        <is>
          <t>0</t>
        </is>
      </c>
      <c r="K1226" t="inlineStr">
        <is>
          <t>Bunker, Linda K.</t>
        </is>
      </c>
      <c r="L1226" t="inlineStr">
        <is>
          <t>West Point, NY : Leisure Press, c1982.</t>
        </is>
      </c>
      <c r="M1226" t="inlineStr">
        <is>
          <t>1982</t>
        </is>
      </c>
      <c r="O1226" t="inlineStr">
        <is>
          <t>eng</t>
        </is>
      </c>
      <c r="P1226" t="inlineStr">
        <is>
          <t>nyu</t>
        </is>
      </c>
      <c r="R1226" t="inlineStr">
        <is>
          <t xml:space="preserve">GV </t>
        </is>
      </c>
      <c r="S1226" t="n">
        <v>2</v>
      </c>
      <c r="T1226" t="n">
        <v>2</v>
      </c>
      <c r="U1226" t="inlineStr">
        <is>
          <t>2010-12-16</t>
        </is>
      </c>
      <c r="V1226" t="inlineStr">
        <is>
          <t>2010-12-16</t>
        </is>
      </c>
      <c r="W1226" t="inlineStr">
        <is>
          <t>1990-08-03</t>
        </is>
      </c>
      <c r="X1226" t="inlineStr">
        <is>
          <t>1990-08-03</t>
        </is>
      </c>
      <c r="Y1226" t="n">
        <v>243</v>
      </c>
      <c r="Z1226" t="n">
        <v>204</v>
      </c>
      <c r="AA1226" t="n">
        <v>204</v>
      </c>
      <c r="AB1226" t="n">
        <v>5</v>
      </c>
      <c r="AC1226" t="n">
        <v>5</v>
      </c>
      <c r="AD1226" t="n">
        <v>7</v>
      </c>
      <c r="AE1226" t="n">
        <v>7</v>
      </c>
      <c r="AF1226" t="n">
        <v>3</v>
      </c>
      <c r="AG1226" t="n">
        <v>3</v>
      </c>
      <c r="AH1226" t="n">
        <v>0</v>
      </c>
      <c r="AI1226" t="n">
        <v>0</v>
      </c>
      <c r="AJ1226" t="n">
        <v>0</v>
      </c>
      <c r="AK1226" t="n">
        <v>0</v>
      </c>
      <c r="AL1226" t="n">
        <v>4</v>
      </c>
      <c r="AM1226" t="n">
        <v>4</v>
      </c>
      <c r="AN1226" t="n">
        <v>0</v>
      </c>
      <c r="AO1226" t="n">
        <v>0</v>
      </c>
      <c r="AP1226" t="inlineStr">
        <is>
          <t>No</t>
        </is>
      </c>
      <c r="AQ1226" t="inlineStr">
        <is>
          <t>No</t>
        </is>
      </c>
      <c r="AS1226">
        <f>HYPERLINK("https://creighton-primo.hosted.exlibrisgroup.com/primo-explore/search?tab=default_tab&amp;search_scope=EVERYTHING&amp;vid=01CRU&amp;lang=en_US&amp;offset=0&amp;query=any,contains,991000121519702656","Catalog Record")</f>
        <v/>
      </c>
      <c r="AT1226">
        <f>HYPERLINK("http://www.worldcat.org/oclc/9067485","WorldCat Record")</f>
        <v/>
      </c>
      <c r="AU1226" t="inlineStr">
        <is>
          <t>562144:eng</t>
        </is>
      </c>
      <c r="AV1226" t="inlineStr">
        <is>
          <t>9067485</t>
        </is>
      </c>
      <c r="AW1226" t="inlineStr">
        <is>
          <t>991000121519702656</t>
        </is>
      </c>
      <c r="AX1226" t="inlineStr">
        <is>
          <t>991000121519702656</t>
        </is>
      </c>
      <c r="AY1226" t="inlineStr">
        <is>
          <t>2271175970002656</t>
        </is>
      </c>
      <c r="AZ1226" t="inlineStr">
        <is>
          <t>BOOK</t>
        </is>
      </c>
      <c r="BB1226" t="inlineStr">
        <is>
          <t>9780918438225</t>
        </is>
      </c>
      <c r="BC1226" t="inlineStr">
        <is>
          <t>32285000264886</t>
        </is>
      </c>
      <c r="BD1226" t="inlineStr">
        <is>
          <t>893771403</t>
        </is>
      </c>
    </row>
    <row r="1227">
      <c r="A1227" t="inlineStr">
        <is>
          <t>No</t>
        </is>
      </c>
      <c r="B1227" t="inlineStr">
        <is>
          <t>GV1203 .J65 1962</t>
        </is>
      </c>
      <c r="C1227" t="inlineStr">
        <is>
          <t>0                      GV 1203000J  65          1962</t>
        </is>
      </c>
      <c r="D1227" t="inlineStr">
        <is>
          <t>838 ways to amuse a child; crafts, hobbies, and creative ideas for the child from six to twelve. Drawings by Beryl Bennett.</t>
        </is>
      </c>
      <c r="F1227" t="inlineStr">
        <is>
          <t>No</t>
        </is>
      </c>
      <c r="G1227" t="inlineStr">
        <is>
          <t>1</t>
        </is>
      </c>
      <c r="H1227" t="inlineStr">
        <is>
          <t>No</t>
        </is>
      </c>
      <c r="I1227" t="inlineStr">
        <is>
          <t>No</t>
        </is>
      </c>
      <c r="J1227" t="inlineStr">
        <is>
          <t>0</t>
        </is>
      </c>
      <c r="K1227" t="inlineStr">
        <is>
          <t>Johnson, June.</t>
        </is>
      </c>
      <c r="L1227" t="inlineStr">
        <is>
          <t>New York, Collier [1962]</t>
        </is>
      </c>
      <c r="M1227" t="inlineStr">
        <is>
          <t>1962</t>
        </is>
      </c>
      <c r="O1227" t="inlineStr">
        <is>
          <t>eng</t>
        </is>
      </c>
      <c r="P1227" t="inlineStr">
        <is>
          <t>nyu</t>
        </is>
      </c>
      <c r="Q1227" t="inlineStr">
        <is>
          <t>Collier books ; AS187V</t>
        </is>
      </c>
      <c r="R1227" t="inlineStr">
        <is>
          <t xml:space="preserve">GV </t>
        </is>
      </c>
      <c r="S1227" t="n">
        <v>6</v>
      </c>
      <c r="T1227" t="n">
        <v>6</v>
      </c>
      <c r="U1227" t="inlineStr">
        <is>
          <t>2008-03-26</t>
        </is>
      </c>
      <c r="V1227" t="inlineStr">
        <is>
          <t>2008-03-26</t>
        </is>
      </c>
      <c r="W1227" t="inlineStr">
        <is>
          <t>1997-06-02</t>
        </is>
      </c>
      <c r="X1227" t="inlineStr">
        <is>
          <t>1997-06-02</t>
        </is>
      </c>
      <c r="Y1227" t="n">
        <v>30</v>
      </c>
      <c r="Z1227" t="n">
        <v>27</v>
      </c>
      <c r="AA1227" t="n">
        <v>958</v>
      </c>
      <c r="AB1227" t="n">
        <v>1</v>
      </c>
      <c r="AC1227" t="n">
        <v>11</v>
      </c>
      <c r="AD1227" t="n">
        <v>0</v>
      </c>
      <c r="AE1227" t="n">
        <v>10</v>
      </c>
      <c r="AF1227" t="n">
        <v>0</v>
      </c>
      <c r="AG1227" t="n">
        <v>4</v>
      </c>
      <c r="AH1227" t="n">
        <v>0</v>
      </c>
      <c r="AI1227" t="n">
        <v>0</v>
      </c>
      <c r="AJ1227" t="n">
        <v>0</v>
      </c>
      <c r="AK1227" t="n">
        <v>3</v>
      </c>
      <c r="AL1227" t="n">
        <v>0</v>
      </c>
      <c r="AM1227" t="n">
        <v>3</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HYPERLINK("https://creighton-primo.hosted.exlibrisgroup.com/primo-explore/search?tab=default_tab&amp;search_scope=EVERYTHING&amp;vid=01CRU&amp;lang=en_US&amp;offset=0&amp;query=any,contains,991003931619702656","Catalog Record")</f>
        <v/>
      </c>
      <c r="AT1227">
        <f>HYPERLINK("http://www.worldcat.org/oclc/1900392","WorldCat Record")</f>
        <v/>
      </c>
      <c r="AU1227" t="inlineStr">
        <is>
          <t>398220:eng</t>
        </is>
      </c>
      <c r="AV1227" t="inlineStr">
        <is>
          <t>1900392</t>
        </is>
      </c>
      <c r="AW1227" t="inlineStr">
        <is>
          <t>991003931619702656</t>
        </is>
      </c>
      <c r="AX1227" t="inlineStr">
        <is>
          <t>991003931619702656</t>
        </is>
      </c>
      <c r="AY1227" t="inlineStr">
        <is>
          <t>2255713970002656</t>
        </is>
      </c>
      <c r="AZ1227" t="inlineStr">
        <is>
          <t>BOOK</t>
        </is>
      </c>
      <c r="BC1227" t="inlineStr">
        <is>
          <t>32285002700804</t>
        </is>
      </c>
      <c r="BD1227" t="inlineStr">
        <is>
          <t>893869076</t>
        </is>
      </c>
    </row>
    <row r="1228">
      <c r="A1228" t="inlineStr">
        <is>
          <t>No</t>
        </is>
      </c>
      <c r="B1228" t="inlineStr">
        <is>
          <t>GV1243 .O8</t>
        </is>
      </c>
      <c r="C1228" t="inlineStr">
        <is>
          <t>0                      GV 1243000O  8</t>
        </is>
      </c>
      <c r="D1228" t="inlineStr">
        <is>
          <t>The complete card player.</t>
        </is>
      </c>
      <c r="F1228" t="inlineStr">
        <is>
          <t>No</t>
        </is>
      </c>
      <c r="G1228" t="inlineStr">
        <is>
          <t>1</t>
        </is>
      </c>
      <c r="H1228" t="inlineStr">
        <is>
          <t>No</t>
        </is>
      </c>
      <c r="I1228" t="inlineStr">
        <is>
          <t>No</t>
        </is>
      </c>
      <c r="J1228" t="inlineStr">
        <is>
          <t>0</t>
        </is>
      </c>
      <c r="K1228" t="inlineStr">
        <is>
          <t>Ostrow, Albert A.</t>
        </is>
      </c>
      <c r="L1228" t="inlineStr">
        <is>
          <t>New York ; London : Whitlesey house ; McGraw-Hill book company, inc., [c1945]</t>
        </is>
      </c>
      <c r="M1228" t="inlineStr">
        <is>
          <t>1945</t>
        </is>
      </c>
      <c r="N1228" t="inlineStr">
        <is>
          <t>"First printing."</t>
        </is>
      </c>
      <c r="O1228" t="inlineStr">
        <is>
          <t>eng</t>
        </is>
      </c>
      <c r="P1228" t="inlineStr">
        <is>
          <t xml:space="preserve">xx </t>
        </is>
      </c>
      <c r="R1228" t="inlineStr">
        <is>
          <t xml:space="preserve">GV </t>
        </is>
      </c>
      <c r="S1228" t="n">
        <v>11</v>
      </c>
      <c r="T1228" t="n">
        <v>11</v>
      </c>
      <c r="U1228" t="inlineStr">
        <is>
          <t>2006-04-10</t>
        </is>
      </c>
      <c r="V1228" t="inlineStr">
        <is>
          <t>2006-04-10</t>
        </is>
      </c>
      <c r="W1228" t="inlineStr">
        <is>
          <t>1994-05-06</t>
        </is>
      </c>
      <c r="X1228" t="inlineStr">
        <is>
          <t>1994-05-06</t>
        </is>
      </c>
      <c r="Y1228" t="n">
        <v>105</v>
      </c>
      <c r="Z1228" t="n">
        <v>96</v>
      </c>
      <c r="AA1228" t="n">
        <v>119</v>
      </c>
      <c r="AB1228" t="n">
        <v>1</v>
      </c>
      <c r="AC1228" t="n">
        <v>1</v>
      </c>
      <c r="AD1228" t="n">
        <v>0</v>
      </c>
      <c r="AE1228" t="n">
        <v>0</v>
      </c>
      <c r="AF1228" t="n">
        <v>0</v>
      </c>
      <c r="AG1228" t="n">
        <v>0</v>
      </c>
      <c r="AH1228" t="n">
        <v>0</v>
      </c>
      <c r="AI1228" t="n">
        <v>0</v>
      </c>
      <c r="AJ1228" t="n">
        <v>0</v>
      </c>
      <c r="AK1228" t="n">
        <v>0</v>
      </c>
      <c r="AL1228" t="n">
        <v>0</v>
      </c>
      <c r="AM1228" t="n">
        <v>0</v>
      </c>
      <c r="AN1228" t="n">
        <v>0</v>
      </c>
      <c r="AO1228" t="n">
        <v>0</v>
      </c>
      <c r="AP1228" t="inlineStr">
        <is>
          <t>No</t>
        </is>
      </c>
      <c r="AQ1228" t="inlineStr">
        <is>
          <t>No</t>
        </is>
      </c>
      <c r="AS1228">
        <f>HYPERLINK("https://creighton-primo.hosted.exlibrisgroup.com/primo-explore/search?tab=default_tab&amp;search_scope=EVERYTHING&amp;vid=01CRU&amp;lang=en_US&amp;offset=0&amp;query=any,contains,991003727159702656","Catalog Record")</f>
        <v/>
      </c>
      <c r="AT1228">
        <f>HYPERLINK("http://www.worldcat.org/oclc/1375613","WorldCat Record")</f>
        <v/>
      </c>
      <c r="AU1228" t="inlineStr">
        <is>
          <t>2293823:eng</t>
        </is>
      </c>
      <c r="AV1228" t="inlineStr">
        <is>
          <t>1375613</t>
        </is>
      </c>
      <c r="AW1228" t="inlineStr">
        <is>
          <t>991003727159702656</t>
        </is>
      </c>
      <c r="AX1228" t="inlineStr">
        <is>
          <t>991003727159702656</t>
        </is>
      </c>
      <c r="AY1228" t="inlineStr">
        <is>
          <t>2259246280002656</t>
        </is>
      </c>
      <c r="AZ1228" t="inlineStr">
        <is>
          <t>BOOK</t>
        </is>
      </c>
      <c r="BC1228" t="inlineStr">
        <is>
          <t>32285001907855</t>
        </is>
      </c>
      <c r="BD1228" t="inlineStr">
        <is>
          <t>893605130</t>
        </is>
      </c>
    </row>
    <row r="1229">
      <c r="A1229" t="inlineStr">
        <is>
          <t>No</t>
        </is>
      </c>
      <c r="B1229" t="inlineStr">
        <is>
          <t>GV1295.B55 H85</t>
        </is>
      </c>
      <c r="C1229" t="inlineStr">
        <is>
          <t>0                      GV 1295000B  55                 H  85</t>
        </is>
      </c>
      <c r="D1229" t="inlineStr">
        <is>
          <t>Blackjack gold : a new approach to winning at "21" / Lancelot Humble.</t>
        </is>
      </c>
      <c r="F1229" t="inlineStr">
        <is>
          <t>No</t>
        </is>
      </c>
      <c r="G1229" t="inlineStr">
        <is>
          <t>1</t>
        </is>
      </c>
      <c r="H1229" t="inlineStr">
        <is>
          <t>No</t>
        </is>
      </c>
      <c r="I1229" t="inlineStr">
        <is>
          <t>No</t>
        </is>
      </c>
      <c r="J1229" t="inlineStr">
        <is>
          <t>0</t>
        </is>
      </c>
      <c r="K1229" t="inlineStr">
        <is>
          <t>Humble, Lance.</t>
        </is>
      </c>
      <c r="L1229" t="inlineStr">
        <is>
          <t>Toronto : International Gaming Inc., 1976.</t>
        </is>
      </c>
      <c r="M1229" t="inlineStr">
        <is>
          <t>1976</t>
        </is>
      </c>
      <c r="O1229" t="inlineStr">
        <is>
          <t>eng</t>
        </is>
      </c>
      <c r="P1229" t="inlineStr">
        <is>
          <t>onc</t>
        </is>
      </c>
      <c r="R1229" t="inlineStr">
        <is>
          <t xml:space="preserve">GV </t>
        </is>
      </c>
      <c r="S1229" t="n">
        <v>20</v>
      </c>
      <c r="T1229" t="n">
        <v>20</v>
      </c>
      <c r="U1229" t="inlineStr">
        <is>
          <t>2010-08-16</t>
        </is>
      </c>
      <c r="V1229" t="inlineStr">
        <is>
          <t>2010-08-16</t>
        </is>
      </c>
      <c r="W1229" t="inlineStr">
        <is>
          <t>1992-02-17</t>
        </is>
      </c>
      <c r="X1229" t="inlineStr">
        <is>
          <t>1992-02-17</t>
        </is>
      </c>
      <c r="Y1229" t="n">
        <v>9</v>
      </c>
      <c r="Z1229" t="n">
        <v>6</v>
      </c>
      <c r="AA1229" t="n">
        <v>6</v>
      </c>
      <c r="AB1229" t="n">
        <v>1</v>
      </c>
      <c r="AC1229" t="n">
        <v>1</v>
      </c>
      <c r="AD1229" t="n">
        <v>0</v>
      </c>
      <c r="AE1229" t="n">
        <v>0</v>
      </c>
      <c r="AF1229" t="n">
        <v>0</v>
      </c>
      <c r="AG1229" t="n">
        <v>0</v>
      </c>
      <c r="AH1229" t="n">
        <v>0</v>
      </c>
      <c r="AI1229" t="n">
        <v>0</v>
      </c>
      <c r="AJ1229" t="n">
        <v>0</v>
      </c>
      <c r="AK1229" t="n">
        <v>0</v>
      </c>
      <c r="AL1229" t="n">
        <v>0</v>
      </c>
      <c r="AM1229" t="n">
        <v>0</v>
      </c>
      <c r="AN1229" t="n">
        <v>0</v>
      </c>
      <c r="AO1229" t="n">
        <v>0</v>
      </c>
      <c r="AP1229" t="inlineStr">
        <is>
          <t>No</t>
        </is>
      </c>
      <c r="AQ1229" t="inlineStr">
        <is>
          <t>No</t>
        </is>
      </c>
      <c r="AS1229">
        <f>HYPERLINK("https://creighton-primo.hosted.exlibrisgroup.com/primo-explore/search?tab=default_tab&amp;search_scope=EVERYTHING&amp;vid=01CRU&amp;lang=en_US&amp;offset=0&amp;query=any,contains,991005370899702656","Catalog Record")</f>
        <v/>
      </c>
      <c r="AT1229">
        <f>HYPERLINK("http://www.worldcat.org/oclc/3274235","WorldCat Record")</f>
        <v/>
      </c>
      <c r="AU1229" t="inlineStr">
        <is>
          <t>9264979:eng</t>
        </is>
      </c>
      <c r="AV1229" t="inlineStr">
        <is>
          <t>3274235</t>
        </is>
      </c>
      <c r="AW1229" t="inlineStr">
        <is>
          <t>991005370899702656</t>
        </is>
      </c>
      <c r="AX1229" t="inlineStr">
        <is>
          <t>991005370899702656</t>
        </is>
      </c>
      <c r="AY1229" t="inlineStr">
        <is>
          <t>2256133750002656</t>
        </is>
      </c>
      <c r="AZ1229" t="inlineStr">
        <is>
          <t>BOOK</t>
        </is>
      </c>
      <c r="BB1229" t="inlineStr">
        <is>
          <t>9780920228005</t>
        </is>
      </c>
      <c r="BC1229" t="inlineStr">
        <is>
          <t>32285000936640</t>
        </is>
      </c>
      <c r="BD1229" t="inlineStr">
        <is>
          <t>893883778</t>
        </is>
      </c>
    </row>
    <row r="1230">
      <c r="A1230" t="inlineStr">
        <is>
          <t>No</t>
        </is>
      </c>
      <c r="B1230" t="inlineStr">
        <is>
          <t>GV1301 .B4</t>
        </is>
      </c>
      <c r="C1230" t="inlineStr">
        <is>
          <t>0                      GV 1301000B  4</t>
        </is>
      </c>
      <c r="D1230" t="inlineStr">
        <is>
          <t>The psychology of gambling / Edmund Bergler.</t>
        </is>
      </c>
      <c r="F1230" t="inlineStr">
        <is>
          <t>No</t>
        </is>
      </c>
      <c r="G1230" t="inlineStr">
        <is>
          <t>1</t>
        </is>
      </c>
      <c r="H1230" t="inlineStr">
        <is>
          <t>No</t>
        </is>
      </c>
      <c r="I1230" t="inlineStr">
        <is>
          <t>No</t>
        </is>
      </c>
      <c r="J1230" t="inlineStr">
        <is>
          <t>0</t>
        </is>
      </c>
      <c r="K1230" t="inlineStr">
        <is>
          <t>Bergler, Edmund, 1899-1962.</t>
        </is>
      </c>
      <c r="L1230" t="inlineStr">
        <is>
          <t>New York : Hill and Wang, c1957.</t>
        </is>
      </c>
      <c r="M1230" t="inlineStr">
        <is>
          <t>1957</t>
        </is>
      </c>
      <c r="O1230" t="inlineStr">
        <is>
          <t>eng</t>
        </is>
      </c>
      <c r="P1230" t="inlineStr">
        <is>
          <t>nyu</t>
        </is>
      </c>
      <c r="R1230" t="inlineStr">
        <is>
          <t xml:space="preserve">GV </t>
        </is>
      </c>
      <c r="S1230" t="n">
        <v>16</v>
      </c>
      <c r="T1230" t="n">
        <v>16</v>
      </c>
      <c r="U1230" t="inlineStr">
        <is>
          <t>2009-03-25</t>
        </is>
      </c>
      <c r="V1230" t="inlineStr">
        <is>
          <t>2009-03-25</t>
        </is>
      </c>
      <c r="W1230" t="inlineStr">
        <is>
          <t>1993-04-26</t>
        </is>
      </c>
      <c r="X1230" t="inlineStr">
        <is>
          <t>1993-04-26</t>
        </is>
      </c>
      <c r="Y1230" t="n">
        <v>202</v>
      </c>
      <c r="Z1230" t="n">
        <v>180</v>
      </c>
      <c r="AA1230" t="n">
        <v>489</v>
      </c>
      <c r="AB1230" t="n">
        <v>2</v>
      </c>
      <c r="AC1230" t="n">
        <v>5</v>
      </c>
      <c r="AD1230" t="n">
        <v>4</v>
      </c>
      <c r="AE1230" t="n">
        <v>15</v>
      </c>
      <c r="AF1230" t="n">
        <v>1</v>
      </c>
      <c r="AG1230" t="n">
        <v>5</v>
      </c>
      <c r="AH1230" t="n">
        <v>1</v>
      </c>
      <c r="AI1230" t="n">
        <v>3</v>
      </c>
      <c r="AJ1230" t="n">
        <v>1</v>
      </c>
      <c r="AK1230" t="n">
        <v>6</v>
      </c>
      <c r="AL1230" t="n">
        <v>1</v>
      </c>
      <c r="AM1230" t="n">
        <v>4</v>
      </c>
      <c r="AN1230" t="n">
        <v>0</v>
      </c>
      <c r="AO1230" t="n">
        <v>0</v>
      </c>
      <c r="AP1230" t="inlineStr">
        <is>
          <t>No</t>
        </is>
      </c>
      <c r="AQ1230" t="inlineStr">
        <is>
          <t>Yes</t>
        </is>
      </c>
      <c r="AR1230">
        <f>HYPERLINK("http://catalog.hathitrust.org/Record/001120381","HathiTrust Record")</f>
        <v/>
      </c>
      <c r="AS1230">
        <f>HYPERLINK("https://creighton-primo.hosted.exlibrisgroup.com/primo-explore/search?tab=default_tab&amp;search_scope=EVERYTHING&amp;vid=01CRU&amp;lang=en_US&amp;offset=0&amp;query=any,contains,991001092319702656","Catalog Record")</f>
        <v/>
      </c>
      <c r="AT1230">
        <f>HYPERLINK("http://www.worldcat.org/oclc/181657","WorldCat Record")</f>
        <v/>
      </c>
      <c r="AU1230" t="inlineStr">
        <is>
          <t>102969333:eng</t>
        </is>
      </c>
      <c r="AV1230" t="inlineStr">
        <is>
          <t>181657</t>
        </is>
      </c>
      <c r="AW1230" t="inlineStr">
        <is>
          <t>991001092319702656</t>
        </is>
      </c>
      <c r="AX1230" t="inlineStr">
        <is>
          <t>991001092319702656</t>
        </is>
      </c>
      <c r="AY1230" t="inlineStr">
        <is>
          <t>2272502440002656</t>
        </is>
      </c>
      <c r="AZ1230" t="inlineStr">
        <is>
          <t>BOOK</t>
        </is>
      </c>
      <c r="BC1230" t="inlineStr">
        <is>
          <t>32285001625598</t>
        </is>
      </c>
      <c r="BD1230" t="inlineStr">
        <is>
          <t>893321628</t>
        </is>
      </c>
    </row>
    <row r="1231">
      <c r="A1231" t="inlineStr">
        <is>
          <t>No</t>
        </is>
      </c>
      <c r="B1231" t="inlineStr">
        <is>
          <t>GV1301 .G63</t>
        </is>
      </c>
      <c r="C1231" t="inlineStr">
        <is>
          <t>0                      GV 1301000G  63</t>
        </is>
      </c>
      <c r="D1231" t="inlineStr">
        <is>
          <t>Go with the odds : a guide to successful gambling / [by] Chas. H. Goren.</t>
        </is>
      </c>
      <c r="F1231" t="inlineStr">
        <is>
          <t>No</t>
        </is>
      </c>
      <c r="G1231" t="inlineStr">
        <is>
          <t>1</t>
        </is>
      </c>
      <c r="H1231" t="inlineStr">
        <is>
          <t>No</t>
        </is>
      </c>
      <c r="I1231" t="inlineStr">
        <is>
          <t>No</t>
        </is>
      </c>
      <c r="J1231" t="inlineStr">
        <is>
          <t>0</t>
        </is>
      </c>
      <c r="K1231" t="inlineStr">
        <is>
          <t>Goren, Charles H. (Charles Henry), 1901-1991.</t>
        </is>
      </c>
      <c r="L1231" t="inlineStr">
        <is>
          <t>[New York] : Macmillan, [1969]</t>
        </is>
      </c>
      <c r="M1231" t="inlineStr">
        <is>
          <t>1969</t>
        </is>
      </c>
      <c r="O1231" t="inlineStr">
        <is>
          <t>eng</t>
        </is>
      </c>
      <c r="P1231" t="inlineStr">
        <is>
          <t>nyu</t>
        </is>
      </c>
      <c r="R1231" t="inlineStr">
        <is>
          <t xml:space="preserve">GV </t>
        </is>
      </c>
      <c r="S1231" t="n">
        <v>17</v>
      </c>
      <c r="T1231" t="n">
        <v>17</v>
      </c>
      <c r="U1231" t="inlineStr">
        <is>
          <t>2009-03-25</t>
        </is>
      </c>
      <c r="V1231" t="inlineStr">
        <is>
          <t>2009-03-25</t>
        </is>
      </c>
      <c r="W1231" t="inlineStr">
        <is>
          <t>1994-02-24</t>
        </is>
      </c>
      <c r="X1231" t="inlineStr">
        <is>
          <t>1994-02-24</t>
        </is>
      </c>
      <c r="Y1231" t="n">
        <v>165</v>
      </c>
      <c r="Z1231" t="n">
        <v>155</v>
      </c>
      <c r="AA1231" t="n">
        <v>161</v>
      </c>
      <c r="AB1231" t="n">
        <v>3</v>
      </c>
      <c r="AC1231" t="n">
        <v>3</v>
      </c>
      <c r="AD1231" t="n">
        <v>2</v>
      </c>
      <c r="AE1231" t="n">
        <v>2</v>
      </c>
      <c r="AF1231" t="n">
        <v>1</v>
      </c>
      <c r="AG1231" t="n">
        <v>1</v>
      </c>
      <c r="AH1231" t="n">
        <v>0</v>
      </c>
      <c r="AI1231" t="n">
        <v>0</v>
      </c>
      <c r="AJ1231" t="n">
        <v>0</v>
      </c>
      <c r="AK1231" t="n">
        <v>0</v>
      </c>
      <c r="AL1231" t="n">
        <v>1</v>
      </c>
      <c r="AM1231" t="n">
        <v>1</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HYPERLINK("https://creighton-primo.hosted.exlibrisgroup.com/primo-explore/search?tab=default_tab&amp;search_scope=EVERYTHING&amp;vid=01CRU&amp;lang=en_US&amp;offset=0&amp;query=any,contains,991000085509702656","Catalog Record")</f>
        <v/>
      </c>
      <c r="AT1231">
        <f>HYPERLINK("http://www.worldcat.org/oclc/33570","WorldCat Record")</f>
        <v/>
      </c>
      <c r="AU1231" t="inlineStr">
        <is>
          <t>422395570:eng</t>
        </is>
      </c>
      <c r="AV1231" t="inlineStr">
        <is>
          <t>33570</t>
        </is>
      </c>
      <c r="AW1231" t="inlineStr">
        <is>
          <t>991000085509702656</t>
        </is>
      </c>
      <c r="AX1231" t="inlineStr">
        <is>
          <t>991000085509702656</t>
        </is>
      </c>
      <c r="AY1231" t="inlineStr">
        <is>
          <t>2261344800002656</t>
        </is>
      </c>
      <c r="AZ1231" t="inlineStr">
        <is>
          <t>BOOK</t>
        </is>
      </c>
      <c r="BC1231" t="inlineStr">
        <is>
          <t>32285001850238</t>
        </is>
      </c>
      <c r="BD1231" t="inlineStr">
        <is>
          <t>893796392</t>
        </is>
      </c>
    </row>
    <row r="1232">
      <c r="A1232" t="inlineStr">
        <is>
          <t>No</t>
        </is>
      </c>
      <c r="B1232" t="inlineStr">
        <is>
          <t>GV1314.5 .S93 1976</t>
        </is>
      </c>
      <c r="C1232" t="inlineStr">
        <is>
          <t>0                      GV 1314500S  93          1976</t>
        </is>
      </c>
      <c r="D1232" t="inlineStr">
        <is>
          <t>The encyclopaedia of chess / compiled by Anne Sunnucks.</t>
        </is>
      </c>
      <c r="F1232" t="inlineStr">
        <is>
          <t>No</t>
        </is>
      </c>
      <c r="G1232" t="inlineStr">
        <is>
          <t>1</t>
        </is>
      </c>
      <c r="H1232" t="inlineStr">
        <is>
          <t>No</t>
        </is>
      </c>
      <c r="I1232" t="inlineStr">
        <is>
          <t>No</t>
        </is>
      </c>
      <c r="J1232" t="inlineStr">
        <is>
          <t>0</t>
        </is>
      </c>
      <c r="K1232" t="inlineStr">
        <is>
          <t>Sunnucks, Anne, 1927-</t>
        </is>
      </c>
      <c r="L1232" t="inlineStr">
        <is>
          <t>London : Hale ; New York : St. Martin's Press, 1976.</t>
        </is>
      </c>
      <c r="M1232" t="inlineStr">
        <is>
          <t>1976</t>
        </is>
      </c>
      <c r="N1232" t="inlineStr">
        <is>
          <t>2nd ed. / with contributions from M. Euwe ... [et al.]. --</t>
        </is>
      </c>
      <c r="O1232" t="inlineStr">
        <is>
          <t>eng</t>
        </is>
      </c>
      <c r="P1232" t="inlineStr">
        <is>
          <t>enk</t>
        </is>
      </c>
      <c r="R1232" t="inlineStr">
        <is>
          <t xml:space="preserve">GV </t>
        </is>
      </c>
      <c r="S1232" t="n">
        <v>25</v>
      </c>
      <c r="T1232" t="n">
        <v>25</v>
      </c>
      <c r="U1232" t="inlineStr">
        <is>
          <t>2009-11-21</t>
        </is>
      </c>
      <c r="V1232" t="inlineStr">
        <is>
          <t>2009-11-21</t>
        </is>
      </c>
      <c r="W1232" t="inlineStr">
        <is>
          <t>1990-11-01</t>
        </is>
      </c>
      <c r="X1232" t="inlineStr">
        <is>
          <t>1990-11-01</t>
        </is>
      </c>
      <c r="Y1232" t="n">
        <v>308</v>
      </c>
      <c r="Z1232" t="n">
        <v>256</v>
      </c>
      <c r="AA1232" t="n">
        <v>654</v>
      </c>
      <c r="AB1232" t="n">
        <v>2</v>
      </c>
      <c r="AC1232" t="n">
        <v>4</v>
      </c>
      <c r="AD1232" t="n">
        <v>5</v>
      </c>
      <c r="AE1232" t="n">
        <v>14</v>
      </c>
      <c r="AF1232" t="n">
        <v>1</v>
      </c>
      <c r="AG1232" t="n">
        <v>4</v>
      </c>
      <c r="AH1232" t="n">
        <v>2</v>
      </c>
      <c r="AI1232" t="n">
        <v>4</v>
      </c>
      <c r="AJ1232" t="n">
        <v>2</v>
      </c>
      <c r="AK1232" t="n">
        <v>5</v>
      </c>
      <c r="AL1232" t="n">
        <v>1</v>
      </c>
      <c r="AM1232" t="n">
        <v>3</v>
      </c>
      <c r="AN1232" t="n">
        <v>0</v>
      </c>
      <c r="AO1232" t="n">
        <v>0</v>
      </c>
      <c r="AP1232" t="inlineStr">
        <is>
          <t>No</t>
        </is>
      </c>
      <c r="AQ1232" t="inlineStr">
        <is>
          <t>Yes</t>
        </is>
      </c>
      <c r="AR1232">
        <f>HYPERLINK("http://catalog.hathitrust.org/Record/004476532","HathiTrust Record")</f>
        <v/>
      </c>
      <c r="AS1232">
        <f>HYPERLINK("https://creighton-primo.hosted.exlibrisgroup.com/primo-explore/search?tab=default_tab&amp;search_scope=EVERYTHING&amp;vid=01CRU&amp;lang=en_US&amp;offset=0&amp;query=any,contains,991004236959702656","Catalog Record")</f>
        <v/>
      </c>
      <c r="AT1232">
        <f>HYPERLINK("http://www.worldcat.org/oclc/2772103","WorldCat Record")</f>
        <v/>
      </c>
      <c r="AU1232" t="inlineStr">
        <is>
          <t>442333:eng</t>
        </is>
      </c>
      <c r="AV1232" t="inlineStr">
        <is>
          <t>2772103</t>
        </is>
      </c>
      <c r="AW1232" t="inlineStr">
        <is>
          <t>991004236959702656</t>
        </is>
      </c>
      <c r="AX1232" t="inlineStr">
        <is>
          <t>991004236959702656</t>
        </is>
      </c>
      <c r="AY1232" t="inlineStr">
        <is>
          <t>2267226160002656</t>
        </is>
      </c>
      <c r="AZ1232" t="inlineStr">
        <is>
          <t>BOOK</t>
        </is>
      </c>
      <c r="BB1232" t="inlineStr">
        <is>
          <t>9780709146971</t>
        </is>
      </c>
      <c r="BC1232" t="inlineStr">
        <is>
          <t>32285000385061</t>
        </is>
      </c>
      <c r="BD1232" t="inlineStr">
        <is>
          <t>893247331</t>
        </is>
      </c>
    </row>
    <row r="1233">
      <c r="A1233" t="inlineStr">
        <is>
          <t>No</t>
        </is>
      </c>
      <c r="B1233" t="inlineStr">
        <is>
          <t>GV1318 .C45 1983</t>
        </is>
      </c>
      <c r="C1233" t="inlineStr">
        <is>
          <t>0                      GV 1318000C  45          1983</t>
        </is>
      </c>
      <c r="D1233" t="inlineStr">
        <is>
          <t>Chess skill in man and machine / edited by Peter W. Frey.</t>
        </is>
      </c>
      <c r="F1233" t="inlineStr">
        <is>
          <t>No</t>
        </is>
      </c>
      <c r="G1233" t="inlineStr">
        <is>
          <t>1</t>
        </is>
      </c>
      <c r="H1233" t="inlineStr">
        <is>
          <t>No</t>
        </is>
      </c>
      <c r="I1233" t="inlineStr">
        <is>
          <t>No</t>
        </is>
      </c>
      <c r="J1233" t="inlineStr">
        <is>
          <t>0</t>
        </is>
      </c>
      <c r="L1233" t="inlineStr">
        <is>
          <t>New York : Springer-Verlag, c1983.</t>
        </is>
      </c>
      <c r="M1233" t="inlineStr">
        <is>
          <t>1983</t>
        </is>
      </c>
      <c r="N1233" t="inlineStr">
        <is>
          <t>2nd ed.</t>
        </is>
      </c>
      <c r="O1233" t="inlineStr">
        <is>
          <t>eng</t>
        </is>
      </c>
      <c r="P1233" t="inlineStr">
        <is>
          <t>nyu</t>
        </is>
      </c>
      <c r="Q1233" t="inlineStr">
        <is>
          <t>Texts and monographs in computer science</t>
        </is>
      </c>
      <c r="R1233" t="inlineStr">
        <is>
          <t xml:space="preserve">GV </t>
        </is>
      </c>
      <c r="S1233" t="n">
        <v>8</v>
      </c>
      <c r="T1233" t="n">
        <v>8</v>
      </c>
      <c r="U1233" t="inlineStr">
        <is>
          <t>2009-11-21</t>
        </is>
      </c>
      <c r="V1233" t="inlineStr">
        <is>
          <t>2009-11-21</t>
        </is>
      </c>
      <c r="W1233" t="inlineStr">
        <is>
          <t>1990-08-03</t>
        </is>
      </c>
      <c r="X1233" t="inlineStr">
        <is>
          <t>1990-08-03</t>
        </is>
      </c>
      <c r="Y1233" t="n">
        <v>247</v>
      </c>
      <c r="Z1233" t="n">
        <v>181</v>
      </c>
      <c r="AA1233" t="n">
        <v>410</v>
      </c>
      <c r="AB1233" t="n">
        <v>2</v>
      </c>
      <c r="AC1233" t="n">
        <v>4</v>
      </c>
      <c r="AD1233" t="n">
        <v>11</v>
      </c>
      <c r="AE1233" t="n">
        <v>18</v>
      </c>
      <c r="AF1233" t="n">
        <v>4</v>
      </c>
      <c r="AG1233" t="n">
        <v>6</v>
      </c>
      <c r="AH1233" t="n">
        <v>3</v>
      </c>
      <c r="AI1233" t="n">
        <v>5</v>
      </c>
      <c r="AJ1233" t="n">
        <v>6</v>
      </c>
      <c r="AK1233" t="n">
        <v>9</v>
      </c>
      <c r="AL1233" t="n">
        <v>1</v>
      </c>
      <c r="AM1233" t="n">
        <v>3</v>
      </c>
      <c r="AN1233" t="n">
        <v>0</v>
      </c>
      <c r="AO1233" t="n">
        <v>0</v>
      </c>
      <c r="AP1233" t="inlineStr">
        <is>
          <t>No</t>
        </is>
      </c>
      <c r="AQ1233" t="inlineStr">
        <is>
          <t>Yes</t>
        </is>
      </c>
      <c r="AR1233">
        <f>HYPERLINK("http://catalog.hathitrust.org/Record/007117779","HathiTrust Record")</f>
        <v/>
      </c>
      <c r="AS1233">
        <f>HYPERLINK("https://creighton-primo.hosted.exlibrisgroup.com/primo-explore/search?tab=default_tab&amp;search_scope=EVERYTHING&amp;vid=01CRU&amp;lang=en_US&amp;offset=0&amp;query=any,contains,991000112579702656","Catalog Record")</f>
        <v/>
      </c>
      <c r="AT1233">
        <f>HYPERLINK("http://www.worldcat.org/oclc/9017135","WorldCat Record")</f>
        <v/>
      </c>
      <c r="AU1233" t="inlineStr">
        <is>
          <t>146914749:eng</t>
        </is>
      </c>
      <c r="AV1233" t="inlineStr">
        <is>
          <t>9017135</t>
        </is>
      </c>
      <c r="AW1233" t="inlineStr">
        <is>
          <t>991000112579702656</t>
        </is>
      </c>
      <c r="AX1233" t="inlineStr">
        <is>
          <t>991000112579702656</t>
        </is>
      </c>
      <c r="AY1233" t="inlineStr">
        <is>
          <t>2258067860002656</t>
        </is>
      </c>
      <c r="AZ1233" t="inlineStr">
        <is>
          <t>BOOK</t>
        </is>
      </c>
      <c r="BB1233" t="inlineStr">
        <is>
          <t>9780387907901</t>
        </is>
      </c>
      <c r="BC1233" t="inlineStr">
        <is>
          <t>32285000264902</t>
        </is>
      </c>
      <c r="BD1233" t="inlineStr">
        <is>
          <t>893333225</t>
        </is>
      </c>
    </row>
    <row r="1234">
      <c r="A1234" t="inlineStr">
        <is>
          <t>No</t>
        </is>
      </c>
      <c r="B1234" t="inlineStr">
        <is>
          <t>GV143.C66 M37 1995</t>
        </is>
      </c>
      <c r="C1234" t="inlineStr">
        <is>
          <t>0                      GV 0143000C  66                 M  37          1995</t>
        </is>
      </c>
      <c r="D1234" t="inlineStr">
        <is>
          <t>Leisure and society in colonial Brazzaville / Phyllis M. Martin.</t>
        </is>
      </c>
      <c r="F1234" t="inlineStr">
        <is>
          <t>No</t>
        </is>
      </c>
      <c r="G1234" t="inlineStr">
        <is>
          <t>1</t>
        </is>
      </c>
      <c r="H1234" t="inlineStr">
        <is>
          <t>No</t>
        </is>
      </c>
      <c r="I1234" t="inlineStr">
        <is>
          <t>No</t>
        </is>
      </c>
      <c r="J1234" t="inlineStr">
        <is>
          <t>0</t>
        </is>
      </c>
      <c r="K1234" t="inlineStr">
        <is>
          <t>Martin, Phyllis M.</t>
        </is>
      </c>
      <c r="L1234" t="inlineStr">
        <is>
          <t>Cambridge ; New York : Cambridge University Press, 1995.</t>
        </is>
      </c>
      <c r="M1234" t="inlineStr">
        <is>
          <t>1995</t>
        </is>
      </c>
      <c r="O1234" t="inlineStr">
        <is>
          <t>eng</t>
        </is>
      </c>
      <c r="P1234" t="inlineStr">
        <is>
          <t>enk</t>
        </is>
      </c>
      <c r="Q1234" t="inlineStr">
        <is>
          <t>African studies series ; 87</t>
        </is>
      </c>
      <c r="R1234" t="inlineStr">
        <is>
          <t xml:space="preserve">GV </t>
        </is>
      </c>
      <c r="S1234" t="n">
        <v>1</v>
      </c>
      <c r="T1234" t="n">
        <v>1</v>
      </c>
      <c r="U1234" t="inlineStr">
        <is>
          <t>2003-09-16</t>
        </is>
      </c>
      <c r="V1234" t="inlineStr">
        <is>
          <t>2003-09-16</t>
        </is>
      </c>
      <c r="W1234" t="inlineStr">
        <is>
          <t>1996-02-20</t>
        </is>
      </c>
      <c r="X1234" t="inlineStr">
        <is>
          <t>1996-02-20</t>
        </is>
      </c>
      <c r="Y1234" t="n">
        <v>348</v>
      </c>
      <c r="Z1234" t="n">
        <v>267</v>
      </c>
      <c r="AA1234" t="n">
        <v>446</v>
      </c>
      <c r="AB1234" t="n">
        <v>2</v>
      </c>
      <c r="AC1234" t="n">
        <v>4</v>
      </c>
      <c r="AD1234" t="n">
        <v>14</v>
      </c>
      <c r="AE1234" t="n">
        <v>27</v>
      </c>
      <c r="AF1234" t="n">
        <v>4</v>
      </c>
      <c r="AG1234" t="n">
        <v>9</v>
      </c>
      <c r="AH1234" t="n">
        <v>6</v>
      </c>
      <c r="AI1234" t="n">
        <v>10</v>
      </c>
      <c r="AJ1234" t="n">
        <v>7</v>
      </c>
      <c r="AK1234" t="n">
        <v>12</v>
      </c>
      <c r="AL1234" t="n">
        <v>1</v>
      </c>
      <c r="AM1234" t="n">
        <v>3</v>
      </c>
      <c r="AN1234" t="n">
        <v>0</v>
      </c>
      <c r="AO1234" t="n">
        <v>0</v>
      </c>
      <c r="AP1234" t="inlineStr">
        <is>
          <t>No</t>
        </is>
      </c>
      <c r="AQ1234" t="inlineStr">
        <is>
          <t>No</t>
        </is>
      </c>
      <c r="AS1234">
        <f>HYPERLINK("https://creighton-primo.hosted.exlibrisgroup.com/primo-explore/search?tab=default_tab&amp;search_scope=EVERYTHING&amp;vid=01CRU&amp;lang=en_US&amp;offset=0&amp;query=any,contains,991002440589702656","Catalog Record")</f>
        <v/>
      </c>
      <c r="AT1234">
        <f>HYPERLINK("http://www.worldcat.org/oclc/31815183","WorldCat Record")</f>
        <v/>
      </c>
      <c r="AU1234" t="inlineStr">
        <is>
          <t>19478059:eng</t>
        </is>
      </c>
      <c r="AV1234" t="inlineStr">
        <is>
          <t>31815183</t>
        </is>
      </c>
      <c r="AW1234" t="inlineStr">
        <is>
          <t>991002440589702656</t>
        </is>
      </c>
      <c r="AX1234" t="inlineStr">
        <is>
          <t>991002440589702656</t>
        </is>
      </c>
      <c r="AY1234" t="inlineStr">
        <is>
          <t>2264013910002656</t>
        </is>
      </c>
      <c r="AZ1234" t="inlineStr">
        <is>
          <t>BOOK</t>
        </is>
      </c>
      <c r="BB1234" t="inlineStr">
        <is>
          <t>9780521495516</t>
        </is>
      </c>
      <c r="BC1234" t="inlineStr">
        <is>
          <t>32285002136611</t>
        </is>
      </c>
      <c r="BD1234" t="inlineStr">
        <is>
          <t>893523618</t>
        </is>
      </c>
    </row>
    <row r="1235">
      <c r="A1235" t="inlineStr">
        <is>
          <t>No</t>
        </is>
      </c>
      <c r="B1235" t="inlineStr">
        <is>
          <t>GV1469.15 .C393 2007</t>
        </is>
      </c>
      <c r="C1235" t="inlineStr">
        <is>
          <t>0                      GV 1469150C  393         2007</t>
        </is>
      </c>
      <c r="D1235" t="inlineStr">
        <is>
          <t>Exodus to the virtual world : how online fun is changing reality / Edward Castronova.</t>
        </is>
      </c>
      <c r="F1235" t="inlineStr">
        <is>
          <t>No</t>
        </is>
      </c>
      <c r="G1235" t="inlineStr">
        <is>
          <t>1</t>
        </is>
      </c>
      <c r="H1235" t="inlineStr">
        <is>
          <t>No</t>
        </is>
      </c>
      <c r="I1235" t="inlineStr">
        <is>
          <t>No</t>
        </is>
      </c>
      <c r="J1235" t="inlineStr">
        <is>
          <t>0</t>
        </is>
      </c>
      <c r="K1235" t="inlineStr">
        <is>
          <t>Castronova, Edward.</t>
        </is>
      </c>
      <c r="L1235" t="inlineStr">
        <is>
          <t>New York : Palgrave Macmillan, 2007.</t>
        </is>
      </c>
      <c r="M1235" t="inlineStr">
        <is>
          <t>2007</t>
        </is>
      </c>
      <c r="N1235" t="inlineStr">
        <is>
          <t>1st ed.</t>
        </is>
      </c>
      <c r="O1235" t="inlineStr">
        <is>
          <t>eng</t>
        </is>
      </c>
      <c r="P1235" t="inlineStr">
        <is>
          <t>nyu</t>
        </is>
      </c>
      <c r="R1235" t="inlineStr">
        <is>
          <t xml:space="preserve">GV </t>
        </is>
      </c>
      <c r="S1235" t="n">
        <v>1</v>
      </c>
      <c r="T1235" t="n">
        <v>1</v>
      </c>
      <c r="U1235" t="inlineStr">
        <is>
          <t>2009-04-27</t>
        </is>
      </c>
      <c r="V1235" t="inlineStr">
        <is>
          <t>2009-04-27</t>
        </is>
      </c>
      <c r="W1235" t="inlineStr">
        <is>
          <t>2009-04-27</t>
        </is>
      </c>
      <c r="X1235" t="inlineStr">
        <is>
          <t>2009-04-27</t>
        </is>
      </c>
      <c r="Y1235" t="n">
        <v>741</v>
      </c>
      <c r="Z1235" t="n">
        <v>631</v>
      </c>
      <c r="AA1235" t="n">
        <v>756</v>
      </c>
      <c r="AB1235" t="n">
        <v>3</v>
      </c>
      <c r="AC1235" t="n">
        <v>6</v>
      </c>
      <c r="AD1235" t="n">
        <v>24</v>
      </c>
      <c r="AE1235" t="n">
        <v>33</v>
      </c>
      <c r="AF1235" t="n">
        <v>13</v>
      </c>
      <c r="AG1235" t="n">
        <v>15</v>
      </c>
      <c r="AH1235" t="n">
        <v>5</v>
      </c>
      <c r="AI1235" t="n">
        <v>5</v>
      </c>
      <c r="AJ1235" t="n">
        <v>9</v>
      </c>
      <c r="AK1235" t="n">
        <v>13</v>
      </c>
      <c r="AL1235" t="n">
        <v>2</v>
      </c>
      <c r="AM1235" t="n">
        <v>4</v>
      </c>
      <c r="AN1235" t="n">
        <v>1</v>
      </c>
      <c r="AO1235" t="n">
        <v>2</v>
      </c>
      <c r="AP1235" t="inlineStr">
        <is>
          <t>No</t>
        </is>
      </c>
      <c r="AQ1235" t="inlineStr">
        <is>
          <t>No</t>
        </is>
      </c>
      <c r="AS1235">
        <f>HYPERLINK("https://creighton-primo.hosted.exlibrisgroup.com/primo-explore/search?tab=default_tab&amp;search_scope=EVERYTHING&amp;vid=01CRU&amp;lang=en_US&amp;offset=0&amp;query=any,contains,991005309589702656","Catalog Record")</f>
        <v/>
      </c>
      <c r="AT1235">
        <f>HYPERLINK("http://www.worldcat.org/oclc/123136569","WorldCat Record")</f>
        <v/>
      </c>
      <c r="AU1235" t="inlineStr">
        <is>
          <t>865497744:eng</t>
        </is>
      </c>
      <c r="AV1235" t="inlineStr">
        <is>
          <t>123136569</t>
        </is>
      </c>
      <c r="AW1235" t="inlineStr">
        <is>
          <t>991005309589702656</t>
        </is>
      </c>
      <c r="AX1235" t="inlineStr">
        <is>
          <t>991005309589702656</t>
        </is>
      </c>
      <c r="AY1235" t="inlineStr">
        <is>
          <t>2258532790002656</t>
        </is>
      </c>
      <c r="AZ1235" t="inlineStr">
        <is>
          <t>BOOK</t>
        </is>
      </c>
      <c r="BB1235" t="inlineStr">
        <is>
          <t>9781403984128</t>
        </is>
      </c>
      <c r="BC1235" t="inlineStr">
        <is>
          <t>32285005518963</t>
        </is>
      </c>
      <c r="BD1235" t="inlineStr">
        <is>
          <t>893628679</t>
        </is>
      </c>
    </row>
    <row r="1236">
      <c r="A1236" t="inlineStr">
        <is>
          <t>No</t>
        </is>
      </c>
      <c r="B1236" t="inlineStr">
        <is>
          <t>GV1469.15 .D533 2006</t>
        </is>
      </c>
      <c r="C1236" t="inlineStr">
        <is>
          <t>0                      GV 1469150D  533         2006</t>
        </is>
      </c>
      <c r="D1236" t="inlineStr">
        <is>
          <t>Play money, or, How I quit my day job and made millions trading virtual loot / Julian Dibbell.</t>
        </is>
      </c>
      <c r="F1236" t="inlineStr">
        <is>
          <t>No</t>
        </is>
      </c>
      <c r="G1236" t="inlineStr">
        <is>
          <t>1</t>
        </is>
      </c>
      <c r="H1236" t="inlineStr">
        <is>
          <t>No</t>
        </is>
      </c>
      <c r="I1236" t="inlineStr">
        <is>
          <t>No</t>
        </is>
      </c>
      <c r="J1236" t="inlineStr">
        <is>
          <t>0</t>
        </is>
      </c>
      <c r="K1236" t="inlineStr">
        <is>
          <t>Dibbell, Julian.</t>
        </is>
      </c>
      <c r="L1236" t="inlineStr">
        <is>
          <t>New York : Basic Books, c2006</t>
        </is>
      </c>
      <c r="M1236" t="inlineStr">
        <is>
          <t>2006</t>
        </is>
      </c>
      <c r="O1236" t="inlineStr">
        <is>
          <t>eng</t>
        </is>
      </c>
      <c r="P1236" t="inlineStr">
        <is>
          <t>nyu</t>
        </is>
      </c>
      <c r="R1236" t="inlineStr">
        <is>
          <t xml:space="preserve">GV </t>
        </is>
      </c>
      <c r="S1236" t="n">
        <v>1</v>
      </c>
      <c r="T1236" t="n">
        <v>1</v>
      </c>
      <c r="U1236" t="inlineStr">
        <is>
          <t>2008-09-29</t>
        </is>
      </c>
      <c r="V1236" t="inlineStr">
        <is>
          <t>2008-09-29</t>
        </is>
      </c>
      <c r="W1236" t="inlineStr">
        <is>
          <t>2008-09-29</t>
        </is>
      </c>
      <c r="X1236" t="inlineStr">
        <is>
          <t>2008-09-29</t>
        </is>
      </c>
      <c r="Y1236" t="n">
        <v>237</v>
      </c>
      <c r="Z1236" t="n">
        <v>200</v>
      </c>
      <c r="AA1236" t="n">
        <v>286</v>
      </c>
      <c r="AB1236" t="n">
        <v>1</v>
      </c>
      <c r="AC1236" t="n">
        <v>2</v>
      </c>
      <c r="AD1236" t="n">
        <v>5</v>
      </c>
      <c r="AE1236" t="n">
        <v>8</v>
      </c>
      <c r="AF1236" t="n">
        <v>3</v>
      </c>
      <c r="AG1236" t="n">
        <v>4</v>
      </c>
      <c r="AH1236" t="n">
        <v>0</v>
      </c>
      <c r="AI1236" t="n">
        <v>0</v>
      </c>
      <c r="AJ1236" t="n">
        <v>1</v>
      </c>
      <c r="AK1236" t="n">
        <v>1</v>
      </c>
      <c r="AL1236" t="n">
        <v>0</v>
      </c>
      <c r="AM1236" t="n">
        <v>1</v>
      </c>
      <c r="AN1236" t="n">
        <v>1</v>
      </c>
      <c r="AO1236" t="n">
        <v>2</v>
      </c>
      <c r="AP1236" t="inlineStr">
        <is>
          <t>No</t>
        </is>
      </c>
      <c r="AQ1236" t="inlineStr">
        <is>
          <t>No</t>
        </is>
      </c>
      <c r="AS1236">
        <f>HYPERLINK("https://creighton-primo.hosted.exlibrisgroup.com/primo-explore/search?tab=default_tab&amp;search_scope=EVERYTHING&amp;vid=01CRU&amp;lang=en_US&amp;offset=0&amp;query=any,contains,991005270419702656","Catalog Record")</f>
        <v/>
      </c>
      <c r="AT1236">
        <f>HYPERLINK("http://www.worldcat.org/oclc/70285307","WorldCat Record")</f>
        <v/>
      </c>
      <c r="AU1236" t="inlineStr">
        <is>
          <t>57493124:eng</t>
        </is>
      </c>
      <c r="AV1236" t="inlineStr">
        <is>
          <t>70285307</t>
        </is>
      </c>
      <c r="AW1236" t="inlineStr">
        <is>
          <t>991005270419702656</t>
        </is>
      </c>
      <c r="AX1236" t="inlineStr">
        <is>
          <t>991005270419702656</t>
        </is>
      </c>
      <c r="AY1236" t="inlineStr">
        <is>
          <t>2258097590002656</t>
        </is>
      </c>
      <c r="AZ1236" t="inlineStr">
        <is>
          <t>BOOK</t>
        </is>
      </c>
      <c r="BB1236" t="inlineStr">
        <is>
          <t>9780465015351</t>
        </is>
      </c>
      <c r="BC1236" t="inlineStr">
        <is>
          <t>32285005460927</t>
        </is>
      </c>
      <c r="BD1236" t="inlineStr">
        <is>
          <t>893248636</t>
        </is>
      </c>
    </row>
    <row r="1237">
      <c r="A1237" t="inlineStr">
        <is>
          <t>No</t>
        </is>
      </c>
      <c r="B1237" t="inlineStr">
        <is>
          <t>GV149 .S87 1981</t>
        </is>
      </c>
      <c r="C1237" t="inlineStr">
        <is>
          <t>0                      GV 0149000S  87          1981</t>
        </is>
      </c>
      <c r="D1237" t="inlineStr">
        <is>
          <t>A history of children's play : New Zealand, 1840-1950 / Brian Sutton-Smith.</t>
        </is>
      </c>
      <c r="F1237" t="inlineStr">
        <is>
          <t>No</t>
        </is>
      </c>
      <c r="G1237" t="inlineStr">
        <is>
          <t>1</t>
        </is>
      </c>
      <c r="H1237" t="inlineStr">
        <is>
          <t>No</t>
        </is>
      </c>
      <c r="I1237" t="inlineStr">
        <is>
          <t>No</t>
        </is>
      </c>
      <c r="J1237" t="inlineStr">
        <is>
          <t>0</t>
        </is>
      </c>
      <c r="K1237" t="inlineStr">
        <is>
          <t>Sutton-Smith, Brian.</t>
        </is>
      </c>
      <c r="L1237" t="inlineStr">
        <is>
          <t>Philadelphia : University of Pennsylvania Press, 1981.</t>
        </is>
      </c>
      <c r="M1237" t="inlineStr">
        <is>
          <t>1981</t>
        </is>
      </c>
      <c r="O1237" t="inlineStr">
        <is>
          <t>eng</t>
        </is>
      </c>
      <c r="P1237" t="inlineStr">
        <is>
          <t>pau</t>
        </is>
      </c>
      <c r="R1237" t="inlineStr">
        <is>
          <t xml:space="preserve">GV </t>
        </is>
      </c>
      <c r="S1237" t="n">
        <v>1</v>
      </c>
      <c r="T1237" t="n">
        <v>1</v>
      </c>
      <c r="U1237" t="inlineStr">
        <is>
          <t>2004-09-28</t>
        </is>
      </c>
      <c r="V1237" t="inlineStr">
        <is>
          <t>2004-09-28</t>
        </is>
      </c>
      <c r="W1237" t="inlineStr">
        <is>
          <t>1990-05-01</t>
        </is>
      </c>
      <c r="X1237" t="inlineStr">
        <is>
          <t>1990-05-01</t>
        </is>
      </c>
      <c r="Y1237" t="n">
        <v>347</v>
      </c>
      <c r="Z1237" t="n">
        <v>291</v>
      </c>
      <c r="AA1237" t="n">
        <v>481</v>
      </c>
      <c r="AB1237" t="n">
        <v>1</v>
      </c>
      <c r="AC1237" t="n">
        <v>1</v>
      </c>
      <c r="AD1237" t="n">
        <v>8</v>
      </c>
      <c r="AE1237" t="n">
        <v>21</v>
      </c>
      <c r="AF1237" t="n">
        <v>3</v>
      </c>
      <c r="AG1237" t="n">
        <v>10</v>
      </c>
      <c r="AH1237" t="n">
        <v>2</v>
      </c>
      <c r="AI1237" t="n">
        <v>6</v>
      </c>
      <c r="AJ1237" t="n">
        <v>4</v>
      </c>
      <c r="AK1237" t="n">
        <v>11</v>
      </c>
      <c r="AL1237" t="n">
        <v>0</v>
      </c>
      <c r="AM1237" t="n">
        <v>0</v>
      </c>
      <c r="AN1237" t="n">
        <v>0</v>
      </c>
      <c r="AO1237" t="n">
        <v>0</v>
      </c>
      <c r="AP1237" t="inlineStr">
        <is>
          <t>No</t>
        </is>
      </c>
      <c r="AQ1237" t="inlineStr">
        <is>
          <t>Yes</t>
        </is>
      </c>
      <c r="AR1237">
        <f>HYPERLINK("http://catalog.hathitrust.org/Record/000183469","HathiTrust Record")</f>
        <v/>
      </c>
      <c r="AS1237">
        <f>HYPERLINK("https://creighton-primo.hosted.exlibrisgroup.com/primo-explore/search?tab=default_tab&amp;search_scope=EVERYTHING&amp;vid=01CRU&amp;lang=en_US&amp;offset=0&amp;query=any,contains,991005162559702656","Catalog Record")</f>
        <v/>
      </c>
      <c r="AT1237">
        <f>HYPERLINK("http://www.worldcat.org/oclc/7796876","WorldCat Record")</f>
        <v/>
      </c>
      <c r="AU1237" t="inlineStr">
        <is>
          <t>579896:eng</t>
        </is>
      </c>
      <c r="AV1237" t="inlineStr">
        <is>
          <t>7796876</t>
        </is>
      </c>
      <c r="AW1237" t="inlineStr">
        <is>
          <t>991005162559702656</t>
        </is>
      </c>
      <c r="AX1237" t="inlineStr">
        <is>
          <t>991005162559702656</t>
        </is>
      </c>
      <c r="AY1237" t="inlineStr">
        <is>
          <t>2266181630002656</t>
        </is>
      </c>
      <c r="AZ1237" t="inlineStr">
        <is>
          <t>BOOK</t>
        </is>
      </c>
      <c r="BB1237" t="inlineStr">
        <is>
          <t>9780812278088</t>
        </is>
      </c>
      <c r="BC1237" t="inlineStr">
        <is>
          <t>32285000145499</t>
        </is>
      </c>
      <c r="BD1237" t="inlineStr">
        <is>
          <t>893514149</t>
        </is>
      </c>
    </row>
    <row r="1238">
      <c r="A1238" t="inlineStr">
        <is>
          <t>No</t>
        </is>
      </c>
      <c r="B1238" t="inlineStr">
        <is>
          <t>GV1493 .E48</t>
        </is>
      </c>
      <c r="C1238" t="inlineStr">
        <is>
          <t>0                      GV 1493000E  48</t>
        </is>
      </c>
      <c r="D1238" t="inlineStr">
        <is>
          <t>Mind tickling brainteasers / E. R. Emmet.</t>
        </is>
      </c>
      <c r="F1238" t="inlineStr">
        <is>
          <t>No</t>
        </is>
      </c>
      <c r="G1238" t="inlineStr">
        <is>
          <t>1</t>
        </is>
      </c>
      <c r="H1238" t="inlineStr">
        <is>
          <t>No</t>
        </is>
      </c>
      <c r="I1238" t="inlineStr">
        <is>
          <t>No</t>
        </is>
      </c>
      <c r="J1238" t="inlineStr">
        <is>
          <t>0</t>
        </is>
      </c>
      <c r="K1238" t="inlineStr">
        <is>
          <t>Emmet, E. R. (Eric Revell)</t>
        </is>
      </c>
      <c r="L1238" t="inlineStr">
        <is>
          <t>Buchanan, N.Y. : Emerson Books, 1978.</t>
        </is>
      </c>
      <c r="M1238" t="inlineStr">
        <is>
          <t>1978</t>
        </is>
      </c>
      <c r="O1238" t="inlineStr">
        <is>
          <t>eng</t>
        </is>
      </c>
      <c r="P1238" t="inlineStr">
        <is>
          <t>nyu</t>
        </is>
      </c>
      <c r="R1238" t="inlineStr">
        <is>
          <t xml:space="preserve">GV </t>
        </is>
      </c>
      <c r="S1238" t="n">
        <v>10</v>
      </c>
      <c r="T1238" t="n">
        <v>10</v>
      </c>
      <c r="U1238" t="inlineStr">
        <is>
          <t>2009-11-10</t>
        </is>
      </c>
      <c r="V1238" t="inlineStr">
        <is>
          <t>2009-11-10</t>
        </is>
      </c>
      <c r="W1238" t="inlineStr">
        <is>
          <t>1992-02-19</t>
        </is>
      </c>
      <c r="X1238" t="inlineStr">
        <is>
          <t>1992-02-19</t>
        </is>
      </c>
      <c r="Y1238" t="n">
        <v>118</v>
      </c>
      <c r="Z1238" t="n">
        <v>107</v>
      </c>
      <c r="AA1238" t="n">
        <v>120</v>
      </c>
      <c r="AB1238" t="n">
        <v>1</v>
      </c>
      <c r="AC1238" t="n">
        <v>1</v>
      </c>
      <c r="AD1238" t="n">
        <v>0</v>
      </c>
      <c r="AE1238" t="n">
        <v>0</v>
      </c>
      <c r="AF1238" t="n">
        <v>0</v>
      </c>
      <c r="AG1238" t="n">
        <v>0</v>
      </c>
      <c r="AH1238" t="n">
        <v>0</v>
      </c>
      <c r="AI1238" t="n">
        <v>0</v>
      </c>
      <c r="AJ1238" t="n">
        <v>0</v>
      </c>
      <c r="AK1238" t="n">
        <v>0</v>
      </c>
      <c r="AL1238" t="n">
        <v>0</v>
      </c>
      <c r="AM1238" t="n">
        <v>0</v>
      </c>
      <c r="AN1238" t="n">
        <v>0</v>
      </c>
      <c r="AO1238" t="n">
        <v>0</v>
      </c>
      <c r="AP1238" t="inlineStr">
        <is>
          <t>No</t>
        </is>
      </c>
      <c r="AQ1238" t="inlineStr">
        <is>
          <t>Yes</t>
        </is>
      </c>
      <c r="AR1238">
        <f>HYPERLINK("http://catalog.hathitrust.org/Record/007049505","HathiTrust Record")</f>
        <v/>
      </c>
      <c r="AS1238">
        <f>HYPERLINK("https://creighton-primo.hosted.exlibrisgroup.com/primo-explore/search?tab=default_tab&amp;search_scope=EVERYTHING&amp;vid=01CRU&amp;lang=en_US&amp;offset=0&amp;query=any,contains,991004499419702656","Catalog Record")</f>
        <v/>
      </c>
      <c r="AT1238">
        <f>HYPERLINK("http://www.worldcat.org/oclc/3710658","WorldCat Record")</f>
        <v/>
      </c>
      <c r="AU1238" t="inlineStr">
        <is>
          <t>11896814:eng</t>
        </is>
      </c>
      <c r="AV1238" t="inlineStr">
        <is>
          <t>3710658</t>
        </is>
      </c>
      <c r="AW1238" t="inlineStr">
        <is>
          <t>991004499419702656</t>
        </is>
      </c>
      <c r="AX1238" t="inlineStr">
        <is>
          <t>991004499419702656</t>
        </is>
      </c>
      <c r="AY1238" t="inlineStr">
        <is>
          <t>2263849950002656</t>
        </is>
      </c>
      <c r="AZ1238" t="inlineStr">
        <is>
          <t>BOOK</t>
        </is>
      </c>
      <c r="BB1238" t="inlineStr">
        <is>
          <t>9780875231921</t>
        </is>
      </c>
      <c r="BC1238" t="inlineStr">
        <is>
          <t>32285000947951</t>
        </is>
      </c>
      <c r="BD1238" t="inlineStr">
        <is>
          <t>893417696</t>
        </is>
      </c>
    </row>
    <row r="1239">
      <c r="A1239" t="inlineStr">
        <is>
          <t>No</t>
        </is>
      </c>
      <c r="B1239" t="inlineStr">
        <is>
          <t>GV1493 .G343 1984</t>
        </is>
      </c>
      <c r="C1239" t="inlineStr">
        <is>
          <t>0                      GV 1493000G  343         1984</t>
        </is>
      </c>
      <c r="D1239" t="inlineStr">
        <is>
          <t>Puzzles from other worlds : fantastical brainteasers from Isaac Asimov's science fiction magazine / Martin Gardner ; [illustrations by David DellaRatta].</t>
        </is>
      </c>
      <c r="F1239" t="inlineStr">
        <is>
          <t>No</t>
        </is>
      </c>
      <c r="G1239" t="inlineStr">
        <is>
          <t>1</t>
        </is>
      </c>
      <c r="H1239" t="inlineStr">
        <is>
          <t>No</t>
        </is>
      </c>
      <c r="I1239" t="inlineStr">
        <is>
          <t>No</t>
        </is>
      </c>
      <c r="J1239" t="inlineStr">
        <is>
          <t>0</t>
        </is>
      </c>
      <c r="K1239" t="inlineStr">
        <is>
          <t>Gardner, Martin, 1914-2010.</t>
        </is>
      </c>
      <c r="L1239" t="inlineStr">
        <is>
          <t>New York : Vintage Books, c1984.</t>
        </is>
      </c>
      <c r="M1239" t="inlineStr">
        <is>
          <t>1984</t>
        </is>
      </c>
      <c r="N1239" t="inlineStr">
        <is>
          <t>1st ed.</t>
        </is>
      </c>
      <c r="O1239" t="inlineStr">
        <is>
          <t>eng</t>
        </is>
      </c>
      <c r="P1239" t="inlineStr">
        <is>
          <t>nyu</t>
        </is>
      </c>
      <c r="R1239" t="inlineStr">
        <is>
          <t xml:space="preserve">GV </t>
        </is>
      </c>
      <c r="S1239" t="n">
        <v>8</v>
      </c>
      <c r="T1239" t="n">
        <v>8</v>
      </c>
      <c r="U1239" t="inlineStr">
        <is>
          <t>2009-11-10</t>
        </is>
      </c>
      <c r="V1239" t="inlineStr">
        <is>
          <t>2009-11-10</t>
        </is>
      </c>
      <c r="W1239" t="inlineStr">
        <is>
          <t>1990-08-03</t>
        </is>
      </c>
      <c r="X1239" t="inlineStr">
        <is>
          <t>1990-08-03</t>
        </is>
      </c>
      <c r="Y1239" t="n">
        <v>82</v>
      </c>
      <c r="Z1239" t="n">
        <v>75</v>
      </c>
      <c r="AA1239" t="n">
        <v>76</v>
      </c>
      <c r="AB1239" t="n">
        <v>2</v>
      </c>
      <c r="AC1239" t="n">
        <v>2</v>
      </c>
      <c r="AD1239" t="n">
        <v>2</v>
      </c>
      <c r="AE1239" t="n">
        <v>2</v>
      </c>
      <c r="AF1239" t="n">
        <v>0</v>
      </c>
      <c r="AG1239" t="n">
        <v>0</v>
      </c>
      <c r="AH1239" t="n">
        <v>0</v>
      </c>
      <c r="AI1239" t="n">
        <v>0</v>
      </c>
      <c r="AJ1239" t="n">
        <v>1</v>
      </c>
      <c r="AK1239" t="n">
        <v>1</v>
      </c>
      <c r="AL1239" t="n">
        <v>1</v>
      </c>
      <c r="AM1239" t="n">
        <v>1</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HYPERLINK("https://creighton-primo.hosted.exlibrisgroup.com/primo-explore/search?tab=default_tab&amp;search_scope=EVERYTHING&amp;vid=01CRU&amp;lang=en_US&amp;offset=0&amp;query=any,contains,991000335909702656","Catalog Record")</f>
        <v/>
      </c>
      <c r="AT1239">
        <f>HYPERLINK("http://www.worldcat.org/oclc/10229763","WorldCat Record")</f>
        <v/>
      </c>
      <c r="AU1239" t="inlineStr">
        <is>
          <t>503205138:eng</t>
        </is>
      </c>
      <c r="AV1239" t="inlineStr">
        <is>
          <t>10229763</t>
        </is>
      </c>
      <c r="AW1239" t="inlineStr">
        <is>
          <t>991000335909702656</t>
        </is>
      </c>
      <c r="AX1239" t="inlineStr">
        <is>
          <t>991000335909702656</t>
        </is>
      </c>
      <c r="AY1239" t="inlineStr">
        <is>
          <t>2264112910002656</t>
        </is>
      </c>
      <c r="AZ1239" t="inlineStr">
        <is>
          <t>BOOK</t>
        </is>
      </c>
      <c r="BB1239" t="inlineStr">
        <is>
          <t>9780394721408</t>
        </is>
      </c>
      <c r="BC1239" t="inlineStr">
        <is>
          <t>32285000265651</t>
        </is>
      </c>
      <c r="BD1239" t="inlineStr">
        <is>
          <t>893527970</t>
        </is>
      </c>
    </row>
    <row r="1240">
      <c r="A1240" t="inlineStr">
        <is>
          <t>No</t>
        </is>
      </c>
      <c r="B1240" t="inlineStr">
        <is>
          <t>GV1493 .H57</t>
        </is>
      </c>
      <c r="C1240" t="inlineStr">
        <is>
          <t>0                      GV 1493000H  57</t>
        </is>
      </c>
      <c r="D1240" t="inlineStr">
        <is>
          <t>Tantalizers : a book of original logical puzzles.</t>
        </is>
      </c>
      <c r="F1240" t="inlineStr">
        <is>
          <t>No</t>
        </is>
      </c>
      <c r="G1240" t="inlineStr">
        <is>
          <t>1</t>
        </is>
      </c>
      <c r="H1240" t="inlineStr">
        <is>
          <t>No</t>
        </is>
      </c>
      <c r="I1240" t="inlineStr">
        <is>
          <t>No</t>
        </is>
      </c>
      <c r="J1240" t="inlineStr">
        <is>
          <t>0</t>
        </is>
      </c>
      <c r="K1240" t="inlineStr">
        <is>
          <t>Hollis, Martin.</t>
        </is>
      </c>
      <c r="L1240" t="inlineStr">
        <is>
          <t>London : Allen &amp; Unwin, 1970.</t>
        </is>
      </c>
      <c r="M1240" t="inlineStr">
        <is>
          <t>1970</t>
        </is>
      </c>
      <c r="O1240" t="inlineStr">
        <is>
          <t>eng</t>
        </is>
      </c>
      <c r="P1240" t="inlineStr">
        <is>
          <t>enk</t>
        </is>
      </c>
      <c r="R1240" t="inlineStr">
        <is>
          <t xml:space="preserve">GV </t>
        </is>
      </c>
      <c r="S1240" t="n">
        <v>4</v>
      </c>
      <c r="T1240" t="n">
        <v>4</v>
      </c>
      <c r="U1240" t="inlineStr">
        <is>
          <t>2009-11-10</t>
        </is>
      </c>
      <c r="V1240" t="inlineStr">
        <is>
          <t>2009-11-10</t>
        </is>
      </c>
      <c r="W1240" t="inlineStr">
        <is>
          <t>1993-12-16</t>
        </is>
      </c>
      <c r="X1240" t="inlineStr">
        <is>
          <t>1993-12-16</t>
        </is>
      </c>
      <c r="Y1240" t="n">
        <v>65</v>
      </c>
      <c r="Z1240" t="n">
        <v>25</v>
      </c>
      <c r="AA1240" t="n">
        <v>25</v>
      </c>
      <c r="AB1240" t="n">
        <v>1</v>
      </c>
      <c r="AC1240" t="n">
        <v>1</v>
      </c>
      <c r="AD1240" t="n">
        <v>1</v>
      </c>
      <c r="AE1240" t="n">
        <v>1</v>
      </c>
      <c r="AF1240" t="n">
        <v>0</v>
      </c>
      <c r="AG1240" t="n">
        <v>0</v>
      </c>
      <c r="AH1240" t="n">
        <v>1</v>
      </c>
      <c r="AI1240" t="n">
        <v>1</v>
      </c>
      <c r="AJ1240" t="n">
        <v>0</v>
      </c>
      <c r="AK1240" t="n">
        <v>0</v>
      </c>
      <c r="AL1240" t="n">
        <v>0</v>
      </c>
      <c r="AM1240" t="n">
        <v>0</v>
      </c>
      <c r="AN1240" t="n">
        <v>0</v>
      </c>
      <c r="AO1240" t="n">
        <v>0</v>
      </c>
      <c r="AP1240" t="inlineStr">
        <is>
          <t>No</t>
        </is>
      </c>
      <c r="AQ1240" t="inlineStr">
        <is>
          <t>No</t>
        </is>
      </c>
      <c r="AS1240">
        <f>HYPERLINK("https://creighton-primo.hosted.exlibrisgroup.com/primo-explore/search?tab=default_tab&amp;search_scope=EVERYTHING&amp;vid=01CRU&amp;lang=en_US&amp;offset=0&amp;query=any,contains,991000512049702656","Catalog Record")</f>
        <v/>
      </c>
      <c r="AT1240">
        <f>HYPERLINK("http://www.worldcat.org/oclc/83705","WorldCat Record")</f>
        <v/>
      </c>
      <c r="AU1240" t="inlineStr">
        <is>
          <t>836629276:eng</t>
        </is>
      </c>
      <c r="AV1240" t="inlineStr">
        <is>
          <t>83705</t>
        </is>
      </c>
      <c r="AW1240" t="inlineStr">
        <is>
          <t>991000512049702656</t>
        </is>
      </c>
      <c r="AX1240" t="inlineStr">
        <is>
          <t>991000512049702656</t>
        </is>
      </c>
      <c r="AY1240" t="inlineStr">
        <is>
          <t>2272669820002656</t>
        </is>
      </c>
      <c r="AZ1240" t="inlineStr">
        <is>
          <t>BOOK</t>
        </is>
      </c>
      <c r="BB1240" t="inlineStr">
        <is>
          <t>9780047930133</t>
        </is>
      </c>
      <c r="BC1240" t="inlineStr">
        <is>
          <t>32285001809713</t>
        </is>
      </c>
      <c r="BD1240" t="inlineStr">
        <is>
          <t>893502544</t>
        </is>
      </c>
    </row>
    <row r="1241">
      <c r="A1241" t="inlineStr">
        <is>
          <t>No</t>
        </is>
      </c>
      <c r="B1241" t="inlineStr">
        <is>
          <t>GV1545.S29 A3 2001</t>
        </is>
      </c>
      <c r="C1241" t="inlineStr">
        <is>
          <t>0                      GV 1545000S  29                 A  3           2001</t>
        </is>
      </c>
      <c r="D1241" t="inlineStr">
        <is>
          <t>Sorcerer's apprentice / Tahir Shah.</t>
        </is>
      </c>
      <c r="F1241" t="inlineStr">
        <is>
          <t>No</t>
        </is>
      </c>
      <c r="G1241" t="inlineStr">
        <is>
          <t>1</t>
        </is>
      </c>
      <c r="H1241" t="inlineStr">
        <is>
          <t>No</t>
        </is>
      </c>
      <c r="I1241" t="inlineStr">
        <is>
          <t>No</t>
        </is>
      </c>
      <c r="J1241" t="inlineStr">
        <is>
          <t>0</t>
        </is>
      </c>
      <c r="K1241" t="inlineStr">
        <is>
          <t>Shah, Tahir.</t>
        </is>
      </c>
      <c r="L1241" t="inlineStr">
        <is>
          <t>New York : Arcade Pub. : Distributed by Time Warner Trade Pub. 2001.</t>
        </is>
      </c>
      <c r="M1241" t="inlineStr">
        <is>
          <t>2001</t>
        </is>
      </c>
      <c r="N1241" t="inlineStr">
        <is>
          <t>1st U.S. ed.</t>
        </is>
      </c>
      <c r="O1241" t="inlineStr">
        <is>
          <t>eng</t>
        </is>
      </c>
      <c r="P1241" t="inlineStr">
        <is>
          <t>nyu</t>
        </is>
      </c>
      <c r="R1241" t="inlineStr">
        <is>
          <t xml:space="preserve">GV </t>
        </is>
      </c>
      <c r="S1241" t="n">
        <v>5</v>
      </c>
      <c r="T1241" t="n">
        <v>5</v>
      </c>
      <c r="U1241" t="inlineStr">
        <is>
          <t>2004-07-26</t>
        </is>
      </c>
      <c r="V1241" t="inlineStr">
        <is>
          <t>2004-07-26</t>
        </is>
      </c>
      <c r="W1241" t="inlineStr">
        <is>
          <t>2001-12-03</t>
        </is>
      </c>
      <c r="X1241" t="inlineStr">
        <is>
          <t>2001-12-03</t>
        </is>
      </c>
      <c r="Y1241" t="n">
        <v>353</v>
      </c>
      <c r="Z1241" t="n">
        <v>343</v>
      </c>
      <c r="AA1241" t="n">
        <v>495</v>
      </c>
      <c r="AB1241" t="n">
        <v>1</v>
      </c>
      <c r="AC1241" t="n">
        <v>1</v>
      </c>
      <c r="AD1241" t="n">
        <v>2</v>
      </c>
      <c r="AE1241" t="n">
        <v>3</v>
      </c>
      <c r="AF1241" t="n">
        <v>2</v>
      </c>
      <c r="AG1241" t="n">
        <v>2</v>
      </c>
      <c r="AH1241" t="n">
        <v>0</v>
      </c>
      <c r="AI1241" t="n">
        <v>1</v>
      </c>
      <c r="AJ1241" t="n">
        <v>1</v>
      </c>
      <c r="AK1241" t="n">
        <v>2</v>
      </c>
      <c r="AL1241" t="n">
        <v>0</v>
      </c>
      <c r="AM1241" t="n">
        <v>0</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HYPERLINK("https://creighton-primo.hosted.exlibrisgroup.com/primo-explore/search?tab=default_tab&amp;search_scope=EVERYTHING&amp;vid=01CRU&amp;lang=en_US&amp;offset=0&amp;query=any,contains,991003666839702656","Catalog Record")</f>
        <v/>
      </c>
      <c r="AT1241">
        <f>HYPERLINK("http://www.worldcat.org/oclc/46422213","WorldCat Record")</f>
        <v/>
      </c>
      <c r="AU1241" t="inlineStr">
        <is>
          <t>3007055:eng</t>
        </is>
      </c>
      <c r="AV1241" t="inlineStr">
        <is>
          <t>46422213</t>
        </is>
      </c>
      <c r="AW1241" t="inlineStr">
        <is>
          <t>991003666839702656</t>
        </is>
      </c>
      <c r="AX1241" t="inlineStr">
        <is>
          <t>991003666839702656</t>
        </is>
      </c>
      <c r="AY1241" t="inlineStr">
        <is>
          <t>2261338440002656</t>
        </is>
      </c>
      <c r="AZ1241" t="inlineStr">
        <is>
          <t>BOOK</t>
        </is>
      </c>
      <c r="BB1241" t="inlineStr">
        <is>
          <t>9781559705806</t>
        </is>
      </c>
      <c r="BC1241" t="inlineStr">
        <is>
          <t>32285004425087</t>
        </is>
      </c>
      <c r="BD1241" t="inlineStr">
        <is>
          <t>893348977</t>
        </is>
      </c>
    </row>
    <row r="1242">
      <c r="A1242" t="inlineStr">
        <is>
          <t>No</t>
        </is>
      </c>
      <c r="B1242" t="inlineStr">
        <is>
          <t>GV1580 .F58 no.9</t>
        </is>
      </c>
      <c r="C1242" t="inlineStr">
        <is>
          <t>0                      GV 1580000F  58                                                      no.9</t>
        </is>
      </c>
      <c r="D1242" t="inlineStr">
        <is>
          <t>Dance for the handicapped / sponsored by the National Dance Association.</t>
        </is>
      </c>
      <c r="E1242" t="inlineStr">
        <is>
          <t>no.9*</t>
        </is>
      </c>
      <c r="F1242" t="inlineStr">
        <is>
          <t>No</t>
        </is>
      </c>
      <c r="G1242" t="inlineStr">
        <is>
          <t>1</t>
        </is>
      </c>
      <c r="H1242" t="inlineStr">
        <is>
          <t>No</t>
        </is>
      </c>
      <c r="I1242" t="inlineStr">
        <is>
          <t>No</t>
        </is>
      </c>
      <c r="J1242" t="inlineStr">
        <is>
          <t>0</t>
        </is>
      </c>
      <c r="L1242" t="inlineStr">
        <is>
          <t>Washington : American Alliance for Health, Physical Education, Recreation and Dance, c1980.</t>
        </is>
      </c>
      <c r="M1242" t="inlineStr">
        <is>
          <t>1980</t>
        </is>
      </c>
      <c r="O1242" t="inlineStr">
        <is>
          <t>eng</t>
        </is>
      </c>
      <c r="P1242" t="inlineStr">
        <is>
          <t>dcu</t>
        </is>
      </c>
      <c r="Q1242" t="inlineStr">
        <is>
          <t>Focus on dance ; 9</t>
        </is>
      </c>
      <c r="R1242" t="inlineStr">
        <is>
          <t xml:space="preserve">GV </t>
        </is>
      </c>
      <c r="S1242" t="n">
        <v>11</v>
      </c>
      <c r="T1242" t="n">
        <v>11</v>
      </c>
      <c r="U1242" t="inlineStr">
        <is>
          <t>2010-09-12</t>
        </is>
      </c>
      <c r="V1242" t="inlineStr">
        <is>
          <t>2010-09-12</t>
        </is>
      </c>
      <c r="W1242" t="inlineStr">
        <is>
          <t>1993-03-23</t>
        </is>
      </c>
      <c r="X1242" t="inlineStr">
        <is>
          <t>1993-03-23</t>
        </is>
      </c>
      <c r="Y1242" t="n">
        <v>216</v>
      </c>
      <c r="Z1242" t="n">
        <v>206</v>
      </c>
      <c r="AA1242" t="n">
        <v>217</v>
      </c>
      <c r="AB1242" t="n">
        <v>3</v>
      </c>
      <c r="AC1242" t="n">
        <v>3</v>
      </c>
      <c r="AD1242" t="n">
        <v>5</v>
      </c>
      <c r="AE1242" t="n">
        <v>5</v>
      </c>
      <c r="AF1242" t="n">
        <v>2</v>
      </c>
      <c r="AG1242" t="n">
        <v>2</v>
      </c>
      <c r="AH1242" t="n">
        <v>2</v>
      </c>
      <c r="AI1242" t="n">
        <v>2</v>
      </c>
      <c r="AJ1242" t="n">
        <v>1</v>
      </c>
      <c r="AK1242" t="n">
        <v>1</v>
      </c>
      <c r="AL1242" t="n">
        <v>2</v>
      </c>
      <c r="AM1242" t="n">
        <v>2</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HYPERLINK("https://creighton-primo.hosted.exlibrisgroup.com/primo-explore/search?tab=default_tab&amp;search_scope=EVERYTHING&amp;vid=01CRU&amp;lang=en_US&amp;offset=0&amp;query=any,contains,991005092459702656","Catalog Record")</f>
        <v/>
      </c>
      <c r="AT1242">
        <f>HYPERLINK("http://www.worldcat.org/oclc/10273918","WorldCat Record")</f>
        <v/>
      </c>
      <c r="AU1242" t="inlineStr">
        <is>
          <t>54613948:eng</t>
        </is>
      </c>
      <c r="AV1242" t="inlineStr">
        <is>
          <t>10273918</t>
        </is>
      </c>
      <c r="AW1242" t="inlineStr">
        <is>
          <t>991005092459702656</t>
        </is>
      </c>
      <c r="AX1242" t="inlineStr">
        <is>
          <t>991005092459702656</t>
        </is>
      </c>
      <c r="AY1242" t="inlineStr">
        <is>
          <t>2267366450002656</t>
        </is>
      </c>
      <c r="AZ1242" t="inlineStr">
        <is>
          <t>BOOK</t>
        </is>
      </c>
      <c r="BC1242" t="inlineStr">
        <is>
          <t>32285001607034</t>
        </is>
      </c>
      <c r="BD1242" t="inlineStr">
        <is>
          <t>893501310</t>
        </is>
      </c>
    </row>
    <row r="1243">
      <c r="A1243" t="inlineStr">
        <is>
          <t>No</t>
        </is>
      </c>
      <c r="B1243" t="inlineStr">
        <is>
          <t>GV1587 .B768 1984</t>
        </is>
      </c>
      <c r="C1243" t="inlineStr">
        <is>
          <t>0                      GV 1587000B  768         1984</t>
        </is>
      </c>
      <c r="D1243" t="inlineStr">
        <is>
          <t>Dance notation for beginners.</t>
        </is>
      </c>
      <c r="F1243" t="inlineStr">
        <is>
          <t>No</t>
        </is>
      </c>
      <c r="G1243" t="inlineStr">
        <is>
          <t>1</t>
        </is>
      </c>
      <c r="H1243" t="inlineStr">
        <is>
          <t>No</t>
        </is>
      </c>
      <c r="I1243" t="inlineStr">
        <is>
          <t>No</t>
        </is>
      </c>
      <c r="J1243" t="inlineStr">
        <is>
          <t>0</t>
        </is>
      </c>
      <c r="K1243" t="inlineStr">
        <is>
          <t>Brown, Ann Kipling.</t>
        </is>
      </c>
      <c r="L1243" t="inlineStr">
        <is>
          <t>London : Dance Books, 1984.</t>
        </is>
      </c>
      <c r="M1243" t="inlineStr">
        <is>
          <t>1984</t>
        </is>
      </c>
      <c r="O1243" t="inlineStr">
        <is>
          <t>eng</t>
        </is>
      </c>
      <c r="P1243" t="inlineStr">
        <is>
          <t>enk</t>
        </is>
      </c>
      <c r="R1243" t="inlineStr">
        <is>
          <t xml:space="preserve">GV </t>
        </is>
      </c>
      <c r="S1243" t="n">
        <v>1</v>
      </c>
      <c r="T1243" t="n">
        <v>1</v>
      </c>
      <c r="U1243" t="inlineStr">
        <is>
          <t>2005-03-01</t>
        </is>
      </c>
      <c r="V1243" t="inlineStr">
        <is>
          <t>2005-03-01</t>
        </is>
      </c>
      <c r="W1243" t="inlineStr">
        <is>
          <t>2004-07-16</t>
        </is>
      </c>
      <c r="X1243" t="inlineStr">
        <is>
          <t>2004-07-16</t>
        </is>
      </c>
      <c r="Y1243" t="n">
        <v>266</v>
      </c>
      <c r="Z1243" t="n">
        <v>199</v>
      </c>
      <c r="AA1243" t="n">
        <v>205</v>
      </c>
      <c r="AB1243" t="n">
        <v>1</v>
      </c>
      <c r="AC1243" t="n">
        <v>1</v>
      </c>
      <c r="AD1243" t="n">
        <v>2</v>
      </c>
      <c r="AE1243" t="n">
        <v>2</v>
      </c>
      <c r="AF1243" t="n">
        <v>2</v>
      </c>
      <c r="AG1243" t="n">
        <v>2</v>
      </c>
      <c r="AH1243" t="n">
        <v>1</v>
      </c>
      <c r="AI1243" t="n">
        <v>1</v>
      </c>
      <c r="AJ1243" t="n">
        <v>0</v>
      </c>
      <c r="AK1243" t="n">
        <v>0</v>
      </c>
      <c r="AL1243" t="n">
        <v>0</v>
      </c>
      <c r="AM1243" t="n">
        <v>0</v>
      </c>
      <c r="AN1243" t="n">
        <v>0</v>
      </c>
      <c r="AO1243" t="n">
        <v>0</v>
      </c>
      <c r="AP1243" t="inlineStr">
        <is>
          <t>No</t>
        </is>
      </c>
      <c r="AQ1243" t="inlineStr">
        <is>
          <t>Yes</t>
        </is>
      </c>
      <c r="AR1243">
        <f>HYPERLINK("http://catalog.hathitrust.org/Record/000393813","HathiTrust Record")</f>
        <v/>
      </c>
      <c r="AS1243">
        <f>HYPERLINK("https://creighton-primo.hosted.exlibrisgroup.com/primo-explore/search?tab=default_tab&amp;search_scope=EVERYTHING&amp;vid=01CRU&amp;lang=en_US&amp;offset=0&amp;query=any,contains,991004324109702656","Catalog Record")</f>
        <v/>
      </c>
      <c r="AT1243">
        <f>HYPERLINK("http://www.worldcat.org/oclc/12459374","WorldCat Record")</f>
        <v/>
      </c>
      <c r="AU1243" t="inlineStr">
        <is>
          <t>4877656:eng</t>
        </is>
      </c>
      <c r="AV1243" t="inlineStr">
        <is>
          <t>12459374</t>
        </is>
      </c>
      <c r="AW1243" t="inlineStr">
        <is>
          <t>991004324109702656</t>
        </is>
      </c>
      <c r="AX1243" t="inlineStr">
        <is>
          <t>991004324109702656</t>
        </is>
      </c>
      <c r="AY1243" t="inlineStr">
        <is>
          <t>2270288160002656</t>
        </is>
      </c>
      <c r="AZ1243" t="inlineStr">
        <is>
          <t>BOOK</t>
        </is>
      </c>
      <c r="BB1243" t="inlineStr">
        <is>
          <t>9780903102711</t>
        </is>
      </c>
      <c r="BC1243" t="inlineStr">
        <is>
          <t>32285005028542</t>
        </is>
      </c>
      <c r="BD1243" t="inlineStr">
        <is>
          <t>893901110</t>
        </is>
      </c>
    </row>
    <row r="1244">
      <c r="A1244" t="inlineStr">
        <is>
          <t>No</t>
        </is>
      </c>
      <c r="B1244" t="inlineStr">
        <is>
          <t>GV1588 .C37 1999</t>
        </is>
      </c>
      <c r="C1244" t="inlineStr">
        <is>
          <t>0                      GV 1588000C  37          1999</t>
        </is>
      </c>
      <c r="D1244" t="inlineStr">
        <is>
          <t>The dance : a handbook for the appreciation of the choreographic experience / by Joan Cass.</t>
        </is>
      </c>
      <c r="F1244" t="inlineStr">
        <is>
          <t>No</t>
        </is>
      </c>
      <c r="G1244" t="inlineStr">
        <is>
          <t>1</t>
        </is>
      </c>
      <c r="H1244" t="inlineStr">
        <is>
          <t>No</t>
        </is>
      </c>
      <c r="I1244" t="inlineStr">
        <is>
          <t>No</t>
        </is>
      </c>
      <c r="J1244" t="inlineStr">
        <is>
          <t>0</t>
        </is>
      </c>
      <c r="K1244" t="inlineStr">
        <is>
          <t>Cass, Joan, 1924-2018.</t>
        </is>
      </c>
      <c r="L1244" t="inlineStr">
        <is>
          <t>Jefferson, NC : McFarland &amp; Co., c1999.</t>
        </is>
      </c>
      <c r="M1244" t="inlineStr">
        <is>
          <t>1999</t>
        </is>
      </c>
      <c r="O1244" t="inlineStr">
        <is>
          <t>eng</t>
        </is>
      </c>
      <c r="P1244" t="inlineStr">
        <is>
          <t>ncu</t>
        </is>
      </c>
      <c r="R1244" t="inlineStr">
        <is>
          <t xml:space="preserve">GV </t>
        </is>
      </c>
      <c r="S1244" t="n">
        <v>9</v>
      </c>
      <c r="T1244" t="n">
        <v>9</v>
      </c>
      <c r="U1244" t="inlineStr">
        <is>
          <t>2007-05-08</t>
        </is>
      </c>
      <c r="V1244" t="inlineStr">
        <is>
          <t>2007-05-08</t>
        </is>
      </c>
      <c r="W1244" t="inlineStr">
        <is>
          <t>1999-12-07</t>
        </is>
      </c>
      <c r="X1244" t="inlineStr">
        <is>
          <t>1999-12-07</t>
        </is>
      </c>
      <c r="Y1244" t="n">
        <v>465</v>
      </c>
      <c r="Z1244" t="n">
        <v>413</v>
      </c>
      <c r="AA1244" t="n">
        <v>427</v>
      </c>
      <c r="AB1244" t="n">
        <v>4</v>
      </c>
      <c r="AC1244" t="n">
        <v>4</v>
      </c>
      <c r="AD1244" t="n">
        <v>14</v>
      </c>
      <c r="AE1244" t="n">
        <v>14</v>
      </c>
      <c r="AF1244" t="n">
        <v>5</v>
      </c>
      <c r="AG1244" t="n">
        <v>5</v>
      </c>
      <c r="AH1244" t="n">
        <v>4</v>
      </c>
      <c r="AI1244" t="n">
        <v>4</v>
      </c>
      <c r="AJ1244" t="n">
        <v>5</v>
      </c>
      <c r="AK1244" t="n">
        <v>5</v>
      </c>
      <c r="AL1244" t="n">
        <v>3</v>
      </c>
      <c r="AM1244" t="n">
        <v>3</v>
      </c>
      <c r="AN1244" t="n">
        <v>0</v>
      </c>
      <c r="AO1244" t="n">
        <v>0</v>
      </c>
      <c r="AP1244" t="inlineStr">
        <is>
          <t>No</t>
        </is>
      </c>
      <c r="AQ1244" t="inlineStr">
        <is>
          <t>Yes</t>
        </is>
      </c>
      <c r="AR1244">
        <f>HYPERLINK("http://catalog.hathitrust.org/Record/004053628","HathiTrust Record")</f>
        <v/>
      </c>
      <c r="AS1244">
        <f>HYPERLINK("https://creighton-primo.hosted.exlibrisgroup.com/primo-explore/search?tab=default_tab&amp;search_scope=EVERYTHING&amp;vid=01CRU&amp;lang=en_US&amp;offset=0&amp;query=any,contains,991003038069702656","Catalog Record")</f>
        <v/>
      </c>
      <c r="AT1244">
        <f>HYPERLINK("http://www.worldcat.org/oclc/41944703","WorldCat Record")</f>
        <v/>
      </c>
      <c r="AU1244" t="inlineStr">
        <is>
          <t>837039215:eng</t>
        </is>
      </c>
      <c r="AV1244" t="inlineStr">
        <is>
          <t>41944703</t>
        </is>
      </c>
      <c r="AW1244" t="inlineStr">
        <is>
          <t>991003038069702656</t>
        </is>
      </c>
      <c r="AX1244" t="inlineStr">
        <is>
          <t>991003038069702656</t>
        </is>
      </c>
      <c r="AY1244" t="inlineStr">
        <is>
          <t>2272065940002656</t>
        </is>
      </c>
      <c r="AZ1244" t="inlineStr">
        <is>
          <t>BOOK</t>
        </is>
      </c>
      <c r="BB1244" t="inlineStr">
        <is>
          <t>9780786401475</t>
        </is>
      </c>
      <c r="BC1244" t="inlineStr">
        <is>
          <t>32285003629101</t>
        </is>
      </c>
      <c r="BD1244" t="inlineStr">
        <is>
          <t>893623084</t>
        </is>
      </c>
    </row>
    <row r="1245">
      <c r="A1245" t="inlineStr">
        <is>
          <t>No</t>
        </is>
      </c>
      <c r="B1245" t="inlineStr">
        <is>
          <t>GV1588 .F73 2004</t>
        </is>
      </c>
      <c r="C1245" t="inlineStr">
        <is>
          <t>0                      GV 1588000F  73          2004</t>
        </is>
      </c>
      <c r="D1245" t="inlineStr">
        <is>
          <t>Conditioning for dance / Eric Franklin.</t>
        </is>
      </c>
      <c r="F1245" t="inlineStr">
        <is>
          <t>No</t>
        </is>
      </c>
      <c r="G1245" t="inlineStr">
        <is>
          <t>1</t>
        </is>
      </c>
      <c r="H1245" t="inlineStr">
        <is>
          <t>No</t>
        </is>
      </c>
      <c r="I1245" t="inlineStr">
        <is>
          <t>No</t>
        </is>
      </c>
      <c r="J1245" t="inlineStr">
        <is>
          <t>0</t>
        </is>
      </c>
      <c r="K1245" t="inlineStr">
        <is>
          <t>Franklin, Eric N.</t>
        </is>
      </c>
      <c r="L1245" t="inlineStr">
        <is>
          <t>Champaign, IL : Human Kinetics, c2004.</t>
        </is>
      </c>
      <c r="M1245" t="inlineStr">
        <is>
          <t>2004</t>
        </is>
      </c>
      <c r="O1245" t="inlineStr">
        <is>
          <t>eng</t>
        </is>
      </c>
      <c r="P1245" t="inlineStr">
        <is>
          <t>ilu</t>
        </is>
      </c>
      <c r="R1245" t="inlineStr">
        <is>
          <t xml:space="preserve">GV </t>
        </is>
      </c>
      <c r="S1245" t="n">
        <v>3</v>
      </c>
      <c r="T1245" t="n">
        <v>3</v>
      </c>
      <c r="U1245" t="inlineStr">
        <is>
          <t>2008-09-09</t>
        </is>
      </c>
      <c r="V1245" t="inlineStr">
        <is>
          <t>2008-09-09</t>
        </is>
      </c>
      <c r="W1245" t="inlineStr">
        <is>
          <t>2004-09-23</t>
        </is>
      </c>
      <c r="X1245" t="inlineStr">
        <is>
          <t>2004-09-23</t>
        </is>
      </c>
      <c r="Y1245" t="n">
        <v>783</v>
      </c>
      <c r="Z1245" t="n">
        <v>630</v>
      </c>
      <c r="AA1245" t="n">
        <v>698</v>
      </c>
      <c r="AB1245" t="n">
        <v>6</v>
      </c>
      <c r="AC1245" t="n">
        <v>6</v>
      </c>
      <c r="AD1245" t="n">
        <v>10</v>
      </c>
      <c r="AE1245" t="n">
        <v>11</v>
      </c>
      <c r="AF1245" t="n">
        <v>5</v>
      </c>
      <c r="AG1245" t="n">
        <v>6</v>
      </c>
      <c r="AH1245" t="n">
        <v>3</v>
      </c>
      <c r="AI1245" t="n">
        <v>3</v>
      </c>
      <c r="AJ1245" t="n">
        <v>4</v>
      </c>
      <c r="AK1245" t="n">
        <v>4</v>
      </c>
      <c r="AL1245" t="n">
        <v>2</v>
      </c>
      <c r="AM1245" t="n">
        <v>2</v>
      </c>
      <c r="AN1245" t="n">
        <v>0</v>
      </c>
      <c r="AO1245" t="n">
        <v>0</v>
      </c>
      <c r="AP1245" t="inlineStr">
        <is>
          <t>No</t>
        </is>
      </c>
      <c r="AQ1245" t="inlineStr">
        <is>
          <t>No</t>
        </is>
      </c>
      <c r="AS1245">
        <f>HYPERLINK("https://creighton-primo.hosted.exlibrisgroup.com/primo-explore/search?tab=default_tab&amp;search_scope=EVERYTHING&amp;vid=01CRU&amp;lang=en_US&amp;offset=0&amp;query=any,contains,991004364679702656","Catalog Record")</f>
        <v/>
      </c>
      <c r="AT1245">
        <f>HYPERLINK("http://www.worldcat.org/oclc/52418472","WorldCat Record")</f>
        <v/>
      </c>
      <c r="AU1245" t="inlineStr">
        <is>
          <t>9607635:eng</t>
        </is>
      </c>
      <c r="AV1245" t="inlineStr">
        <is>
          <t>52418472</t>
        </is>
      </c>
      <c r="AW1245" t="inlineStr">
        <is>
          <t>991004364679702656</t>
        </is>
      </c>
      <c r="AX1245" t="inlineStr">
        <is>
          <t>991004364679702656</t>
        </is>
      </c>
      <c r="AY1245" t="inlineStr">
        <is>
          <t>2263097590002656</t>
        </is>
      </c>
      <c r="AZ1245" t="inlineStr">
        <is>
          <t>BOOK</t>
        </is>
      </c>
      <c r="BB1245" t="inlineStr">
        <is>
          <t>9780736041560</t>
        </is>
      </c>
      <c r="BC1245" t="inlineStr">
        <is>
          <t>32285004989041</t>
        </is>
      </c>
      <c r="BD1245" t="inlineStr">
        <is>
          <t>893442537</t>
        </is>
      </c>
    </row>
    <row r="1246">
      <c r="A1246" t="inlineStr">
        <is>
          <t>No</t>
        </is>
      </c>
      <c r="B1246" t="inlineStr">
        <is>
          <t>GV1588.6 .B87 2004</t>
        </is>
      </c>
      <c r="C1246" t="inlineStr">
        <is>
          <t>0                      GV 1588600B  87          2004</t>
        </is>
      </c>
      <c r="D1246" t="inlineStr">
        <is>
          <t>Something in the way she moves : dancing women from Salome to Madonna / Wendy Buonaventura.</t>
        </is>
      </c>
      <c r="F1246" t="inlineStr">
        <is>
          <t>No</t>
        </is>
      </c>
      <c r="G1246" t="inlineStr">
        <is>
          <t>1</t>
        </is>
      </c>
      <c r="H1246" t="inlineStr">
        <is>
          <t>No</t>
        </is>
      </c>
      <c r="I1246" t="inlineStr">
        <is>
          <t>No</t>
        </is>
      </c>
      <c r="J1246" t="inlineStr">
        <is>
          <t>0</t>
        </is>
      </c>
      <c r="K1246" t="inlineStr">
        <is>
          <t>Buonaventura, Wendy, 1950-</t>
        </is>
      </c>
      <c r="L1246" t="inlineStr">
        <is>
          <t>Cambridge, MA : DaCapo Press, 2004.</t>
        </is>
      </c>
      <c r="M1246" t="inlineStr">
        <is>
          <t>2004</t>
        </is>
      </c>
      <c r="O1246" t="inlineStr">
        <is>
          <t>eng</t>
        </is>
      </c>
      <c r="P1246" t="inlineStr">
        <is>
          <t>mau</t>
        </is>
      </c>
      <c r="R1246" t="inlineStr">
        <is>
          <t xml:space="preserve">GV </t>
        </is>
      </c>
      <c r="S1246" t="n">
        <v>1</v>
      </c>
      <c r="T1246" t="n">
        <v>1</v>
      </c>
      <c r="U1246" t="inlineStr">
        <is>
          <t>2005-07-28</t>
        </is>
      </c>
      <c r="V1246" t="inlineStr">
        <is>
          <t>2005-07-28</t>
        </is>
      </c>
      <c r="W1246" t="inlineStr">
        <is>
          <t>2005-03-16</t>
        </is>
      </c>
      <c r="X1246" t="inlineStr">
        <is>
          <t>2005-03-16</t>
        </is>
      </c>
      <c r="Y1246" t="n">
        <v>763</v>
      </c>
      <c r="Z1246" t="n">
        <v>716</v>
      </c>
      <c r="AA1246" t="n">
        <v>721</v>
      </c>
      <c r="AB1246" t="n">
        <v>5</v>
      </c>
      <c r="AC1246" t="n">
        <v>5</v>
      </c>
      <c r="AD1246" t="n">
        <v>24</v>
      </c>
      <c r="AE1246" t="n">
        <v>25</v>
      </c>
      <c r="AF1246" t="n">
        <v>11</v>
      </c>
      <c r="AG1246" t="n">
        <v>12</v>
      </c>
      <c r="AH1246" t="n">
        <v>4</v>
      </c>
      <c r="AI1246" t="n">
        <v>4</v>
      </c>
      <c r="AJ1246" t="n">
        <v>11</v>
      </c>
      <c r="AK1246" t="n">
        <v>12</v>
      </c>
      <c r="AL1246" t="n">
        <v>4</v>
      </c>
      <c r="AM1246" t="n">
        <v>4</v>
      </c>
      <c r="AN1246" t="n">
        <v>0</v>
      </c>
      <c r="AO1246" t="n">
        <v>0</v>
      </c>
      <c r="AP1246" t="inlineStr">
        <is>
          <t>No</t>
        </is>
      </c>
      <c r="AQ1246" t="inlineStr">
        <is>
          <t>Yes</t>
        </is>
      </c>
      <c r="AR1246">
        <f>HYPERLINK("http://catalog.hathitrust.org/Record/004377965","HathiTrust Record")</f>
        <v/>
      </c>
      <c r="AS1246">
        <f>HYPERLINK("https://creighton-primo.hosted.exlibrisgroup.com/primo-explore/search?tab=default_tab&amp;search_scope=EVERYTHING&amp;vid=01CRU&amp;lang=en_US&amp;offset=0&amp;query=any,contains,991004305579702656","Catalog Record")</f>
        <v/>
      </c>
      <c r="AT1246">
        <f>HYPERLINK("http://www.worldcat.org/oclc/55068026","WorldCat Record")</f>
        <v/>
      </c>
      <c r="AU1246" t="inlineStr">
        <is>
          <t>14040124:eng</t>
        </is>
      </c>
      <c r="AV1246" t="inlineStr">
        <is>
          <t>55068026</t>
        </is>
      </c>
      <c r="AW1246" t="inlineStr">
        <is>
          <t>991004305579702656</t>
        </is>
      </c>
      <c r="AX1246" t="inlineStr">
        <is>
          <t>991004305579702656</t>
        </is>
      </c>
      <c r="AY1246" t="inlineStr">
        <is>
          <t>2264810980002656</t>
        </is>
      </c>
      <c r="AZ1246" t="inlineStr">
        <is>
          <t>BOOK</t>
        </is>
      </c>
      <c r="BB1246" t="inlineStr">
        <is>
          <t>9780306813481</t>
        </is>
      </c>
      <c r="BC1246" t="inlineStr">
        <is>
          <t>32285005042014</t>
        </is>
      </c>
      <c r="BD1246" t="inlineStr">
        <is>
          <t>893618504</t>
        </is>
      </c>
    </row>
    <row r="1247">
      <c r="A1247" t="inlineStr">
        <is>
          <t>No</t>
        </is>
      </c>
      <c r="B1247" t="inlineStr">
        <is>
          <t>GV1588.6 .L58 2007</t>
        </is>
      </c>
      <c r="C1247" t="inlineStr">
        <is>
          <t>0                      GV 1588600L  58          2007</t>
        </is>
      </c>
      <c r="D1247" t="inlineStr">
        <is>
          <t>The living dance : an anthology of essays on movement and culture / Judith Chazin-Bennahum [editor].</t>
        </is>
      </c>
      <c r="F1247" t="inlineStr">
        <is>
          <t>No</t>
        </is>
      </c>
      <c r="G1247" t="inlineStr">
        <is>
          <t>1</t>
        </is>
      </c>
      <c r="H1247" t="inlineStr">
        <is>
          <t>No</t>
        </is>
      </c>
      <c r="I1247" t="inlineStr">
        <is>
          <t>No</t>
        </is>
      </c>
      <c r="J1247" t="inlineStr">
        <is>
          <t>0</t>
        </is>
      </c>
      <c r="L1247" t="inlineStr">
        <is>
          <t>Dubuque, Iowa : Kendall/Hunt Pub. Co., c2007.</t>
        </is>
      </c>
      <c r="M1247" t="inlineStr">
        <is>
          <t>2007</t>
        </is>
      </c>
      <c r="N1247" t="inlineStr">
        <is>
          <t>2nd ed.</t>
        </is>
      </c>
      <c r="O1247" t="inlineStr">
        <is>
          <t>eng</t>
        </is>
      </c>
      <c r="P1247" t="inlineStr">
        <is>
          <t>iau</t>
        </is>
      </c>
      <c r="R1247" t="inlineStr">
        <is>
          <t xml:space="preserve">GV </t>
        </is>
      </c>
      <c r="S1247" t="n">
        <v>1</v>
      </c>
      <c r="T1247" t="n">
        <v>1</v>
      </c>
      <c r="U1247" t="inlineStr">
        <is>
          <t>2010-04-26</t>
        </is>
      </c>
      <c r="V1247" t="inlineStr">
        <is>
          <t>2010-04-26</t>
        </is>
      </c>
      <c r="W1247" t="inlineStr">
        <is>
          <t>2010-04-26</t>
        </is>
      </c>
      <c r="X1247" t="inlineStr">
        <is>
          <t>2010-04-26</t>
        </is>
      </c>
      <c r="Y1247" t="n">
        <v>27</v>
      </c>
      <c r="Z1247" t="n">
        <v>23</v>
      </c>
      <c r="AA1247" t="n">
        <v>54</v>
      </c>
      <c r="AB1247" t="n">
        <v>1</v>
      </c>
      <c r="AC1247" t="n">
        <v>1</v>
      </c>
      <c r="AD1247" t="n">
        <v>1</v>
      </c>
      <c r="AE1247" t="n">
        <v>4</v>
      </c>
      <c r="AF1247" t="n">
        <v>1</v>
      </c>
      <c r="AG1247" t="n">
        <v>4</v>
      </c>
      <c r="AH1247" t="n">
        <v>0</v>
      </c>
      <c r="AI1247" t="n">
        <v>2</v>
      </c>
      <c r="AJ1247" t="n">
        <v>0</v>
      </c>
      <c r="AK1247" t="n">
        <v>1</v>
      </c>
      <c r="AL1247" t="n">
        <v>0</v>
      </c>
      <c r="AM1247" t="n">
        <v>0</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HYPERLINK("https://creighton-primo.hosted.exlibrisgroup.com/primo-explore/search?tab=default_tab&amp;search_scope=EVERYTHING&amp;vid=01CRU&amp;lang=en_US&amp;offset=0&amp;query=any,contains,991005384299702656","Catalog Record")</f>
        <v/>
      </c>
      <c r="AT1247">
        <f>HYPERLINK("http://www.worldcat.org/oclc/173502854","WorldCat Record")</f>
        <v/>
      </c>
      <c r="AU1247" t="inlineStr">
        <is>
          <t>1046163213:eng</t>
        </is>
      </c>
      <c r="AV1247" t="inlineStr">
        <is>
          <t>173502854</t>
        </is>
      </c>
      <c r="AW1247" t="inlineStr">
        <is>
          <t>991005384299702656</t>
        </is>
      </c>
      <c r="AX1247" t="inlineStr">
        <is>
          <t>991005384299702656</t>
        </is>
      </c>
      <c r="AY1247" t="inlineStr">
        <is>
          <t>2268579170002656</t>
        </is>
      </c>
      <c r="AZ1247" t="inlineStr">
        <is>
          <t>BOOK</t>
        </is>
      </c>
      <c r="BB1247" t="inlineStr">
        <is>
          <t>9780757539244</t>
        </is>
      </c>
      <c r="BC1247" t="inlineStr">
        <is>
          <t>32285005566822</t>
        </is>
      </c>
      <c r="BD1247" t="inlineStr">
        <is>
          <t>893625939</t>
        </is>
      </c>
    </row>
    <row r="1248">
      <c r="A1248" t="inlineStr">
        <is>
          <t>No</t>
        </is>
      </c>
      <c r="B1248" t="inlineStr">
        <is>
          <t>GV1588.6 .T44 2003</t>
        </is>
      </c>
      <c r="C1248" t="inlineStr">
        <is>
          <t>0                      GV 1588600T  44          2003</t>
        </is>
      </c>
      <c r="D1248" t="inlineStr">
        <is>
          <t>The body, dance, and cultural theory / Helen Thomas.</t>
        </is>
      </c>
      <c r="F1248" t="inlineStr">
        <is>
          <t>No</t>
        </is>
      </c>
      <c r="G1248" t="inlineStr">
        <is>
          <t>1</t>
        </is>
      </c>
      <c r="H1248" t="inlineStr">
        <is>
          <t>No</t>
        </is>
      </c>
      <c r="I1248" t="inlineStr">
        <is>
          <t>No</t>
        </is>
      </c>
      <c r="J1248" t="inlineStr">
        <is>
          <t>0</t>
        </is>
      </c>
      <c r="K1248" t="inlineStr">
        <is>
          <t>Thomas, Helen, 1947-</t>
        </is>
      </c>
      <c r="L1248" t="inlineStr">
        <is>
          <t>New York : Palgrave Macmillan, 2003.</t>
        </is>
      </c>
      <c r="M1248" t="inlineStr">
        <is>
          <t>2003</t>
        </is>
      </c>
      <c r="O1248" t="inlineStr">
        <is>
          <t>eng</t>
        </is>
      </c>
      <c r="P1248" t="inlineStr">
        <is>
          <t>nyu</t>
        </is>
      </c>
      <c r="R1248" t="inlineStr">
        <is>
          <t xml:space="preserve">GV </t>
        </is>
      </c>
      <c r="S1248" t="n">
        <v>3</v>
      </c>
      <c r="T1248" t="n">
        <v>3</v>
      </c>
      <c r="U1248" t="inlineStr">
        <is>
          <t>2009-02-12</t>
        </is>
      </c>
      <c r="V1248" t="inlineStr">
        <is>
          <t>2009-02-12</t>
        </is>
      </c>
      <c r="W1248" t="inlineStr">
        <is>
          <t>2004-07-10</t>
        </is>
      </c>
      <c r="X1248" t="inlineStr">
        <is>
          <t>2004-07-10</t>
        </is>
      </c>
      <c r="Y1248" t="n">
        <v>420</v>
      </c>
      <c r="Z1248" t="n">
        <v>292</v>
      </c>
      <c r="AA1248" t="n">
        <v>312</v>
      </c>
      <c r="AB1248" t="n">
        <v>3</v>
      </c>
      <c r="AC1248" t="n">
        <v>3</v>
      </c>
      <c r="AD1248" t="n">
        <v>13</v>
      </c>
      <c r="AE1248" t="n">
        <v>13</v>
      </c>
      <c r="AF1248" t="n">
        <v>7</v>
      </c>
      <c r="AG1248" t="n">
        <v>7</v>
      </c>
      <c r="AH1248" t="n">
        <v>4</v>
      </c>
      <c r="AI1248" t="n">
        <v>4</v>
      </c>
      <c r="AJ1248" t="n">
        <v>6</v>
      </c>
      <c r="AK1248" t="n">
        <v>6</v>
      </c>
      <c r="AL1248" t="n">
        <v>2</v>
      </c>
      <c r="AM1248" t="n">
        <v>2</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HYPERLINK("https://creighton-primo.hosted.exlibrisgroup.com/primo-explore/search?tab=default_tab&amp;search_scope=EVERYTHING&amp;vid=01CRU&amp;lang=en_US&amp;offset=0&amp;query=any,contains,991004306409702656","Catalog Record")</f>
        <v/>
      </c>
      <c r="AT1248">
        <f>HYPERLINK("http://www.worldcat.org/oclc/51769092","WorldCat Record")</f>
        <v/>
      </c>
      <c r="AU1248" t="inlineStr">
        <is>
          <t>681212:eng</t>
        </is>
      </c>
      <c r="AV1248" t="inlineStr">
        <is>
          <t>51769092</t>
        </is>
      </c>
      <c r="AW1248" t="inlineStr">
        <is>
          <t>991004306409702656</t>
        </is>
      </c>
      <c r="AX1248" t="inlineStr">
        <is>
          <t>991004306409702656</t>
        </is>
      </c>
      <c r="AY1248" t="inlineStr">
        <is>
          <t>2255565680002656</t>
        </is>
      </c>
      <c r="AZ1248" t="inlineStr">
        <is>
          <t>BOOK</t>
        </is>
      </c>
      <c r="BB1248" t="inlineStr">
        <is>
          <t>9780333724316</t>
        </is>
      </c>
      <c r="BC1248" t="inlineStr">
        <is>
          <t>32285004922430</t>
        </is>
      </c>
      <c r="BD1248" t="inlineStr">
        <is>
          <t>893436127</t>
        </is>
      </c>
    </row>
    <row r="1249">
      <c r="A1249" t="inlineStr">
        <is>
          <t>No</t>
        </is>
      </c>
      <c r="B1249" t="inlineStr">
        <is>
          <t>GV1589 .F39 1997</t>
        </is>
      </c>
      <c r="C1249" t="inlineStr">
        <is>
          <t>0                      GV 1589000F  39          1997</t>
        </is>
      </c>
      <c r="D1249" t="inlineStr">
        <is>
          <t>Mind over body : the development of the dancer - the role of the teacher / Maria Fay ; edited by Charles Hedges.</t>
        </is>
      </c>
      <c r="F1249" t="inlineStr">
        <is>
          <t>No</t>
        </is>
      </c>
      <c r="G1249" t="inlineStr">
        <is>
          <t>1</t>
        </is>
      </c>
      <c r="H1249" t="inlineStr">
        <is>
          <t>No</t>
        </is>
      </c>
      <c r="I1249" t="inlineStr">
        <is>
          <t>No</t>
        </is>
      </c>
      <c r="J1249" t="inlineStr">
        <is>
          <t>0</t>
        </is>
      </c>
      <c r="K1249" t="inlineStr">
        <is>
          <t>Fay, Maria.</t>
        </is>
      </c>
      <c r="L1249" t="inlineStr">
        <is>
          <t>London : A. &amp; C. Black, 1997.</t>
        </is>
      </c>
      <c r="M1249" t="inlineStr">
        <is>
          <t>1997</t>
        </is>
      </c>
      <c r="O1249" t="inlineStr">
        <is>
          <t>eng</t>
        </is>
      </c>
      <c r="P1249" t="inlineStr">
        <is>
          <t>enk</t>
        </is>
      </c>
      <c r="R1249" t="inlineStr">
        <is>
          <t xml:space="preserve">GV </t>
        </is>
      </c>
      <c r="S1249" t="n">
        <v>4</v>
      </c>
      <c r="T1249" t="n">
        <v>4</v>
      </c>
      <c r="U1249" t="inlineStr">
        <is>
          <t>2006-04-24</t>
        </is>
      </c>
      <c r="V1249" t="inlineStr">
        <is>
          <t>2006-04-24</t>
        </is>
      </c>
      <c r="W1249" t="inlineStr">
        <is>
          <t>2004-03-04</t>
        </is>
      </c>
      <c r="X1249" t="inlineStr">
        <is>
          <t>2004-03-04</t>
        </is>
      </c>
      <c r="Y1249" t="n">
        <v>81</v>
      </c>
      <c r="Z1249" t="n">
        <v>33</v>
      </c>
      <c r="AA1249" t="n">
        <v>33</v>
      </c>
      <c r="AB1249" t="n">
        <v>1</v>
      </c>
      <c r="AC1249" t="n">
        <v>1</v>
      </c>
      <c r="AD1249" t="n">
        <v>1</v>
      </c>
      <c r="AE1249" t="n">
        <v>1</v>
      </c>
      <c r="AF1249" t="n">
        <v>0</v>
      </c>
      <c r="AG1249" t="n">
        <v>0</v>
      </c>
      <c r="AH1249" t="n">
        <v>1</v>
      </c>
      <c r="AI1249" t="n">
        <v>1</v>
      </c>
      <c r="AJ1249" t="n">
        <v>1</v>
      </c>
      <c r="AK1249" t="n">
        <v>1</v>
      </c>
      <c r="AL1249" t="n">
        <v>0</v>
      </c>
      <c r="AM1249" t="n">
        <v>0</v>
      </c>
      <c r="AN1249" t="n">
        <v>0</v>
      </c>
      <c r="AO1249" t="n">
        <v>0</v>
      </c>
      <c r="AP1249" t="inlineStr">
        <is>
          <t>No</t>
        </is>
      </c>
      <c r="AQ1249" t="inlineStr">
        <is>
          <t>No</t>
        </is>
      </c>
      <c r="AS1249">
        <f>HYPERLINK("https://creighton-primo.hosted.exlibrisgroup.com/primo-explore/search?tab=default_tab&amp;search_scope=EVERYTHING&amp;vid=01CRU&amp;lang=en_US&amp;offset=0&amp;query=any,contains,991004224279702656","Catalog Record")</f>
        <v/>
      </c>
      <c r="AT1249">
        <f>HYPERLINK("http://www.worldcat.org/oclc/36955312","WorldCat Record")</f>
        <v/>
      </c>
      <c r="AU1249" t="inlineStr">
        <is>
          <t>836960573:eng</t>
        </is>
      </c>
      <c r="AV1249" t="inlineStr">
        <is>
          <t>36955312</t>
        </is>
      </c>
      <c r="AW1249" t="inlineStr">
        <is>
          <t>991004224279702656</t>
        </is>
      </c>
      <c r="AX1249" t="inlineStr">
        <is>
          <t>991004224279702656</t>
        </is>
      </c>
      <c r="AY1249" t="inlineStr">
        <is>
          <t>2271719970002656</t>
        </is>
      </c>
      <c r="AZ1249" t="inlineStr">
        <is>
          <t>BOOK</t>
        </is>
      </c>
      <c r="BB1249" t="inlineStr">
        <is>
          <t>9780713647150</t>
        </is>
      </c>
      <c r="BC1249" t="inlineStr">
        <is>
          <t>32285004892203</t>
        </is>
      </c>
      <c r="BD1249" t="inlineStr">
        <is>
          <t>893343596</t>
        </is>
      </c>
    </row>
    <row r="1250">
      <c r="A1250" t="inlineStr">
        <is>
          <t>No</t>
        </is>
      </c>
      <c r="B1250" t="inlineStr">
        <is>
          <t>GV1594 .G37 2005</t>
        </is>
      </c>
      <c r="C1250" t="inlineStr">
        <is>
          <t>0                      GV 1594000G  37          2005</t>
        </is>
      </c>
      <c r="D1250" t="inlineStr">
        <is>
          <t>Legacies of twentieth-century dance / Lynn Garafola.</t>
        </is>
      </c>
      <c r="F1250" t="inlineStr">
        <is>
          <t>No</t>
        </is>
      </c>
      <c r="G1250" t="inlineStr">
        <is>
          <t>1</t>
        </is>
      </c>
      <c r="H1250" t="inlineStr">
        <is>
          <t>No</t>
        </is>
      </c>
      <c r="I1250" t="inlineStr">
        <is>
          <t>No</t>
        </is>
      </c>
      <c r="J1250" t="inlineStr">
        <is>
          <t>0</t>
        </is>
      </c>
      <c r="K1250" t="inlineStr">
        <is>
          <t>Garafola, Lynn.</t>
        </is>
      </c>
      <c r="L1250" t="inlineStr">
        <is>
          <t>Middletown, Conn. : Wesleyan University Press, c2005.</t>
        </is>
      </c>
      <c r="M1250" t="inlineStr">
        <is>
          <t>2005</t>
        </is>
      </c>
      <c r="O1250" t="inlineStr">
        <is>
          <t>eng</t>
        </is>
      </c>
      <c r="P1250" t="inlineStr">
        <is>
          <t>ctu</t>
        </is>
      </c>
      <c r="R1250" t="inlineStr">
        <is>
          <t xml:space="preserve">GV </t>
        </is>
      </c>
      <c r="S1250" t="n">
        <v>1</v>
      </c>
      <c r="T1250" t="n">
        <v>1</v>
      </c>
      <c r="U1250" t="inlineStr">
        <is>
          <t>2005-10-05</t>
        </is>
      </c>
      <c r="V1250" t="inlineStr">
        <is>
          <t>2005-10-05</t>
        </is>
      </c>
      <c r="W1250" t="inlineStr">
        <is>
          <t>2005-10-05</t>
        </is>
      </c>
      <c r="X1250" t="inlineStr">
        <is>
          <t>2005-10-05</t>
        </is>
      </c>
      <c r="Y1250" t="n">
        <v>439</v>
      </c>
      <c r="Z1250" t="n">
        <v>361</v>
      </c>
      <c r="AA1250" t="n">
        <v>411</v>
      </c>
      <c r="AB1250" t="n">
        <v>3</v>
      </c>
      <c r="AC1250" t="n">
        <v>3</v>
      </c>
      <c r="AD1250" t="n">
        <v>14</v>
      </c>
      <c r="AE1250" t="n">
        <v>16</v>
      </c>
      <c r="AF1250" t="n">
        <v>4</v>
      </c>
      <c r="AG1250" t="n">
        <v>6</v>
      </c>
      <c r="AH1250" t="n">
        <v>4</v>
      </c>
      <c r="AI1250" t="n">
        <v>4</v>
      </c>
      <c r="AJ1250" t="n">
        <v>8</v>
      </c>
      <c r="AK1250" t="n">
        <v>8</v>
      </c>
      <c r="AL1250" t="n">
        <v>2</v>
      </c>
      <c r="AM1250" t="n">
        <v>2</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HYPERLINK("https://creighton-primo.hosted.exlibrisgroup.com/primo-explore/search?tab=default_tab&amp;search_scope=EVERYTHING&amp;vid=01CRU&amp;lang=en_US&amp;offset=0&amp;query=any,contains,991004646829702656","Catalog Record")</f>
        <v/>
      </c>
      <c r="AT1250">
        <f>HYPERLINK("http://www.worldcat.org/oclc/56912519","WorldCat Record")</f>
        <v/>
      </c>
      <c r="AU1250" t="inlineStr">
        <is>
          <t>1016880:eng</t>
        </is>
      </c>
      <c r="AV1250" t="inlineStr">
        <is>
          <t>56912519</t>
        </is>
      </c>
      <c r="AW1250" t="inlineStr">
        <is>
          <t>991004646829702656</t>
        </is>
      </c>
      <c r="AX1250" t="inlineStr">
        <is>
          <t>991004646829702656</t>
        </is>
      </c>
      <c r="AY1250" t="inlineStr">
        <is>
          <t>2270869990002656</t>
        </is>
      </c>
      <c r="AZ1250" t="inlineStr">
        <is>
          <t>BOOK</t>
        </is>
      </c>
      <c r="BB1250" t="inlineStr">
        <is>
          <t>9780819566737</t>
        </is>
      </c>
      <c r="BC1250" t="inlineStr">
        <is>
          <t>32285005087936</t>
        </is>
      </c>
      <c r="BD1250" t="inlineStr">
        <is>
          <t>893687974</t>
        </is>
      </c>
    </row>
    <row r="1251">
      <c r="A1251" t="inlineStr">
        <is>
          <t>No</t>
        </is>
      </c>
      <c r="B1251" t="inlineStr">
        <is>
          <t>GV1595 .F75 2003</t>
        </is>
      </c>
      <c r="C1251" t="inlineStr">
        <is>
          <t>0                      GV 1595000F  75          2003</t>
        </is>
      </c>
      <c r="D1251" t="inlineStr">
        <is>
          <t>Alvin Ailey dance moves! : a new way to exercise / Lise Friedman ; photographs by Chris Callis.</t>
        </is>
      </c>
      <c r="F1251" t="inlineStr">
        <is>
          <t>No</t>
        </is>
      </c>
      <c r="G1251" t="inlineStr">
        <is>
          <t>1</t>
        </is>
      </c>
      <c r="H1251" t="inlineStr">
        <is>
          <t>No</t>
        </is>
      </c>
      <c r="I1251" t="inlineStr">
        <is>
          <t>No</t>
        </is>
      </c>
      <c r="J1251" t="inlineStr">
        <is>
          <t>0</t>
        </is>
      </c>
      <c r="K1251" t="inlineStr">
        <is>
          <t>Friedman, Lise.</t>
        </is>
      </c>
      <c r="L1251" t="inlineStr">
        <is>
          <t>New York : Stewart, Tabori &amp; Chang, 2003.</t>
        </is>
      </c>
      <c r="M1251" t="inlineStr">
        <is>
          <t>2003</t>
        </is>
      </c>
      <c r="O1251" t="inlineStr">
        <is>
          <t>eng</t>
        </is>
      </c>
      <c r="P1251" t="inlineStr">
        <is>
          <t>nyu</t>
        </is>
      </c>
      <c r="R1251" t="inlineStr">
        <is>
          <t xml:space="preserve">GV </t>
        </is>
      </c>
      <c r="S1251" t="n">
        <v>6</v>
      </c>
      <c r="T1251" t="n">
        <v>6</v>
      </c>
      <c r="U1251" t="inlineStr">
        <is>
          <t>2009-05-28</t>
        </is>
      </c>
      <c r="V1251" t="inlineStr">
        <is>
          <t>2009-05-28</t>
        </is>
      </c>
      <c r="W1251" t="inlineStr">
        <is>
          <t>2004-09-23</t>
        </is>
      </c>
      <c r="X1251" t="inlineStr">
        <is>
          <t>2004-09-23</t>
        </is>
      </c>
      <c r="Y1251" t="n">
        <v>449</v>
      </c>
      <c r="Z1251" t="n">
        <v>391</v>
      </c>
      <c r="AA1251" t="n">
        <v>397</v>
      </c>
      <c r="AB1251" t="n">
        <v>2</v>
      </c>
      <c r="AC1251" t="n">
        <v>2</v>
      </c>
      <c r="AD1251" t="n">
        <v>4</v>
      </c>
      <c r="AE1251" t="n">
        <v>4</v>
      </c>
      <c r="AF1251" t="n">
        <v>2</v>
      </c>
      <c r="AG1251" t="n">
        <v>2</v>
      </c>
      <c r="AH1251" t="n">
        <v>1</v>
      </c>
      <c r="AI1251" t="n">
        <v>1</v>
      </c>
      <c r="AJ1251" t="n">
        <v>1</v>
      </c>
      <c r="AK1251" t="n">
        <v>1</v>
      </c>
      <c r="AL1251" t="n">
        <v>0</v>
      </c>
      <c r="AM1251" t="n">
        <v>0</v>
      </c>
      <c r="AN1251" t="n">
        <v>0</v>
      </c>
      <c r="AO1251" t="n">
        <v>0</v>
      </c>
      <c r="AP1251" t="inlineStr">
        <is>
          <t>No</t>
        </is>
      </c>
      <c r="AQ1251" t="inlineStr">
        <is>
          <t>No</t>
        </is>
      </c>
      <c r="AS1251">
        <f>HYPERLINK("https://creighton-primo.hosted.exlibrisgroup.com/primo-explore/search?tab=default_tab&amp;search_scope=EVERYTHING&amp;vid=01CRU&amp;lang=en_US&amp;offset=0&amp;query=any,contains,991004364649702656","Catalog Record")</f>
        <v/>
      </c>
      <c r="AT1251">
        <f>HYPERLINK("http://www.worldcat.org/oclc/51559051","WorldCat Record")</f>
        <v/>
      </c>
      <c r="AU1251" t="inlineStr">
        <is>
          <t>794978:eng</t>
        </is>
      </c>
      <c r="AV1251" t="inlineStr">
        <is>
          <t>51559051</t>
        </is>
      </c>
      <c r="AW1251" t="inlineStr">
        <is>
          <t>991004364649702656</t>
        </is>
      </c>
      <c r="AX1251" t="inlineStr">
        <is>
          <t>991004364649702656</t>
        </is>
      </c>
      <c r="AY1251" t="inlineStr">
        <is>
          <t>2267675100002656</t>
        </is>
      </c>
      <c r="AZ1251" t="inlineStr">
        <is>
          <t>BOOK</t>
        </is>
      </c>
      <c r="BB1251" t="inlineStr">
        <is>
          <t>9781584792857</t>
        </is>
      </c>
      <c r="BC1251" t="inlineStr">
        <is>
          <t>32285004989058</t>
        </is>
      </c>
      <c r="BD1251" t="inlineStr">
        <is>
          <t>893235398</t>
        </is>
      </c>
    </row>
    <row r="1252">
      <c r="A1252" t="inlineStr">
        <is>
          <t>No</t>
        </is>
      </c>
      <c r="B1252" t="inlineStr">
        <is>
          <t>GV1595 .F86 1972</t>
        </is>
      </c>
      <c r="C1252" t="inlineStr">
        <is>
          <t>0                      GV 1595000F  86          1972</t>
        </is>
      </c>
      <c r="D1252" t="inlineStr">
        <is>
          <t>The Function of dance in human society : a seminar / directed by Franziska Boas.</t>
        </is>
      </c>
      <c r="F1252" t="inlineStr">
        <is>
          <t>No</t>
        </is>
      </c>
      <c r="G1252" t="inlineStr">
        <is>
          <t>1</t>
        </is>
      </c>
      <c r="H1252" t="inlineStr">
        <is>
          <t>No</t>
        </is>
      </c>
      <c r="I1252" t="inlineStr">
        <is>
          <t>No</t>
        </is>
      </c>
      <c r="J1252" t="inlineStr">
        <is>
          <t>0</t>
        </is>
      </c>
      <c r="L1252" t="inlineStr">
        <is>
          <t>Brooklyn, N.Y. : Dance horizons, [1972?]</t>
        </is>
      </c>
      <c r="M1252" t="inlineStr">
        <is>
          <t>1972</t>
        </is>
      </c>
      <c r="N1252" t="inlineStr">
        <is>
          <t>[2d ed.]</t>
        </is>
      </c>
      <c r="O1252" t="inlineStr">
        <is>
          <t>eng</t>
        </is>
      </c>
      <c r="P1252" t="inlineStr">
        <is>
          <t>nyu</t>
        </is>
      </c>
      <c r="Q1252" t="inlineStr">
        <is>
          <t>Dance horizons series ; 32</t>
        </is>
      </c>
      <c r="R1252" t="inlineStr">
        <is>
          <t xml:space="preserve">GV </t>
        </is>
      </c>
      <c r="S1252" t="n">
        <v>5</v>
      </c>
      <c r="T1252" t="n">
        <v>5</v>
      </c>
      <c r="U1252" t="inlineStr">
        <is>
          <t>2009-02-12</t>
        </is>
      </c>
      <c r="V1252" t="inlineStr">
        <is>
          <t>2009-02-12</t>
        </is>
      </c>
      <c r="W1252" t="inlineStr">
        <is>
          <t>1994-10-28</t>
        </is>
      </c>
      <c r="X1252" t="inlineStr">
        <is>
          <t>1994-10-28</t>
        </is>
      </c>
      <c r="Y1252" t="n">
        <v>425</v>
      </c>
      <c r="Z1252" t="n">
        <v>377</v>
      </c>
      <c r="AA1252" t="n">
        <v>448</v>
      </c>
      <c r="AB1252" t="n">
        <v>3</v>
      </c>
      <c r="AC1252" t="n">
        <v>3</v>
      </c>
      <c r="AD1252" t="n">
        <v>15</v>
      </c>
      <c r="AE1252" t="n">
        <v>16</v>
      </c>
      <c r="AF1252" t="n">
        <v>6</v>
      </c>
      <c r="AG1252" t="n">
        <v>7</v>
      </c>
      <c r="AH1252" t="n">
        <v>5</v>
      </c>
      <c r="AI1252" t="n">
        <v>5</v>
      </c>
      <c r="AJ1252" t="n">
        <v>5</v>
      </c>
      <c r="AK1252" t="n">
        <v>6</v>
      </c>
      <c r="AL1252" t="n">
        <v>2</v>
      </c>
      <c r="AM1252" t="n">
        <v>2</v>
      </c>
      <c r="AN1252" t="n">
        <v>0</v>
      </c>
      <c r="AO1252" t="n">
        <v>0</v>
      </c>
      <c r="AP1252" t="inlineStr">
        <is>
          <t>No</t>
        </is>
      </c>
      <c r="AQ1252" t="inlineStr">
        <is>
          <t>Yes</t>
        </is>
      </c>
      <c r="AR1252">
        <f>HYPERLINK("http://catalog.hathitrust.org/Record/001116926","HathiTrust Record")</f>
        <v/>
      </c>
      <c r="AS1252">
        <f>HYPERLINK("https://creighton-primo.hosted.exlibrisgroup.com/primo-explore/search?tab=default_tab&amp;search_scope=EVERYTHING&amp;vid=01CRU&amp;lang=en_US&amp;offset=0&amp;query=any,contains,991003238039702656","Catalog Record")</f>
        <v/>
      </c>
      <c r="AT1252">
        <f>HYPERLINK("http://www.worldcat.org/oclc/762181","WorldCat Record")</f>
        <v/>
      </c>
      <c r="AU1252" t="inlineStr">
        <is>
          <t>517134:eng</t>
        </is>
      </c>
      <c r="AV1252" t="inlineStr">
        <is>
          <t>762181</t>
        </is>
      </c>
      <c r="AW1252" t="inlineStr">
        <is>
          <t>991003238039702656</t>
        </is>
      </c>
      <c r="AX1252" t="inlineStr">
        <is>
          <t>991003238039702656</t>
        </is>
      </c>
      <c r="AY1252" t="inlineStr">
        <is>
          <t>2265234620002656</t>
        </is>
      </c>
      <c r="AZ1252" t="inlineStr">
        <is>
          <t>BOOK</t>
        </is>
      </c>
      <c r="BB1252" t="inlineStr">
        <is>
          <t>9780871270320</t>
        </is>
      </c>
      <c r="BC1252" t="inlineStr">
        <is>
          <t>32285001963643</t>
        </is>
      </c>
      <c r="BD1252" t="inlineStr">
        <is>
          <t>893711175</t>
        </is>
      </c>
    </row>
    <row r="1253">
      <c r="A1253" t="inlineStr">
        <is>
          <t>No</t>
        </is>
      </c>
      <c r="B1253" t="inlineStr">
        <is>
          <t>GV1595 .G78 1986</t>
        </is>
      </c>
      <c r="C1253" t="inlineStr">
        <is>
          <t>0                      GV 1595000G  78          1986</t>
        </is>
      </c>
      <c r="D1253" t="inlineStr">
        <is>
          <t>Dance in gymnastics : a guide for coaches and gymnasts / Denise Gula ; photographs by Terrence J. Gula.</t>
        </is>
      </c>
      <c r="F1253" t="inlineStr">
        <is>
          <t>No</t>
        </is>
      </c>
      <c r="G1253" t="inlineStr">
        <is>
          <t>1</t>
        </is>
      </c>
      <c r="H1253" t="inlineStr">
        <is>
          <t>No</t>
        </is>
      </c>
      <c r="I1253" t="inlineStr">
        <is>
          <t>No</t>
        </is>
      </c>
      <c r="J1253" t="inlineStr">
        <is>
          <t>0</t>
        </is>
      </c>
      <c r="K1253" t="inlineStr">
        <is>
          <t>Gula, Denise, 1949-</t>
        </is>
      </c>
      <c r="L1253" t="inlineStr">
        <is>
          <t>Boston : Allyn and Bacon, c1986.</t>
        </is>
      </c>
      <c r="M1253" t="inlineStr">
        <is>
          <t>1986</t>
        </is>
      </c>
      <c r="O1253" t="inlineStr">
        <is>
          <t>eng</t>
        </is>
      </c>
      <c r="P1253" t="inlineStr">
        <is>
          <t>mau</t>
        </is>
      </c>
      <c r="R1253" t="inlineStr">
        <is>
          <t xml:space="preserve">GV </t>
        </is>
      </c>
      <c r="S1253" t="n">
        <v>5</v>
      </c>
      <c r="T1253" t="n">
        <v>5</v>
      </c>
      <c r="U1253" t="inlineStr">
        <is>
          <t>2010-10-29</t>
        </is>
      </c>
      <c r="V1253" t="inlineStr">
        <is>
          <t>2010-10-29</t>
        </is>
      </c>
      <c r="W1253" t="inlineStr">
        <is>
          <t>1990-08-03</t>
        </is>
      </c>
      <c r="X1253" t="inlineStr">
        <is>
          <t>1990-08-03</t>
        </is>
      </c>
      <c r="Y1253" t="n">
        <v>204</v>
      </c>
      <c r="Z1253" t="n">
        <v>178</v>
      </c>
      <c r="AA1253" t="n">
        <v>178</v>
      </c>
      <c r="AB1253" t="n">
        <v>2</v>
      </c>
      <c r="AC1253" t="n">
        <v>2</v>
      </c>
      <c r="AD1253" t="n">
        <v>1</v>
      </c>
      <c r="AE1253" t="n">
        <v>1</v>
      </c>
      <c r="AF1253" t="n">
        <v>0</v>
      </c>
      <c r="AG1253" t="n">
        <v>0</v>
      </c>
      <c r="AH1253" t="n">
        <v>0</v>
      </c>
      <c r="AI1253" t="n">
        <v>0</v>
      </c>
      <c r="AJ1253" t="n">
        <v>0</v>
      </c>
      <c r="AK1253" t="n">
        <v>0</v>
      </c>
      <c r="AL1253" t="n">
        <v>1</v>
      </c>
      <c r="AM1253" t="n">
        <v>1</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HYPERLINK("https://creighton-primo.hosted.exlibrisgroup.com/primo-explore/search?tab=default_tab&amp;search_scope=EVERYTHING&amp;vid=01CRU&amp;lang=en_US&amp;offset=0&amp;query=any,contains,991000740399702656","Catalog Record")</f>
        <v/>
      </c>
      <c r="AT1253">
        <f>HYPERLINK("http://www.worldcat.org/oclc/12807546","WorldCat Record")</f>
        <v/>
      </c>
      <c r="AU1253" t="inlineStr">
        <is>
          <t>836679008:eng</t>
        </is>
      </c>
      <c r="AV1253" t="inlineStr">
        <is>
          <t>12807546</t>
        </is>
      </c>
      <c r="AW1253" t="inlineStr">
        <is>
          <t>991000740399702656</t>
        </is>
      </c>
      <c r="AX1253" t="inlineStr">
        <is>
          <t>991000740399702656</t>
        </is>
      </c>
      <c r="AY1253" t="inlineStr">
        <is>
          <t>2258987330002656</t>
        </is>
      </c>
      <c r="AZ1253" t="inlineStr">
        <is>
          <t>BOOK</t>
        </is>
      </c>
      <c r="BB1253" t="inlineStr">
        <is>
          <t>9780205086429</t>
        </is>
      </c>
      <c r="BC1253" t="inlineStr">
        <is>
          <t>32285000266089</t>
        </is>
      </c>
      <c r="BD1253" t="inlineStr">
        <is>
          <t>893878323</t>
        </is>
      </c>
    </row>
    <row r="1254">
      <c r="A1254" t="inlineStr">
        <is>
          <t>No</t>
        </is>
      </c>
      <c r="B1254" t="inlineStr">
        <is>
          <t>GV1595 .H35 1969</t>
        </is>
      </c>
      <c r="C1254" t="inlineStr">
        <is>
          <t>0                      GV 1595000H  35          1969</t>
        </is>
      </c>
      <c r="D1254" t="inlineStr">
        <is>
          <t>The wonderful world of dance / [by] Arnold L. Haskell.</t>
        </is>
      </c>
      <c r="F1254" t="inlineStr">
        <is>
          <t>No</t>
        </is>
      </c>
      <c r="G1254" t="inlineStr">
        <is>
          <t>1</t>
        </is>
      </c>
      <c r="H1254" t="inlineStr">
        <is>
          <t>No</t>
        </is>
      </c>
      <c r="I1254" t="inlineStr">
        <is>
          <t>No</t>
        </is>
      </c>
      <c r="J1254" t="inlineStr">
        <is>
          <t>0</t>
        </is>
      </c>
      <c r="K1254" t="inlineStr">
        <is>
          <t>Haskell, Arnold L. (Arnold Lionel), 1903-1980.</t>
        </is>
      </c>
      <c r="L1254" t="inlineStr">
        <is>
          <t>Garden City, N.Y. : Doubleday, [1969]</t>
        </is>
      </c>
      <c r="M1254" t="inlineStr">
        <is>
          <t>1969</t>
        </is>
      </c>
      <c r="O1254" t="inlineStr">
        <is>
          <t>eng</t>
        </is>
      </c>
      <c r="P1254" t="inlineStr">
        <is>
          <t>nyu</t>
        </is>
      </c>
      <c r="Q1254" t="inlineStr">
        <is>
          <t>[The Wonderful world books]</t>
        </is>
      </c>
      <c r="R1254" t="inlineStr">
        <is>
          <t xml:space="preserve">GV </t>
        </is>
      </c>
      <c r="S1254" t="n">
        <v>4</v>
      </c>
      <c r="T1254" t="n">
        <v>4</v>
      </c>
      <c r="U1254" t="inlineStr">
        <is>
          <t>2006-04-05</t>
        </is>
      </c>
      <c r="V1254" t="inlineStr">
        <is>
          <t>2006-04-05</t>
        </is>
      </c>
      <c r="W1254" t="inlineStr">
        <is>
          <t>2002-12-10</t>
        </is>
      </c>
      <c r="X1254" t="inlineStr">
        <is>
          <t>2002-12-10</t>
        </is>
      </c>
      <c r="Y1254" t="n">
        <v>320</v>
      </c>
      <c r="Z1254" t="n">
        <v>301</v>
      </c>
      <c r="AA1254" t="n">
        <v>619</v>
      </c>
      <c r="AB1254" t="n">
        <v>4</v>
      </c>
      <c r="AC1254" t="n">
        <v>5</v>
      </c>
      <c r="AD1254" t="n">
        <v>3</v>
      </c>
      <c r="AE1254" t="n">
        <v>8</v>
      </c>
      <c r="AF1254" t="n">
        <v>1</v>
      </c>
      <c r="AG1254" t="n">
        <v>5</v>
      </c>
      <c r="AH1254" t="n">
        <v>1</v>
      </c>
      <c r="AI1254" t="n">
        <v>1</v>
      </c>
      <c r="AJ1254" t="n">
        <v>1</v>
      </c>
      <c r="AK1254" t="n">
        <v>3</v>
      </c>
      <c r="AL1254" t="n">
        <v>1</v>
      </c>
      <c r="AM1254" t="n">
        <v>1</v>
      </c>
      <c r="AN1254" t="n">
        <v>0</v>
      </c>
      <c r="AO1254" t="n">
        <v>0</v>
      </c>
      <c r="AP1254" t="inlineStr">
        <is>
          <t>No</t>
        </is>
      </c>
      <c r="AQ1254" t="inlineStr">
        <is>
          <t>Yes</t>
        </is>
      </c>
      <c r="AR1254">
        <f>HYPERLINK("http://catalog.hathitrust.org/Record/006004188","HathiTrust Record")</f>
        <v/>
      </c>
      <c r="AS1254">
        <f>HYPERLINK("https://creighton-primo.hosted.exlibrisgroup.com/primo-explore/search?tab=default_tab&amp;search_scope=EVERYTHING&amp;vid=01CRU&amp;lang=en_US&amp;offset=0&amp;query=any,contains,991003958859702656","Catalog Record")</f>
        <v/>
      </c>
      <c r="AT1254">
        <f>HYPERLINK("http://www.worldcat.org/oclc/22454","WorldCat Record")</f>
        <v/>
      </c>
      <c r="AU1254" t="inlineStr">
        <is>
          <t>349889959:eng</t>
        </is>
      </c>
      <c r="AV1254" t="inlineStr">
        <is>
          <t>22454</t>
        </is>
      </c>
      <c r="AW1254" t="inlineStr">
        <is>
          <t>991003958859702656</t>
        </is>
      </c>
      <c r="AX1254" t="inlineStr">
        <is>
          <t>991003958859702656</t>
        </is>
      </c>
      <c r="AY1254" t="inlineStr">
        <is>
          <t>2268244930002656</t>
        </is>
      </c>
      <c r="AZ1254" t="inlineStr">
        <is>
          <t>BOOK</t>
        </is>
      </c>
      <c r="BC1254" t="inlineStr">
        <is>
          <t>32285004669353</t>
        </is>
      </c>
      <c r="BD1254" t="inlineStr">
        <is>
          <t>893349433</t>
        </is>
      </c>
    </row>
    <row r="1255">
      <c r="A1255" t="inlineStr">
        <is>
          <t>No</t>
        </is>
      </c>
      <c r="B1255" t="inlineStr">
        <is>
          <t>GV1595 .V5 1978</t>
        </is>
      </c>
      <c r="C1255" t="inlineStr">
        <is>
          <t>0                      GV 1595000V  5           1978</t>
        </is>
      </c>
      <c r="D1255" t="inlineStr">
        <is>
          <t>The dancer's book of health / [L.M. Vincent].</t>
        </is>
      </c>
      <c r="F1255" t="inlineStr">
        <is>
          <t>No</t>
        </is>
      </c>
      <c r="G1255" t="inlineStr">
        <is>
          <t>1</t>
        </is>
      </c>
      <c r="H1255" t="inlineStr">
        <is>
          <t>No</t>
        </is>
      </c>
      <c r="I1255" t="inlineStr">
        <is>
          <t>No</t>
        </is>
      </c>
      <c r="J1255" t="inlineStr">
        <is>
          <t>0</t>
        </is>
      </c>
      <c r="K1255" t="inlineStr">
        <is>
          <t>Vincent, Lawrence M.</t>
        </is>
      </c>
      <c r="L1255" t="inlineStr">
        <is>
          <t>Kansas City, Kan. : Sheed Andrews and McMeel, c1978.</t>
        </is>
      </c>
      <c r="M1255" t="inlineStr">
        <is>
          <t>1978</t>
        </is>
      </c>
      <c r="O1255" t="inlineStr">
        <is>
          <t>eng</t>
        </is>
      </c>
      <c r="P1255" t="inlineStr">
        <is>
          <t>ksu</t>
        </is>
      </c>
      <c r="R1255" t="inlineStr">
        <is>
          <t xml:space="preserve">GV </t>
        </is>
      </c>
      <c r="S1255" t="n">
        <v>4</v>
      </c>
      <c r="T1255" t="n">
        <v>4</v>
      </c>
      <c r="U1255" t="inlineStr">
        <is>
          <t>2009-05-04</t>
        </is>
      </c>
      <c r="V1255" t="inlineStr">
        <is>
          <t>2009-05-04</t>
        </is>
      </c>
      <c r="W1255" t="inlineStr">
        <is>
          <t>2002-12-05</t>
        </is>
      </c>
      <c r="X1255" t="inlineStr">
        <is>
          <t>2002-12-05</t>
        </is>
      </c>
      <c r="Y1255" t="n">
        <v>417</v>
      </c>
      <c r="Z1255" t="n">
        <v>385</v>
      </c>
      <c r="AA1255" t="n">
        <v>482</v>
      </c>
      <c r="AB1255" t="n">
        <v>2</v>
      </c>
      <c r="AC1255" t="n">
        <v>4</v>
      </c>
      <c r="AD1255" t="n">
        <v>12</v>
      </c>
      <c r="AE1255" t="n">
        <v>14</v>
      </c>
      <c r="AF1255" t="n">
        <v>7</v>
      </c>
      <c r="AG1255" t="n">
        <v>7</v>
      </c>
      <c r="AH1255" t="n">
        <v>3</v>
      </c>
      <c r="AI1255" t="n">
        <v>3</v>
      </c>
      <c r="AJ1255" t="n">
        <v>6</v>
      </c>
      <c r="AK1255" t="n">
        <v>6</v>
      </c>
      <c r="AL1255" t="n">
        <v>1</v>
      </c>
      <c r="AM1255" t="n">
        <v>3</v>
      </c>
      <c r="AN1255" t="n">
        <v>0</v>
      </c>
      <c r="AO1255" t="n">
        <v>0</v>
      </c>
      <c r="AP1255" t="inlineStr">
        <is>
          <t>No</t>
        </is>
      </c>
      <c r="AQ1255" t="inlineStr">
        <is>
          <t>No</t>
        </is>
      </c>
      <c r="AS1255">
        <f>HYPERLINK("https://creighton-primo.hosted.exlibrisgroup.com/primo-explore/search?tab=default_tab&amp;search_scope=EVERYTHING&amp;vid=01CRU&amp;lang=en_US&amp;offset=0&amp;query=any,contains,991003956469702656","Catalog Record")</f>
        <v/>
      </c>
      <c r="AT1255">
        <f>HYPERLINK("http://www.worldcat.org/oclc/3842693","WorldCat Record")</f>
        <v/>
      </c>
      <c r="AU1255" t="inlineStr">
        <is>
          <t>13275169:eng</t>
        </is>
      </c>
      <c r="AV1255" t="inlineStr">
        <is>
          <t>3842693</t>
        </is>
      </c>
      <c r="AW1255" t="inlineStr">
        <is>
          <t>991003956469702656</t>
        </is>
      </c>
      <c r="AX1255" t="inlineStr">
        <is>
          <t>991003956469702656</t>
        </is>
      </c>
      <c r="AY1255" t="inlineStr">
        <is>
          <t>2264347490002656</t>
        </is>
      </c>
      <c r="AZ1255" t="inlineStr">
        <is>
          <t>BOOK</t>
        </is>
      </c>
      <c r="BB1255" t="inlineStr">
        <is>
          <t>9780836224016</t>
        </is>
      </c>
      <c r="BC1255" t="inlineStr">
        <is>
          <t>32285004667969</t>
        </is>
      </c>
      <c r="BD1255" t="inlineStr">
        <is>
          <t>893806470</t>
        </is>
      </c>
    </row>
    <row r="1256">
      <c r="A1256" t="inlineStr">
        <is>
          <t>No</t>
        </is>
      </c>
      <c r="B1256" t="inlineStr">
        <is>
          <t>GV1597 .H67 1987</t>
        </is>
      </c>
      <c r="C1256" t="inlineStr">
        <is>
          <t>0                      GV 1597000H  67          1987</t>
        </is>
      </c>
      <c r="D1256" t="inlineStr">
        <is>
          <t>The dancer's survival manual : everything you need to know about being a dancer ... except how to dance / Marian Horosko and Judith R.F. Kupersmith ; [drawings by Henry Fera].</t>
        </is>
      </c>
      <c r="F1256" t="inlineStr">
        <is>
          <t>No</t>
        </is>
      </c>
      <c r="G1256" t="inlineStr">
        <is>
          <t>1</t>
        </is>
      </c>
      <c r="H1256" t="inlineStr">
        <is>
          <t>No</t>
        </is>
      </c>
      <c r="I1256" t="inlineStr">
        <is>
          <t>No</t>
        </is>
      </c>
      <c r="J1256" t="inlineStr">
        <is>
          <t>0</t>
        </is>
      </c>
      <c r="K1256" t="inlineStr">
        <is>
          <t>Horosko, Marian.</t>
        </is>
      </c>
      <c r="L1256" t="inlineStr">
        <is>
          <t>New York : Perennial Library, c1987.</t>
        </is>
      </c>
      <c r="M1256" t="inlineStr">
        <is>
          <t>1987</t>
        </is>
      </c>
      <c r="N1256" t="inlineStr">
        <is>
          <t>1st ed.</t>
        </is>
      </c>
      <c r="O1256" t="inlineStr">
        <is>
          <t>eng</t>
        </is>
      </c>
      <c r="P1256" t="inlineStr">
        <is>
          <t>nyu</t>
        </is>
      </c>
      <c r="R1256" t="inlineStr">
        <is>
          <t xml:space="preserve">GV </t>
        </is>
      </c>
      <c r="S1256" t="n">
        <v>3</v>
      </c>
      <c r="T1256" t="n">
        <v>3</v>
      </c>
      <c r="U1256" t="inlineStr">
        <is>
          <t>2008-09-09</t>
        </is>
      </c>
      <c r="V1256" t="inlineStr">
        <is>
          <t>2008-09-09</t>
        </is>
      </c>
      <c r="W1256" t="inlineStr">
        <is>
          <t>2002-12-05</t>
        </is>
      </c>
      <c r="X1256" t="inlineStr">
        <is>
          <t>2002-12-05</t>
        </is>
      </c>
      <c r="Y1256" t="n">
        <v>267</v>
      </c>
      <c r="Z1256" t="n">
        <v>250</v>
      </c>
      <c r="AA1256" t="n">
        <v>259</v>
      </c>
      <c r="AB1256" t="n">
        <v>3</v>
      </c>
      <c r="AC1256" t="n">
        <v>3</v>
      </c>
      <c r="AD1256" t="n">
        <v>6</v>
      </c>
      <c r="AE1256" t="n">
        <v>6</v>
      </c>
      <c r="AF1256" t="n">
        <v>2</v>
      </c>
      <c r="AG1256" t="n">
        <v>2</v>
      </c>
      <c r="AH1256" t="n">
        <v>1</v>
      </c>
      <c r="AI1256" t="n">
        <v>1</v>
      </c>
      <c r="AJ1256" t="n">
        <v>2</v>
      </c>
      <c r="AK1256" t="n">
        <v>2</v>
      </c>
      <c r="AL1256" t="n">
        <v>2</v>
      </c>
      <c r="AM1256" t="n">
        <v>2</v>
      </c>
      <c r="AN1256" t="n">
        <v>0</v>
      </c>
      <c r="AO1256" t="n">
        <v>0</v>
      </c>
      <c r="AP1256" t="inlineStr">
        <is>
          <t>No</t>
        </is>
      </c>
      <c r="AQ1256" t="inlineStr">
        <is>
          <t>Yes</t>
        </is>
      </c>
      <c r="AR1256">
        <f>HYPERLINK("http://catalog.hathitrust.org/Record/000886566","HathiTrust Record")</f>
        <v/>
      </c>
      <c r="AS1256">
        <f>HYPERLINK("https://creighton-primo.hosted.exlibrisgroup.com/primo-explore/search?tab=default_tab&amp;search_scope=EVERYTHING&amp;vid=01CRU&amp;lang=en_US&amp;offset=0&amp;query=any,contains,991003956719702656","Catalog Record")</f>
        <v/>
      </c>
      <c r="AT1256">
        <f>HYPERLINK("http://www.worldcat.org/oclc/15429547","WorldCat Record")</f>
        <v/>
      </c>
      <c r="AU1256" t="inlineStr">
        <is>
          <t>504637743:eng</t>
        </is>
      </c>
      <c r="AV1256" t="inlineStr">
        <is>
          <t>15429547</t>
        </is>
      </c>
      <c r="AW1256" t="inlineStr">
        <is>
          <t>991003956719702656</t>
        </is>
      </c>
      <c r="AX1256" t="inlineStr">
        <is>
          <t>991003956719702656</t>
        </is>
      </c>
      <c r="AY1256" t="inlineStr">
        <is>
          <t>2263911210002656</t>
        </is>
      </c>
      <c r="AZ1256" t="inlineStr">
        <is>
          <t>BOOK</t>
        </is>
      </c>
      <c r="BB1256" t="inlineStr">
        <is>
          <t>9780060550844</t>
        </is>
      </c>
      <c r="BC1256" t="inlineStr">
        <is>
          <t>32285004667910</t>
        </is>
      </c>
      <c r="BD1256" t="inlineStr">
        <is>
          <t>893337184</t>
        </is>
      </c>
    </row>
    <row r="1257">
      <c r="A1257" t="inlineStr">
        <is>
          <t>No</t>
        </is>
      </c>
      <c r="B1257" t="inlineStr">
        <is>
          <t>GV1597 .N34 1988</t>
        </is>
      </c>
      <c r="C1257" t="inlineStr">
        <is>
          <t>0                      GV 1597000N  34          1988</t>
        </is>
      </c>
      <c r="D1257" t="inlineStr">
        <is>
          <t>How to dance forever : surviving against the odds / Daniel Nagrin.</t>
        </is>
      </c>
      <c r="F1257" t="inlineStr">
        <is>
          <t>No</t>
        </is>
      </c>
      <c r="G1257" t="inlineStr">
        <is>
          <t>1</t>
        </is>
      </c>
      <c r="H1257" t="inlineStr">
        <is>
          <t>No</t>
        </is>
      </c>
      <c r="I1257" t="inlineStr">
        <is>
          <t>No</t>
        </is>
      </c>
      <c r="J1257" t="inlineStr">
        <is>
          <t>0</t>
        </is>
      </c>
      <c r="K1257" t="inlineStr">
        <is>
          <t>Nagrin, Daniel.</t>
        </is>
      </c>
      <c r="L1257" t="inlineStr">
        <is>
          <t>New York : Quill, 1988.</t>
        </is>
      </c>
      <c r="M1257" t="inlineStr">
        <is>
          <t>1988</t>
        </is>
      </c>
      <c r="O1257" t="inlineStr">
        <is>
          <t>eng</t>
        </is>
      </c>
      <c r="P1257" t="inlineStr">
        <is>
          <t>nyu</t>
        </is>
      </c>
      <c r="R1257" t="inlineStr">
        <is>
          <t xml:space="preserve">GV </t>
        </is>
      </c>
      <c r="S1257" t="n">
        <v>3</v>
      </c>
      <c r="T1257" t="n">
        <v>3</v>
      </c>
      <c r="U1257" t="inlineStr">
        <is>
          <t>2009-05-04</t>
        </is>
      </c>
      <c r="V1257" t="inlineStr">
        <is>
          <t>2009-05-04</t>
        </is>
      </c>
      <c r="W1257" t="inlineStr">
        <is>
          <t>2009-03-30</t>
        </is>
      </c>
      <c r="X1257" t="inlineStr">
        <is>
          <t>2009-03-30</t>
        </is>
      </c>
      <c r="Y1257" t="n">
        <v>80</v>
      </c>
      <c r="Z1257" t="n">
        <v>75</v>
      </c>
      <c r="AA1257" t="n">
        <v>329</v>
      </c>
      <c r="AB1257" t="n">
        <v>2</v>
      </c>
      <c r="AC1257" t="n">
        <v>3</v>
      </c>
      <c r="AD1257" t="n">
        <v>3</v>
      </c>
      <c r="AE1257" t="n">
        <v>8</v>
      </c>
      <c r="AF1257" t="n">
        <v>1</v>
      </c>
      <c r="AG1257" t="n">
        <v>4</v>
      </c>
      <c r="AH1257" t="n">
        <v>0</v>
      </c>
      <c r="AI1257" t="n">
        <v>2</v>
      </c>
      <c r="AJ1257" t="n">
        <v>1</v>
      </c>
      <c r="AK1257" t="n">
        <v>2</v>
      </c>
      <c r="AL1257" t="n">
        <v>1</v>
      </c>
      <c r="AM1257" t="n">
        <v>2</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HYPERLINK("https://creighton-primo.hosted.exlibrisgroup.com/primo-explore/search?tab=default_tab&amp;search_scope=EVERYTHING&amp;vid=01CRU&amp;lang=en_US&amp;offset=0&amp;query=any,contains,991005300949702656","Catalog Record")</f>
        <v/>
      </c>
      <c r="AT1257">
        <f>HYPERLINK("http://www.worldcat.org/oclc/17321573","WorldCat Record")</f>
        <v/>
      </c>
      <c r="AU1257" t="inlineStr">
        <is>
          <t>892460880:eng</t>
        </is>
      </c>
      <c r="AV1257" t="inlineStr">
        <is>
          <t>17321573</t>
        </is>
      </c>
      <c r="AW1257" t="inlineStr">
        <is>
          <t>991005300949702656</t>
        </is>
      </c>
      <c r="AX1257" t="inlineStr">
        <is>
          <t>991005300949702656</t>
        </is>
      </c>
      <c r="AY1257" t="inlineStr">
        <is>
          <t>2256279940002656</t>
        </is>
      </c>
      <c r="AZ1257" t="inlineStr">
        <is>
          <t>BOOK</t>
        </is>
      </c>
      <c r="BB1257" t="inlineStr">
        <is>
          <t>9780688074791</t>
        </is>
      </c>
      <c r="BC1257" t="inlineStr">
        <is>
          <t>32285005511018</t>
        </is>
      </c>
      <c r="BD1257" t="inlineStr">
        <is>
          <t>893412631</t>
        </is>
      </c>
    </row>
    <row r="1258">
      <c r="A1258" t="inlineStr">
        <is>
          <t>No</t>
        </is>
      </c>
      <c r="B1258" t="inlineStr">
        <is>
          <t>GV1601 .B83</t>
        </is>
      </c>
      <c r="C1258" t="inlineStr">
        <is>
          <t>0                      GV 1601000B  83</t>
        </is>
      </c>
      <c r="D1258" t="inlineStr">
        <is>
          <t>Let's dance : social, ballroom, &amp; folk dancing / by Peter Buckman ; picture research by Enid Moore.</t>
        </is>
      </c>
      <c r="F1258" t="inlineStr">
        <is>
          <t>No</t>
        </is>
      </c>
      <c r="G1258" t="inlineStr">
        <is>
          <t>1</t>
        </is>
      </c>
      <c r="H1258" t="inlineStr">
        <is>
          <t>No</t>
        </is>
      </c>
      <c r="I1258" t="inlineStr">
        <is>
          <t>No</t>
        </is>
      </c>
      <c r="J1258" t="inlineStr">
        <is>
          <t>0</t>
        </is>
      </c>
      <c r="K1258" t="inlineStr">
        <is>
          <t>Buckman, Peter, 1941-</t>
        </is>
      </c>
      <c r="L1258" t="inlineStr">
        <is>
          <t>New York : Paddington Press, c1978.</t>
        </is>
      </c>
      <c r="M1258" t="inlineStr">
        <is>
          <t>1978</t>
        </is>
      </c>
      <c r="O1258" t="inlineStr">
        <is>
          <t>eng</t>
        </is>
      </c>
      <c r="P1258" t="inlineStr">
        <is>
          <t>nyu</t>
        </is>
      </c>
      <c r="R1258" t="inlineStr">
        <is>
          <t xml:space="preserve">GV </t>
        </is>
      </c>
      <c r="S1258" t="n">
        <v>3</v>
      </c>
      <c r="T1258" t="n">
        <v>3</v>
      </c>
      <c r="U1258" t="inlineStr">
        <is>
          <t>2005-03-20</t>
        </is>
      </c>
      <c r="V1258" t="inlineStr">
        <is>
          <t>2005-03-20</t>
        </is>
      </c>
      <c r="W1258" t="inlineStr">
        <is>
          <t>1998-03-16</t>
        </is>
      </c>
      <c r="X1258" t="inlineStr">
        <is>
          <t>1998-03-16</t>
        </is>
      </c>
      <c r="Y1258" t="n">
        <v>702</v>
      </c>
      <c r="Z1258" t="n">
        <v>588</v>
      </c>
      <c r="AA1258" t="n">
        <v>648</v>
      </c>
      <c r="AB1258" t="n">
        <v>4</v>
      </c>
      <c r="AC1258" t="n">
        <v>4</v>
      </c>
      <c r="AD1258" t="n">
        <v>5</v>
      </c>
      <c r="AE1258" t="n">
        <v>7</v>
      </c>
      <c r="AF1258" t="n">
        <v>1</v>
      </c>
      <c r="AG1258" t="n">
        <v>3</v>
      </c>
      <c r="AH1258" t="n">
        <v>1</v>
      </c>
      <c r="AI1258" t="n">
        <v>1</v>
      </c>
      <c r="AJ1258" t="n">
        <v>0</v>
      </c>
      <c r="AK1258" t="n">
        <v>0</v>
      </c>
      <c r="AL1258" t="n">
        <v>3</v>
      </c>
      <c r="AM1258" t="n">
        <v>3</v>
      </c>
      <c r="AN1258" t="n">
        <v>0</v>
      </c>
      <c r="AO1258" t="n">
        <v>0</v>
      </c>
      <c r="AP1258" t="inlineStr">
        <is>
          <t>No</t>
        </is>
      </c>
      <c r="AQ1258" t="inlineStr">
        <is>
          <t>No</t>
        </is>
      </c>
      <c r="AS1258">
        <f>HYPERLINK("https://creighton-primo.hosted.exlibrisgroup.com/primo-explore/search?tab=default_tab&amp;search_scope=EVERYTHING&amp;vid=01CRU&amp;lang=en_US&amp;offset=0&amp;query=any,contains,991001663539702656","Catalog Record")</f>
        <v/>
      </c>
      <c r="AT1258">
        <f>HYPERLINK("http://www.worldcat.org/oclc/3843246","WorldCat Record")</f>
        <v/>
      </c>
      <c r="AU1258" t="inlineStr">
        <is>
          <t>908529831:eng</t>
        </is>
      </c>
      <c r="AV1258" t="inlineStr">
        <is>
          <t>3843246</t>
        </is>
      </c>
      <c r="AW1258" t="inlineStr">
        <is>
          <t>991001663539702656</t>
        </is>
      </c>
      <c r="AX1258" t="inlineStr">
        <is>
          <t>991001663539702656</t>
        </is>
      </c>
      <c r="AY1258" t="inlineStr">
        <is>
          <t>2266373970002656</t>
        </is>
      </c>
      <c r="AZ1258" t="inlineStr">
        <is>
          <t>BOOK</t>
        </is>
      </c>
      <c r="BB1258" t="inlineStr">
        <is>
          <t>9780448220673</t>
        </is>
      </c>
      <c r="BC1258" t="inlineStr">
        <is>
          <t>32285003346748</t>
        </is>
      </c>
      <c r="BD1258" t="inlineStr">
        <is>
          <t>893879056</t>
        </is>
      </c>
    </row>
    <row r="1259">
      <c r="A1259" t="inlineStr">
        <is>
          <t>No</t>
        </is>
      </c>
      <c r="B1259" t="inlineStr">
        <is>
          <t>GV1601 .L54 2002</t>
        </is>
      </c>
      <c r="C1259" t="inlineStr">
        <is>
          <t>0                      GV 1601000L  54          2002</t>
        </is>
      </c>
      <c r="D1259" t="inlineStr">
        <is>
          <t>Appreciating dance : a guide to the world's liveliest art / Harriet R. Lihs.</t>
        </is>
      </c>
      <c r="F1259" t="inlineStr">
        <is>
          <t>No</t>
        </is>
      </c>
      <c r="G1259" t="inlineStr">
        <is>
          <t>1</t>
        </is>
      </c>
      <c r="H1259" t="inlineStr">
        <is>
          <t>No</t>
        </is>
      </c>
      <c r="I1259" t="inlineStr">
        <is>
          <t>No</t>
        </is>
      </c>
      <c r="J1259" t="inlineStr">
        <is>
          <t>0</t>
        </is>
      </c>
      <c r="K1259" t="inlineStr">
        <is>
          <t>Lihs, Harriet R.</t>
        </is>
      </c>
      <c r="L1259" t="inlineStr">
        <is>
          <t>Hightstown, NJ : Princeton Book Co., c2002.</t>
        </is>
      </c>
      <c r="M1259" t="inlineStr">
        <is>
          <t>2002</t>
        </is>
      </c>
      <c r="N1259" t="inlineStr">
        <is>
          <t>3rd ed.</t>
        </is>
      </c>
      <c r="O1259" t="inlineStr">
        <is>
          <t>eng</t>
        </is>
      </c>
      <c r="P1259" t="inlineStr">
        <is>
          <t>nju</t>
        </is>
      </c>
      <c r="R1259" t="inlineStr">
        <is>
          <t xml:space="preserve">GV </t>
        </is>
      </c>
      <c r="S1259" t="n">
        <v>6</v>
      </c>
      <c r="T1259" t="n">
        <v>6</v>
      </c>
      <c r="U1259" t="inlineStr">
        <is>
          <t>2008-12-04</t>
        </is>
      </c>
      <c r="V1259" t="inlineStr">
        <is>
          <t>2008-12-04</t>
        </is>
      </c>
      <c r="W1259" t="inlineStr">
        <is>
          <t>2002-12-12</t>
        </is>
      </c>
      <c r="X1259" t="inlineStr">
        <is>
          <t>2002-12-12</t>
        </is>
      </c>
      <c r="Y1259" t="n">
        <v>296</v>
      </c>
      <c r="Z1259" t="n">
        <v>256</v>
      </c>
      <c r="AA1259" t="n">
        <v>498</v>
      </c>
      <c r="AB1259" t="n">
        <v>1</v>
      </c>
      <c r="AC1259" t="n">
        <v>2</v>
      </c>
      <c r="AD1259" t="n">
        <v>9</v>
      </c>
      <c r="AE1259" t="n">
        <v>13</v>
      </c>
      <c r="AF1259" t="n">
        <v>5</v>
      </c>
      <c r="AG1259" t="n">
        <v>6</v>
      </c>
      <c r="AH1259" t="n">
        <v>3</v>
      </c>
      <c r="AI1259" t="n">
        <v>5</v>
      </c>
      <c r="AJ1259" t="n">
        <v>4</v>
      </c>
      <c r="AK1259" t="n">
        <v>5</v>
      </c>
      <c r="AL1259" t="n">
        <v>0</v>
      </c>
      <c r="AM1259" t="n">
        <v>1</v>
      </c>
      <c r="AN1259" t="n">
        <v>0</v>
      </c>
      <c r="AO1259" t="n">
        <v>0</v>
      </c>
      <c r="AP1259" t="inlineStr">
        <is>
          <t>No</t>
        </is>
      </c>
      <c r="AQ1259" t="inlineStr">
        <is>
          <t>Yes</t>
        </is>
      </c>
      <c r="AR1259">
        <f>HYPERLINK("http://catalog.hathitrust.org/Record/004261666","HathiTrust Record")</f>
        <v/>
      </c>
      <c r="AS1259">
        <f>HYPERLINK("https://creighton-primo.hosted.exlibrisgroup.com/primo-explore/search?tab=default_tab&amp;search_scope=EVERYTHING&amp;vid=01CRU&amp;lang=en_US&amp;offset=0&amp;query=any,contains,991003943559702656","Catalog Record")</f>
        <v/>
      </c>
      <c r="AT1259">
        <f>HYPERLINK("http://www.worldcat.org/oclc/50204295","WorldCat Record")</f>
        <v/>
      </c>
      <c r="AU1259" t="inlineStr">
        <is>
          <t>1032041:eng</t>
        </is>
      </c>
      <c r="AV1259" t="inlineStr">
        <is>
          <t>50204295</t>
        </is>
      </c>
      <c r="AW1259" t="inlineStr">
        <is>
          <t>991003943559702656</t>
        </is>
      </c>
      <c r="AX1259" t="inlineStr">
        <is>
          <t>991003943559702656</t>
        </is>
      </c>
      <c r="AY1259" t="inlineStr">
        <is>
          <t>2256739610002656</t>
        </is>
      </c>
      <c r="AZ1259" t="inlineStr">
        <is>
          <t>BOOK</t>
        </is>
      </c>
      <c r="BB1259" t="inlineStr">
        <is>
          <t>9780871272492</t>
        </is>
      </c>
      <c r="BC1259" t="inlineStr">
        <is>
          <t>32285004690995</t>
        </is>
      </c>
      <c r="BD1259" t="inlineStr">
        <is>
          <t>893618019</t>
        </is>
      </c>
    </row>
    <row r="1260">
      <c r="A1260" t="inlineStr">
        <is>
          <t>No</t>
        </is>
      </c>
      <c r="B1260" t="inlineStr">
        <is>
          <t>GV1603 .H36</t>
        </is>
      </c>
      <c r="C1260" t="inlineStr">
        <is>
          <t>0                      GV 1603000H  36</t>
        </is>
      </c>
      <c r="D1260" t="inlineStr">
        <is>
          <t>To dance is human : a theory of nonverbal communication / by Judith Lynne Hanna.</t>
        </is>
      </c>
      <c r="F1260" t="inlineStr">
        <is>
          <t>No</t>
        </is>
      </c>
      <c r="G1260" t="inlineStr">
        <is>
          <t>1</t>
        </is>
      </c>
      <c r="H1260" t="inlineStr">
        <is>
          <t>No</t>
        </is>
      </c>
      <c r="I1260" t="inlineStr">
        <is>
          <t>No</t>
        </is>
      </c>
      <c r="J1260" t="inlineStr">
        <is>
          <t>0</t>
        </is>
      </c>
      <c r="K1260" t="inlineStr">
        <is>
          <t>Hanna, Judith Lynne.</t>
        </is>
      </c>
      <c r="L1260" t="inlineStr">
        <is>
          <t>Austin : University of Texas Press, c1979.</t>
        </is>
      </c>
      <c r="M1260" t="inlineStr">
        <is>
          <t>1979</t>
        </is>
      </c>
      <c r="O1260" t="inlineStr">
        <is>
          <t>eng</t>
        </is>
      </c>
      <c r="P1260" t="inlineStr">
        <is>
          <t>txu</t>
        </is>
      </c>
      <c r="R1260" t="inlineStr">
        <is>
          <t xml:space="preserve">GV </t>
        </is>
      </c>
      <c r="S1260" t="n">
        <v>12</v>
      </c>
      <c r="T1260" t="n">
        <v>12</v>
      </c>
      <c r="U1260" t="inlineStr">
        <is>
          <t>2009-02-12</t>
        </is>
      </c>
      <c r="V1260" t="inlineStr">
        <is>
          <t>2009-02-12</t>
        </is>
      </c>
      <c r="W1260" t="inlineStr">
        <is>
          <t>1990-04-06</t>
        </is>
      </c>
      <c r="X1260" t="inlineStr">
        <is>
          <t>1990-04-06</t>
        </is>
      </c>
      <c r="Y1260" t="n">
        <v>613</v>
      </c>
      <c r="Z1260" t="n">
        <v>502</v>
      </c>
      <c r="AA1260" t="n">
        <v>682</v>
      </c>
      <c r="AB1260" t="n">
        <v>4</v>
      </c>
      <c r="AC1260" t="n">
        <v>5</v>
      </c>
      <c r="AD1260" t="n">
        <v>16</v>
      </c>
      <c r="AE1260" t="n">
        <v>24</v>
      </c>
      <c r="AF1260" t="n">
        <v>5</v>
      </c>
      <c r="AG1260" t="n">
        <v>9</v>
      </c>
      <c r="AH1260" t="n">
        <v>5</v>
      </c>
      <c r="AI1260" t="n">
        <v>5</v>
      </c>
      <c r="AJ1260" t="n">
        <v>7</v>
      </c>
      <c r="AK1260" t="n">
        <v>12</v>
      </c>
      <c r="AL1260" t="n">
        <v>3</v>
      </c>
      <c r="AM1260" t="n">
        <v>4</v>
      </c>
      <c r="AN1260" t="n">
        <v>0</v>
      </c>
      <c r="AO1260" t="n">
        <v>0</v>
      </c>
      <c r="AP1260" t="inlineStr">
        <is>
          <t>No</t>
        </is>
      </c>
      <c r="AQ1260" t="inlineStr">
        <is>
          <t>Yes</t>
        </is>
      </c>
      <c r="AR1260">
        <f>HYPERLINK("http://catalog.hathitrust.org/Record/000255928","HathiTrust Record")</f>
        <v/>
      </c>
      <c r="AS1260">
        <f>HYPERLINK("https://creighton-primo.hosted.exlibrisgroup.com/primo-explore/search?tab=default_tab&amp;search_scope=EVERYTHING&amp;vid=01CRU&amp;lang=en_US&amp;offset=0&amp;query=any,contains,991004651699702656","Catalog Record")</f>
        <v/>
      </c>
      <c r="AT1260">
        <f>HYPERLINK("http://www.worldcat.org/oclc/4494230","WorldCat Record")</f>
        <v/>
      </c>
      <c r="AU1260" t="inlineStr">
        <is>
          <t>836656252:eng</t>
        </is>
      </c>
      <c r="AV1260" t="inlineStr">
        <is>
          <t>4494230</t>
        </is>
      </c>
      <c r="AW1260" t="inlineStr">
        <is>
          <t>991004651699702656</t>
        </is>
      </c>
      <c r="AX1260" t="inlineStr">
        <is>
          <t>991004651699702656</t>
        </is>
      </c>
      <c r="AY1260" t="inlineStr">
        <is>
          <t>2265418820002656</t>
        </is>
      </c>
      <c r="AZ1260" t="inlineStr">
        <is>
          <t>BOOK</t>
        </is>
      </c>
      <c r="BB1260" t="inlineStr">
        <is>
          <t>9780292780323</t>
        </is>
      </c>
      <c r="BC1260" t="inlineStr">
        <is>
          <t>32285000112515</t>
        </is>
      </c>
      <c r="BD1260" t="inlineStr">
        <is>
          <t>893687982</t>
        </is>
      </c>
    </row>
    <row r="1261">
      <c r="A1261" t="inlineStr">
        <is>
          <t>No</t>
        </is>
      </c>
      <c r="B1261" t="inlineStr">
        <is>
          <t>GV1619 .R49 2003</t>
        </is>
      </c>
      <c r="C1261" t="inlineStr">
        <is>
          <t>0                      GV 1619000R  49          2003</t>
        </is>
      </c>
      <c r="D1261" t="inlineStr">
        <is>
          <t>No fixed points : dance in the twentieth century / Nancy Reynolds and Malcolm McCormick.</t>
        </is>
      </c>
      <c r="F1261" t="inlineStr">
        <is>
          <t>No</t>
        </is>
      </c>
      <c r="G1261" t="inlineStr">
        <is>
          <t>1</t>
        </is>
      </c>
      <c r="H1261" t="inlineStr">
        <is>
          <t>No</t>
        </is>
      </c>
      <c r="I1261" t="inlineStr">
        <is>
          <t>No</t>
        </is>
      </c>
      <c r="J1261" t="inlineStr">
        <is>
          <t>0</t>
        </is>
      </c>
      <c r="K1261" t="inlineStr">
        <is>
          <t>Reynolds, Nancy, 1938-</t>
        </is>
      </c>
      <c r="L1261" t="inlineStr">
        <is>
          <t>New Haven : Yale University Press, c2003.</t>
        </is>
      </c>
      <c r="M1261" t="inlineStr">
        <is>
          <t>2003</t>
        </is>
      </c>
      <c r="O1261" t="inlineStr">
        <is>
          <t>eng</t>
        </is>
      </c>
      <c r="P1261" t="inlineStr">
        <is>
          <t>ctu</t>
        </is>
      </c>
      <c r="R1261" t="inlineStr">
        <is>
          <t xml:space="preserve">GV </t>
        </is>
      </c>
      <c r="S1261" t="n">
        <v>4</v>
      </c>
      <c r="T1261" t="n">
        <v>4</v>
      </c>
      <c r="U1261" t="inlineStr">
        <is>
          <t>2004-04-18</t>
        </is>
      </c>
      <c r="V1261" t="inlineStr">
        <is>
          <t>2004-04-18</t>
        </is>
      </c>
      <c r="W1261" t="inlineStr">
        <is>
          <t>2003-12-02</t>
        </is>
      </c>
      <c r="X1261" t="inlineStr">
        <is>
          <t>2003-12-02</t>
        </is>
      </c>
      <c r="Y1261" t="n">
        <v>1409</v>
      </c>
      <c r="Z1261" t="n">
        <v>1259</v>
      </c>
      <c r="AA1261" t="n">
        <v>1262</v>
      </c>
      <c r="AB1261" t="n">
        <v>6</v>
      </c>
      <c r="AC1261" t="n">
        <v>6</v>
      </c>
      <c r="AD1261" t="n">
        <v>28</v>
      </c>
      <c r="AE1261" t="n">
        <v>28</v>
      </c>
      <c r="AF1261" t="n">
        <v>13</v>
      </c>
      <c r="AG1261" t="n">
        <v>13</v>
      </c>
      <c r="AH1261" t="n">
        <v>7</v>
      </c>
      <c r="AI1261" t="n">
        <v>7</v>
      </c>
      <c r="AJ1261" t="n">
        <v>11</v>
      </c>
      <c r="AK1261" t="n">
        <v>11</v>
      </c>
      <c r="AL1261" t="n">
        <v>4</v>
      </c>
      <c r="AM1261" t="n">
        <v>4</v>
      </c>
      <c r="AN1261" t="n">
        <v>0</v>
      </c>
      <c r="AO1261" t="n">
        <v>0</v>
      </c>
      <c r="AP1261" t="inlineStr">
        <is>
          <t>No</t>
        </is>
      </c>
      <c r="AQ1261" t="inlineStr">
        <is>
          <t>No</t>
        </is>
      </c>
      <c r="AS1261">
        <f>HYPERLINK("https://creighton-primo.hosted.exlibrisgroup.com/primo-explore/search?tab=default_tab&amp;search_scope=EVERYTHING&amp;vid=01CRU&amp;lang=en_US&amp;offset=0&amp;query=any,contains,991004183859702656","Catalog Record")</f>
        <v/>
      </c>
      <c r="AT1261">
        <f>HYPERLINK("http://www.worldcat.org/oclc/52295793","WorldCat Record")</f>
        <v/>
      </c>
      <c r="AU1261" t="inlineStr">
        <is>
          <t>865277286:eng</t>
        </is>
      </c>
      <c r="AV1261" t="inlineStr">
        <is>
          <t>52295793</t>
        </is>
      </c>
      <c r="AW1261" t="inlineStr">
        <is>
          <t>991004183859702656</t>
        </is>
      </c>
      <c r="AX1261" t="inlineStr">
        <is>
          <t>991004183859702656</t>
        </is>
      </c>
      <c r="AY1261" t="inlineStr">
        <is>
          <t>2268417670002656</t>
        </is>
      </c>
      <c r="AZ1261" t="inlineStr">
        <is>
          <t>BOOK</t>
        </is>
      </c>
      <c r="BB1261" t="inlineStr">
        <is>
          <t>9780300093667</t>
        </is>
      </c>
      <c r="BC1261" t="inlineStr">
        <is>
          <t>32285004843701</t>
        </is>
      </c>
      <c r="BD1261" t="inlineStr">
        <is>
          <t>893882153</t>
        </is>
      </c>
    </row>
    <row r="1262">
      <c r="A1262" t="inlineStr">
        <is>
          <t>No</t>
        </is>
      </c>
      <c r="B1262" t="inlineStr">
        <is>
          <t>GV1623 .M27 1979</t>
        </is>
      </c>
      <c r="C1262" t="inlineStr">
        <is>
          <t>0                      GV 1623000M  27          1979</t>
        </is>
      </c>
      <c r="D1262" t="inlineStr">
        <is>
          <t>Dance fever / by Don McDonagh.</t>
        </is>
      </c>
      <c r="F1262" t="inlineStr">
        <is>
          <t>No</t>
        </is>
      </c>
      <c r="G1262" t="inlineStr">
        <is>
          <t>1</t>
        </is>
      </c>
      <c r="H1262" t="inlineStr">
        <is>
          <t>No</t>
        </is>
      </c>
      <c r="I1262" t="inlineStr">
        <is>
          <t>No</t>
        </is>
      </c>
      <c r="J1262" t="inlineStr">
        <is>
          <t>0</t>
        </is>
      </c>
      <c r="K1262" t="inlineStr">
        <is>
          <t>McDonagh, Don.</t>
        </is>
      </c>
      <c r="L1262" t="inlineStr">
        <is>
          <t>New York : Random House, c1979.</t>
        </is>
      </c>
      <c r="M1262" t="inlineStr">
        <is>
          <t>1979</t>
        </is>
      </c>
      <c r="O1262" t="inlineStr">
        <is>
          <t>eng</t>
        </is>
      </c>
      <c r="P1262" t="inlineStr">
        <is>
          <t>nyu</t>
        </is>
      </c>
      <c r="R1262" t="inlineStr">
        <is>
          <t xml:space="preserve">GV </t>
        </is>
      </c>
      <c r="S1262" t="n">
        <v>1</v>
      </c>
      <c r="T1262" t="n">
        <v>1</v>
      </c>
      <c r="U1262" t="inlineStr">
        <is>
          <t>2005-04-04</t>
        </is>
      </c>
      <c r="V1262" t="inlineStr">
        <is>
          <t>2005-04-04</t>
        </is>
      </c>
      <c r="W1262" t="inlineStr">
        <is>
          <t>2002-12-10</t>
        </is>
      </c>
      <c r="X1262" t="inlineStr">
        <is>
          <t>2002-12-10</t>
        </is>
      </c>
      <c r="Y1262" t="n">
        <v>334</v>
      </c>
      <c r="Z1262" t="n">
        <v>313</v>
      </c>
      <c r="AA1262" t="n">
        <v>318</v>
      </c>
      <c r="AB1262" t="n">
        <v>3</v>
      </c>
      <c r="AC1262" t="n">
        <v>3</v>
      </c>
      <c r="AD1262" t="n">
        <v>4</v>
      </c>
      <c r="AE1262" t="n">
        <v>4</v>
      </c>
      <c r="AF1262" t="n">
        <v>2</v>
      </c>
      <c r="AG1262" t="n">
        <v>2</v>
      </c>
      <c r="AH1262" t="n">
        <v>0</v>
      </c>
      <c r="AI1262" t="n">
        <v>0</v>
      </c>
      <c r="AJ1262" t="n">
        <v>1</v>
      </c>
      <c r="AK1262" t="n">
        <v>1</v>
      </c>
      <c r="AL1262" t="n">
        <v>2</v>
      </c>
      <c r="AM1262" t="n">
        <v>2</v>
      </c>
      <c r="AN1262" t="n">
        <v>0</v>
      </c>
      <c r="AO1262" t="n">
        <v>0</v>
      </c>
      <c r="AP1262" t="inlineStr">
        <is>
          <t>No</t>
        </is>
      </c>
      <c r="AQ1262" t="inlineStr">
        <is>
          <t>No</t>
        </is>
      </c>
      <c r="AS1262">
        <f>HYPERLINK("https://creighton-primo.hosted.exlibrisgroup.com/primo-explore/search?tab=default_tab&amp;search_scope=EVERYTHING&amp;vid=01CRU&amp;lang=en_US&amp;offset=0&amp;query=any,contains,991003958639702656","Catalog Record")</f>
        <v/>
      </c>
      <c r="AT1262">
        <f>HYPERLINK("http://www.worldcat.org/oclc/4493551","WorldCat Record")</f>
        <v/>
      </c>
      <c r="AU1262" t="inlineStr">
        <is>
          <t>14765273:eng</t>
        </is>
      </c>
      <c r="AV1262" t="inlineStr">
        <is>
          <t>4493551</t>
        </is>
      </c>
      <c r="AW1262" t="inlineStr">
        <is>
          <t>991003958639702656</t>
        </is>
      </c>
      <c r="AX1262" t="inlineStr">
        <is>
          <t>991003958639702656</t>
        </is>
      </c>
      <c r="AY1262" t="inlineStr">
        <is>
          <t>2263052090002656</t>
        </is>
      </c>
      <c r="AZ1262" t="inlineStr">
        <is>
          <t>BOOK</t>
        </is>
      </c>
      <c r="BB1262" t="inlineStr">
        <is>
          <t>9780394504100</t>
        </is>
      </c>
      <c r="BC1262" t="inlineStr">
        <is>
          <t>32285004669429</t>
        </is>
      </c>
      <c r="BD1262" t="inlineStr">
        <is>
          <t>893699633</t>
        </is>
      </c>
    </row>
    <row r="1263">
      <c r="A1263" t="inlineStr">
        <is>
          <t>No</t>
        </is>
      </c>
      <c r="B1263" t="inlineStr">
        <is>
          <t>GV1624.7.A34 L66 1989</t>
        </is>
      </c>
      <c r="C1263" t="inlineStr">
        <is>
          <t>0                      GV 1624700A  34                 L  66          1989</t>
        </is>
      </c>
      <c r="D1263" t="inlineStr">
        <is>
          <t>The Black tradition in American modern dance / Richard A. Long ; photographs selected and annotated by Joe Nash.</t>
        </is>
      </c>
      <c r="F1263" t="inlineStr">
        <is>
          <t>No</t>
        </is>
      </c>
      <c r="G1263" t="inlineStr">
        <is>
          <t>1</t>
        </is>
      </c>
      <c r="H1263" t="inlineStr">
        <is>
          <t>No</t>
        </is>
      </c>
      <c r="I1263" t="inlineStr">
        <is>
          <t>No</t>
        </is>
      </c>
      <c r="J1263" t="inlineStr">
        <is>
          <t>0</t>
        </is>
      </c>
      <c r="K1263" t="inlineStr">
        <is>
          <t>Long, Richard A., 1927-2013.</t>
        </is>
      </c>
      <c r="L1263" t="inlineStr">
        <is>
          <t>New York : Rizzoli, 1989.</t>
        </is>
      </c>
      <c r="M1263" t="inlineStr">
        <is>
          <t>1989</t>
        </is>
      </c>
      <c r="O1263" t="inlineStr">
        <is>
          <t>eng</t>
        </is>
      </c>
      <c r="P1263" t="inlineStr">
        <is>
          <t>nyu</t>
        </is>
      </c>
      <c r="R1263" t="inlineStr">
        <is>
          <t xml:space="preserve">GV </t>
        </is>
      </c>
      <c r="S1263" t="n">
        <v>7</v>
      </c>
      <c r="T1263" t="n">
        <v>7</v>
      </c>
      <c r="U1263" t="inlineStr">
        <is>
          <t>2004-04-24</t>
        </is>
      </c>
      <c r="V1263" t="inlineStr">
        <is>
          <t>2004-04-24</t>
        </is>
      </c>
      <c r="W1263" t="inlineStr">
        <is>
          <t>1990-06-06</t>
        </is>
      </c>
      <c r="X1263" t="inlineStr">
        <is>
          <t>1990-06-06</t>
        </is>
      </c>
      <c r="Y1263" t="n">
        <v>952</v>
      </c>
      <c r="Z1263" t="n">
        <v>880</v>
      </c>
      <c r="AA1263" t="n">
        <v>969</v>
      </c>
      <c r="AB1263" t="n">
        <v>5</v>
      </c>
      <c r="AC1263" t="n">
        <v>6</v>
      </c>
      <c r="AD1263" t="n">
        <v>18</v>
      </c>
      <c r="AE1263" t="n">
        <v>21</v>
      </c>
      <c r="AF1263" t="n">
        <v>9</v>
      </c>
      <c r="AG1263" t="n">
        <v>10</v>
      </c>
      <c r="AH1263" t="n">
        <v>3</v>
      </c>
      <c r="AI1263" t="n">
        <v>4</v>
      </c>
      <c r="AJ1263" t="n">
        <v>9</v>
      </c>
      <c r="AK1263" t="n">
        <v>10</v>
      </c>
      <c r="AL1263" t="n">
        <v>2</v>
      </c>
      <c r="AM1263" t="n">
        <v>3</v>
      </c>
      <c r="AN1263" t="n">
        <v>0</v>
      </c>
      <c r="AO1263" t="n">
        <v>0</v>
      </c>
      <c r="AP1263" t="inlineStr">
        <is>
          <t>No</t>
        </is>
      </c>
      <c r="AQ1263" t="inlineStr">
        <is>
          <t>No</t>
        </is>
      </c>
      <c r="AS1263">
        <f>HYPERLINK("https://creighton-primo.hosted.exlibrisgroup.com/primo-explore/search?tab=default_tab&amp;search_scope=EVERYTHING&amp;vid=01CRU&amp;lang=en_US&amp;offset=0&amp;query=any,contains,991001466679702656","Catalog Record")</f>
        <v/>
      </c>
      <c r="AT1263">
        <f>HYPERLINK("http://www.worldcat.org/oclc/19513322","WorldCat Record")</f>
        <v/>
      </c>
      <c r="AU1263" t="inlineStr">
        <is>
          <t>20889348:eng</t>
        </is>
      </c>
      <c r="AV1263" t="inlineStr">
        <is>
          <t>19513322</t>
        </is>
      </c>
      <c r="AW1263" t="inlineStr">
        <is>
          <t>991001466679702656</t>
        </is>
      </c>
      <c r="AX1263" t="inlineStr">
        <is>
          <t>991001466679702656</t>
        </is>
      </c>
      <c r="AY1263" t="inlineStr">
        <is>
          <t>2260334350002656</t>
        </is>
      </c>
      <c r="AZ1263" t="inlineStr">
        <is>
          <t>BOOK</t>
        </is>
      </c>
      <c r="BB1263" t="inlineStr">
        <is>
          <t>9780847810925</t>
        </is>
      </c>
      <c r="BC1263" t="inlineStr">
        <is>
          <t>32285000175124</t>
        </is>
      </c>
      <c r="BD1263" t="inlineStr">
        <is>
          <t>893321985</t>
        </is>
      </c>
    </row>
    <row r="1264">
      <c r="A1264" t="inlineStr">
        <is>
          <t>No</t>
        </is>
      </c>
      <c r="B1264" t="inlineStr">
        <is>
          <t>GV17 .M8</t>
        </is>
      </c>
      <c r="C1264" t="inlineStr">
        <is>
          <t>0                      GV 0017000M  8</t>
        </is>
      </c>
      <c r="D1264" t="inlineStr">
        <is>
          <t>Athletics, sports and games / John Murrell.</t>
        </is>
      </c>
      <c r="F1264" t="inlineStr">
        <is>
          <t>No</t>
        </is>
      </c>
      <c r="G1264" t="inlineStr">
        <is>
          <t>1</t>
        </is>
      </c>
      <c r="H1264" t="inlineStr">
        <is>
          <t>No</t>
        </is>
      </c>
      <c r="I1264" t="inlineStr">
        <is>
          <t>No</t>
        </is>
      </c>
      <c r="J1264" t="inlineStr">
        <is>
          <t>0</t>
        </is>
      </c>
      <c r="K1264" t="inlineStr">
        <is>
          <t>Murrell, John.</t>
        </is>
      </c>
      <c r="L1264" t="inlineStr">
        <is>
          <t>London : Allen &amp; Unwin, 1975.</t>
        </is>
      </c>
      <c r="M1264" t="inlineStr">
        <is>
          <t>1975</t>
        </is>
      </c>
      <c r="O1264" t="inlineStr">
        <is>
          <t>eng</t>
        </is>
      </c>
      <c r="P1264" t="inlineStr">
        <is>
          <t>enk</t>
        </is>
      </c>
      <c r="Q1264" t="inlineStr">
        <is>
          <t>Greek and Roman topics ; 5</t>
        </is>
      </c>
      <c r="R1264" t="inlineStr">
        <is>
          <t xml:space="preserve">GV </t>
        </is>
      </c>
      <c r="S1264" t="n">
        <v>10</v>
      </c>
      <c r="T1264" t="n">
        <v>10</v>
      </c>
      <c r="U1264" t="inlineStr">
        <is>
          <t>2006-09-11</t>
        </is>
      </c>
      <c r="V1264" t="inlineStr">
        <is>
          <t>2006-09-11</t>
        </is>
      </c>
      <c r="W1264" t="inlineStr">
        <is>
          <t>1990-10-03</t>
        </is>
      </c>
      <c r="X1264" t="inlineStr">
        <is>
          <t>1990-10-03</t>
        </is>
      </c>
      <c r="Y1264" t="n">
        <v>138</v>
      </c>
      <c r="Z1264" t="n">
        <v>83</v>
      </c>
      <c r="AA1264" t="n">
        <v>83</v>
      </c>
      <c r="AB1264" t="n">
        <v>1</v>
      </c>
      <c r="AC1264" t="n">
        <v>1</v>
      </c>
      <c r="AD1264" t="n">
        <v>9</v>
      </c>
      <c r="AE1264" t="n">
        <v>9</v>
      </c>
      <c r="AF1264" t="n">
        <v>1</v>
      </c>
      <c r="AG1264" t="n">
        <v>1</v>
      </c>
      <c r="AH1264" t="n">
        <v>3</v>
      </c>
      <c r="AI1264" t="n">
        <v>3</v>
      </c>
      <c r="AJ1264" t="n">
        <v>6</v>
      </c>
      <c r="AK1264" t="n">
        <v>6</v>
      </c>
      <c r="AL1264" t="n">
        <v>0</v>
      </c>
      <c r="AM1264" t="n">
        <v>0</v>
      </c>
      <c r="AN1264" t="n">
        <v>0</v>
      </c>
      <c r="AO1264" t="n">
        <v>0</v>
      </c>
      <c r="AP1264" t="inlineStr">
        <is>
          <t>No</t>
        </is>
      </c>
      <c r="AQ1264" t="inlineStr">
        <is>
          <t>No</t>
        </is>
      </c>
      <c r="AS1264">
        <f>HYPERLINK("https://creighton-primo.hosted.exlibrisgroup.com/primo-explore/search?tab=default_tab&amp;search_scope=EVERYTHING&amp;vid=01CRU&amp;lang=en_US&amp;offset=0&amp;query=any,contains,991004431369702656","Catalog Record")</f>
        <v/>
      </c>
      <c r="AT1264">
        <f>HYPERLINK("http://www.worldcat.org/oclc/3422622","WorldCat Record")</f>
        <v/>
      </c>
      <c r="AU1264" t="inlineStr">
        <is>
          <t>10209114:eng</t>
        </is>
      </c>
      <c r="AV1264" t="inlineStr">
        <is>
          <t>3422622</t>
        </is>
      </c>
      <c r="AW1264" t="inlineStr">
        <is>
          <t>991004431369702656</t>
        </is>
      </c>
      <c r="AX1264" t="inlineStr">
        <is>
          <t>991004431369702656</t>
        </is>
      </c>
      <c r="AY1264" t="inlineStr">
        <is>
          <t>2266631800002656</t>
        </is>
      </c>
      <c r="AZ1264" t="inlineStr">
        <is>
          <t>BOOK</t>
        </is>
      </c>
      <c r="BB1264" t="inlineStr">
        <is>
          <t>9780049300064</t>
        </is>
      </c>
      <c r="BC1264" t="inlineStr">
        <is>
          <t>32285000319037</t>
        </is>
      </c>
      <c r="BD1264" t="inlineStr">
        <is>
          <t>893513239</t>
        </is>
      </c>
    </row>
    <row r="1265">
      <c r="A1265" t="inlineStr">
        <is>
          <t>No</t>
        </is>
      </c>
      <c r="B1265" t="inlineStr">
        <is>
          <t>GV17 .O45 1985</t>
        </is>
      </c>
      <c r="C1265" t="inlineStr">
        <is>
          <t>0                      GV 0017000O  45          1985</t>
        </is>
      </c>
      <c r="D1265" t="inlineStr">
        <is>
          <t>Sports and games in the ancient world / Věra Olivová.</t>
        </is>
      </c>
      <c r="F1265" t="inlineStr">
        <is>
          <t>No</t>
        </is>
      </c>
      <c r="G1265" t="inlineStr">
        <is>
          <t>1</t>
        </is>
      </c>
      <c r="H1265" t="inlineStr">
        <is>
          <t>No</t>
        </is>
      </c>
      <c r="I1265" t="inlineStr">
        <is>
          <t>No</t>
        </is>
      </c>
      <c r="J1265" t="inlineStr">
        <is>
          <t>0</t>
        </is>
      </c>
      <c r="K1265" t="inlineStr">
        <is>
          <t>Olivová, Věra.</t>
        </is>
      </c>
      <c r="L1265" t="inlineStr">
        <is>
          <t>New York : St. Martin's Press, 1985, c1984.</t>
        </is>
      </c>
      <c r="M1265" t="inlineStr">
        <is>
          <t>1985</t>
        </is>
      </c>
      <c r="N1265" t="inlineStr">
        <is>
          <t>1st U.S. ed.</t>
        </is>
      </c>
      <c r="O1265" t="inlineStr">
        <is>
          <t>eng</t>
        </is>
      </c>
      <c r="P1265" t="inlineStr">
        <is>
          <t>nyu</t>
        </is>
      </c>
      <c r="R1265" t="inlineStr">
        <is>
          <t xml:space="preserve">GV </t>
        </is>
      </c>
      <c r="S1265" t="n">
        <v>10</v>
      </c>
      <c r="T1265" t="n">
        <v>10</v>
      </c>
      <c r="U1265" t="inlineStr">
        <is>
          <t>2006-04-29</t>
        </is>
      </c>
      <c r="V1265" t="inlineStr">
        <is>
          <t>2006-04-29</t>
        </is>
      </c>
      <c r="W1265" t="inlineStr">
        <is>
          <t>1990-10-03</t>
        </is>
      </c>
      <c r="X1265" t="inlineStr">
        <is>
          <t>1990-10-03</t>
        </is>
      </c>
      <c r="Y1265" t="n">
        <v>424</v>
      </c>
      <c r="Z1265" t="n">
        <v>399</v>
      </c>
      <c r="AA1265" t="n">
        <v>480</v>
      </c>
      <c r="AB1265" t="n">
        <v>2</v>
      </c>
      <c r="AC1265" t="n">
        <v>2</v>
      </c>
      <c r="AD1265" t="n">
        <v>7</v>
      </c>
      <c r="AE1265" t="n">
        <v>9</v>
      </c>
      <c r="AF1265" t="n">
        <v>4</v>
      </c>
      <c r="AG1265" t="n">
        <v>4</v>
      </c>
      <c r="AH1265" t="n">
        <v>3</v>
      </c>
      <c r="AI1265" t="n">
        <v>4</v>
      </c>
      <c r="AJ1265" t="n">
        <v>1</v>
      </c>
      <c r="AK1265" t="n">
        <v>2</v>
      </c>
      <c r="AL1265" t="n">
        <v>1</v>
      </c>
      <c r="AM1265" t="n">
        <v>1</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HYPERLINK("https://creighton-primo.hosted.exlibrisgroup.com/primo-explore/search?tab=default_tab&amp;search_scope=EVERYTHING&amp;vid=01CRU&amp;lang=en_US&amp;offset=0&amp;query=any,contains,991000535359702656","Catalog Record")</f>
        <v/>
      </c>
      <c r="AT1265">
        <f>HYPERLINK("http://www.worldcat.org/oclc/11444340","WorldCat Record")</f>
        <v/>
      </c>
      <c r="AU1265" t="inlineStr">
        <is>
          <t>4137928:eng</t>
        </is>
      </c>
      <c r="AV1265" t="inlineStr">
        <is>
          <t>11444340</t>
        </is>
      </c>
      <c r="AW1265" t="inlineStr">
        <is>
          <t>991000535359702656</t>
        </is>
      </c>
      <c r="AX1265" t="inlineStr">
        <is>
          <t>991000535359702656</t>
        </is>
      </c>
      <c r="AY1265" t="inlineStr">
        <is>
          <t>2260093430002656</t>
        </is>
      </c>
      <c r="AZ1265" t="inlineStr">
        <is>
          <t>BOOK</t>
        </is>
      </c>
      <c r="BB1265" t="inlineStr">
        <is>
          <t>9780312753214</t>
        </is>
      </c>
      <c r="BC1265" t="inlineStr">
        <is>
          <t>32285000319045</t>
        </is>
      </c>
      <c r="BD1265" t="inlineStr">
        <is>
          <t>893608008</t>
        </is>
      </c>
    </row>
    <row r="1266">
      <c r="A1266" t="inlineStr">
        <is>
          <t>No</t>
        </is>
      </c>
      <c r="B1266" t="inlineStr">
        <is>
          <t>GV1703.B3 D4 1973</t>
        </is>
      </c>
      <c r="C1266" t="inlineStr">
        <is>
          <t>0                      GV 1703000B  3                  D  4           1973</t>
        </is>
      </c>
      <c r="D1266" t="inlineStr">
        <is>
          <t>Dance and drama in Bali / by Beryl de Zoete and Walter Spies. With a pref. by Arthur Waley.</t>
        </is>
      </c>
      <c r="F1266" t="inlineStr">
        <is>
          <t>No</t>
        </is>
      </c>
      <c r="G1266" t="inlineStr">
        <is>
          <t>1</t>
        </is>
      </c>
      <c r="H1266" t="inlineStr">
        <is>
          <t>No</t>
        </is>
      </c>
      <c r="I1266" t="inlineStr">
        <is>
          <t>No</t>
        </is>
      </c>
      <c r="J1266" t="inlineStr">
        <is>
          <t>0</t>
        </is>
      </c>
      <c r="K1266" t="inlineStr">
        <is>
          <t>De Zoete, Beryl, 1884-1962.</t>
        </is>
      </c>
      <c r="L1266" t="inlineStr">
        <is>
          <t>Kuala Lumpur ; New York : Oxford University Press, [1973]</t>
        </is>
      </c>
      <c r="M1266" t="inlineStr">
        <is>
          <t>1973</t>
        </is>
      </c>
      <c r="O1266" t="inlineStr">
        <is>
          <t>eng</t>
        </is>
      </c>
      <c r="P1266" t="inlineStr">
        <is>
          <t xml:space="preserve">my </t>
        </is>
      </c>
      <c r="R1266" t="inlineStr">
        <is>
          <t xml:space="preserve">GV </t>
        </is>
      </c>
      <c r="S1266" t="n">
        <v>9</v>
      </c>
      <c r="T1266" t="n">
        <v>9</v>
      </c>
      <c r="U1266" t="inlineStr">
        <is>
          <t>2006-04-18</t>
        </is>
      </c>
      <c r="V1266" t="inlineStr">
        <is>
          <t>2006-04-18</t>
        </is>
      </c>
      <c r="W1266" t="inlineStr">
        <is>
          <t>1991-12-05</t>
        </is>
      </c>
      <c r="X1266" t="inlineStr">
        <is>
          <t>1991-12-05</t>
        </is>
      </c>
      <c r="Y1266" t="n">
        <v>263</v>
      </c>
      <c r="Z1266" t="n">
        <v>177</v>
      </c>
      <c r="AA1266" t="n">
        <v>382</v>
      </c>
      <c r="AB1266" t="n">
        <v>1</v>
      </c>
      <c r="AC1266" t="n">
        <v>2</v>
      </c>
      <c r="AD1266" t="n">
        <v>4</v>
      </c>
      <c r="AE1266" t="n">
        <v>10</v>
      </c>
      <c r="AF1266" t="n">
        <v>2</v>
      </c>
      <c r="AG1266" t="n">
        <v>3</v>
      </c>
      <c r="AH1266" t="n">
        <v>1</v>
      </c>
      <c r="AI1266" t="n">
        <v>2</v>
      </c>
      <c r="AJ1266" t="n">
        <v>4</v>
      </c>
      <c r="AK1266" t="n">
        <v>7</v>
      </c>
      <c r="AL1266" t="n">
        <v>0</v>
      </c>
      <c r="AM1266" t="n">
        <v>1</v>
      </c>
      <c r="AN1266" t="n">
        <v>0</v>
      </c>
      <c r="AO1266" t="n">
        <v>0</v>
      </c>
      <c r="AP1266" t="inlineStr">
        <is>
          <t>No</t>
        </is>
      </c>
      <c r="AQ1266" t="inlineStr">
        <is>
          <t>No</t>
        </is>
      </c>
      <c r="AS1266">
        <f>HYPERLINK("https://creighton-primo.hosted.exlibrisgroup.com/primo-explore/search?tab=default_tab&amp;search_scope=EVERYTHING&amp;vid=01CRU&amp;lang=en_US&amp;offset=0&amp;query=any,contains,991003462399702656","Catalog Record")</f>
        <v/>
      </c>
      <c r="AT1266">
        <f>HYPERLINK("http://www.worldcat.org/oclc/1004292","WorldCat Record")</f>
        <v/>
      </c>
      <c r="AU1266" t="inlineStr">
        <is>
          <t>1920184:eng</t>
        </is>
      </c>
      <c r="AV1266" t="inlineStr">
        <is>
          <t>1004292</t>
        </is>
      </c>
      <c r="AW1266" t="inlineStr">
        <is>
          <t>991003462399702656</t>
        </is>
      </c>
      <c r="AX1266" t="inlineStr">
        <is>
          <t>991003462399702656</t>
        </is>
      </c>
      <c r="AY1266" t="inlineStr">
        <is>
          <t>2255235640002656</t>
        </is>
      </c>
      <c r="AZ1266" t="inlineStr">
        <is>
          <t>BOOK</t>
        </is>
      </c>
      <c r="BC1266" t="inlineStr">
        <is>
          <t>32285000847391</t>
        </is>
      </c>
      <c r="BD1266" t="inlineStr">
        <is>
          <t>893324086</t>
        </is>
      </c>
    </row>
    <row r="1267">
      <c r="A1267" t="inlineStr">
        <is>
          <t>No</t>
        </is>
      </c>
      <c r="B1267" t="inlineStr">
        <is>
          <t>GV1751 .P55 1967</t>
        </is>
      </c>
      <c r="C1267" t="inlineStr">
        <is>
          <t>0                      GV 1751000P  55          1967</t>
        </is>
      </c>
      <c r="D1267" t="inlineStr">
        <is>
          <t>Social dance / [by] William F. Pillich. Illus. by Donna Kimura.</t>
        </is>
      </c>
      <c r="F1267" t="inlineStr">
        <is>
          <t>No</t>
        </is>
      </c>
      <c r="G1267" t="inlineStr">
        <is>
          <t>1</t>
        </is>
      </c>
      <c r="H1267" t="inlineStr">
        <is>
          <t>No</t>
        </is>
      </c>
      <c r="I1267" t="inlineStr">
        <is>
          <t>No</t>
        </is>
      </c>
      <c r="J1267" t="inlineStr">
        <is>
          <t>0</t>
        </is>
      </c>
      <c r="K1267" t="inlineStr">
        <is>
          <t>Pillich, William F.</t>
        </is>
      </c>
      <c r="L1267" t="inlineStr">
        <is>
          <t>Dubuque, Iowa : W. C. Brown, [1967]</t>
        </is>
      </c>
      <c r="M1267" t="inlineStr">
        <is>
          <t>1967</t>
        </is>
      </c>
      <c r="O1267" t="inlineStr">
        <is>
          <t>eng</t>
        </is>
      </c>
      <c r="P1267" t="inlineStr">
        <is>
          <t>iau</t>
        </is>
      </c>
      <c r="Q1267" t="inlineStr">
        <is>
          <t>Physical education activities series</t>
        </is>
      </c>
      <c r="R1267" t="inlineStr">
        <is>
          <t xml:space="preserve">GV </t>
        </is>
      </c>
      <c r="S1267" t="n">
        <v>7</v>
      </c>
      <c r="T1267" t="n">
        <v>7</v>
      </c>
      <c r="U1267" t="inlineStr">
        <is>
          <t>2008-04-03</t>
        </is>
      </c>
      <c r="V1267" t="inlineStr">
        <is>
          <t>2008-04-03</t>
        </is>
      </c>
      <c r="W1267" t="inlineStr">
        <is>
          <t>1990-08-03</t>
        </is>
      </c>
      <c r="X1267" t="inlineStr">
        <is>
          <t>1990-08-03</t>
        </is>
      </c>
      <c r="Y1267" t="n">
        <v>423</v>
      </c>
      <c r="Z1267" t="n">
        <v>390</v>
      </c>
      <c r="AA1267" t="n">
        <v>391</v>
      </c>
      <c r="AB1267" t="n">
        <v>4</v>
      </c>
      <c r="AC1267" t="n">
        <v>4</v>
      </c>
      <c r="AD1267" t="n">
        <v>7</v>
      </c>
      <c r="AE1267" t="n">
        <v>7</v>
      </c>
      <c r="AF1267" t="n">
        <v>3</v>
      </c>
      <c r="AG1267" t="n">
        <v>3</v>
      </c>
      <c r="AH1267" t="n">
        <v>0</v>
      </c>
      <c r="AI1267" t="n">
        <v>0</v>
      </c>
      <c r="AJ1267" t="n">
        <v>1</v>
      </c>
      <c r="AK1267" t="n">
        <v>1</v>
      </c>
      <c r="AL1267" t="n">
        <v>3</v>
      </c>
      <c r="AM1267" t="n">
        <v>3</v>
      </c>
      <c r="AN1267" t="n">
        <v>0</v>
      </c>
      <c r="AO1267" t="n">
        <v>0</v>
      </c>
      <c r="AP1267" t="inlineStr">
        <is>
          <t>No</t>
        </is>
      </c>
      <c r="AQ1267" t="inlineStr">
        <is>
          <t>Yes</t>
        </is>
      </c>
      <c r="AR1267">
        <f>HYPERLINK("http://catalog.hathitrust.org/Record/006008262","HathiTrust Record")</f>
        <v/>
      </c>
      <c r="AS1267">
        <f>HYPERLINK("https://creighton-primo.hosted.exlibrisgroup.com/primo-explore/search?tab=default_tab&amp;search_scope=EVERYTHING&amp;vid=01CRU&amp;lang=en_US&amp;offset=0&amp;query=any,contains,991003252329702656","Catalog Record")</f>
        <v/>
      </c>
      <c r="AT1267">
        <f>HYPERLINK("http://www.worldcat.org/oclc/777050","WorldCat Record")</f>
        <v/>
      </c>
      <c r="AU1267" t="inlineStr">
        <is>
          <t>1692846:eng</t>
        </is>
      </c>
      <c r="AV1267" t="inlineStr">
        <is>
          <t>777050</t>
        </is>
      </c>
      <c r="AW1267" t="inlineStr">
        <is>
          <t>991003252329702656</t>
        </is>
      </c>
      <c r="AX1267" t="inlineStr">
        <is>
          <t>991003252329702656</t>
        </is>
      </c>
      <c r="AY1267" t="inlineStr">
        <is>
          <t>2268701210002656</t>
        </is>
      </c>
      <c r="AZ1267" t="inlineStr">
        <is>
          <t>BOOK</t>
        </is>
      </c>
      <c r="BC1267" t="inlineStr">
        <is>
          <t>32285000265784</t>
        </is>
      </c>
      <c r="BD1267" t="inlineStr">
        <is>
          <t>893524600</t>
        </is>
      </c>
    </row>
    <row r="1268">
      <c r="A1268" t="inlineStr">
        <is>
          <t>No</t>
        </is>
      </c>
      <c r="B1268" t="inlineStr">
        <is>
          <t>GV1751 .W86 1992</t>
        </is>
      </c>
      <c r="C1268" t="inlineStr">
        <is>
          <t>0                      GV 1751000W  86          1992</t>
        </is>
      </c>
      <c r="D1268" t="inlineStr">
        <is>
          <t>Social dance : steps to success / Judy Patterson Wright.</t>
        </is>
      </c>
      <c r="F1268" t="inlineStr">
        <is>
          <t>No</t>
        </is>
      </c>
      <c r="G1268" t="inlineStr">
        <is>
          <t>1</t>
        </is>
      </c>
      <c r="H1268" t="inlineStr">
        <is>
          <t>No</t>
        </is>
      </c>
      <c r="I1268" t="inlineStr">
        <is>
          <t>No</t>
        </is>
      </c>
      <c r="J1268" t="inlineStr">
        <is>
          <t>0</t>
        </is>
      </c>
      <c r="K1268" t="inlineStr">
        <is>
          <t>Wright, Judy Patterson, 1946-</t>
        </is>
      </c>
      <c r="L1268" t="inlineStr">
        <is>
          <t>Champaign, IL : Leisure Press, c1992.</t>
        </is>
      </c>
      <c r="M1268" t="inlineStr">
        <is>
          <t>1992</t>
        </is>
      </c>
      <c r="O1268" t="inlineStr">
        <is>
          <t>eng</t>
        </is>
      </c>
      <c r="P1268" t="inlineStr">
        <is>
          <t>ilu</t>
        </is>
      </c>
      <c r="Q1268" t="inlineStr">
        <is>
          <t>Steps to success activity series</t>
        </is>
      </c>
      <c r="R1268" t="inlineStr">
        <is>
          <t xml:space="preserve">GV </t>
        </is>
      </c>
      <c r="S1268" t="n">
        <v>21</v>
      </c>
      <c r="T1268" t="n">
        <v>21</v>
      </c>
      <c r="U1268" t="inlineStr">
        <is>
          <t>2008-04-03</t>
        </is>
      </c>
      <c r="V1268" t="inlineStr">
        <is>
          <t>2008-04-03</t>
        </is>
      </c>
      <c r="W1268" t="inlineStr">
        <is>
          <t>1992-03-20</t>
        </is>
      </c>
      <c r="X1268" t="inlineStr">
        <is>
          <t>1992-03-20</t>
        </is>
      </c>
      <c r="Y1268" t="n">
        <v>681</v>
      </c>
      <c r="Z1268" t="n">
        <v>577</v>
      </c>
      <c r="AA1268" t="n">
        <v>1100</v>
      </c>
      <c r="AB1268" t="n">
        <v>5</v>
      </c>
      <c r="AC1268" t="n">
        <v>10</v>
      </c>
      <c r="AD1268" t="n">
        <v>4</v>
      </c>
      <c r="AE1268" t="n">
        <v>10</v>
      </c>
      <c r="AF1268" t="n">
        <v>2</v>
      </c>
      <c r="AG1268" t="n">
        <v>6</v>
      </c>
      <c r="AH1268" t="n">
        <v>1</v>
      </c>
      <c r="AI1268" t="n">
        <v>1</v>
      </c>
      <c r="AJ1268" t="n">
        <v>1</v>
      </c>
      <c r="AK1268" t="n">
        <v>5</v>
      </c>
      <c r="AL1268" t="n">
        <v>2</v>
      </c>
      <c r="AM1268" t="n">
        <v>2</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HYPERLINK("https://creighton-primo.hosted.exlibrisgroup.com/primo-explore/search?tab=default_tab&amp;search_scope=EVERYTHING&amp;vid=01CRU&amp;lang=en_US&amp;offset=0&amp;query=any,contains,991001923179702656","Catalog Record")</f>
        <v/>
      </c>
      <c r="AT1268">
        <f>HYPERLINK("http://www.worldcat.org/oclc/24285197","WorldCat Record")</f>
        <v/>
      </c>
      <c r="AU1268" t="inlineStr">
        <is>
          <t>29114597:eng</t>
        </is>
      </c>
      <c r="AV1268" t="inlineStr">
        <is>
          <t>24285197</t>
        </is>
      </c>
      <c r="AW1268" t="inlineStr">
        <is>
          <t>991001923179702656</t>
        </is>
      </c>
      <c r="AX1268" t="inlineStr">
        <is>
          <t>991001923179702656</t>
        </is>
      </c>
      <c r="AY1268" t="inlineStr">
        <is>
          <t>2265517760002656</t>
        </is>
      </c>
      <c r="AZ1268" t="inlineStr">
        <is>
          <t>BOOK</t>
        </is>
      </c>
      <c r="BB1268" t="inlineStr">
        <is>
          <t>9780880114493</t>
        </is>
      </c>
      <c r="BC1268" t="inlineStr">
        <is>
          <t>32285001003002</t>
        </is>
      </c>
      <c r="BD1268" t="inlineStr">
        <is>
          <t>893891938</t>
        </is>
      </c>
    </row>
    <row r="1269">
      <c r="A1269" t="inlineStr">
        <is>
          <t>No</t>
        </is>
      </c>
      <c r="B1269" t="inlineStr">
        <is>
          <t>GV1753 .A57 1978</t>
        </is>
      </c>
      <c r="C1269" t="inlineStr">
        <is>
          <t>0                      GV 1753000A  57          1978</t>
        </is>
      </c>
      <c r="D1269" t="inlineStr">
        <is>
          <t>Anthology of American jazz dance / Gus Giordano, author/editor.</t>
        </is>
      </c>
      <c r="F1269" t="inlineStr">
        <is>
          <t>No</t>
        </is>
      </c>
      <c r="G1269" t="inlineStr">
        <is>
          <t>1</t>
        </is>
      </c>
      <c r="H1269" t="inlineStr">
        <is>
          <t>No</t>
        </is>
      </c>
      <c r="I1269" t="inlineStr">
        <is>
          <t>No</t>
        </is>
      </c>
      <c r="J1269" t="inlineStr">
        <is>
          <t>0</t>
        </is>
      </c>
      <c r="L1269" t="inlineStr">
        <is>
          <t>Evanston, Ill. : Orion Pub. House, c1978.</t>
        </is>
      </c>
      <c r="M1269" t="inlineStr">
        <is>
          <t>1978</t>
        </is>
      </c>
      <c r="N1269" t="inlineStr">
        <is>
          <t>2d ed.</t>
        </is>
      </c>
      <c r="O1269" t="inlineStr">
        <is>
          <t>eng</t>
        </is>
      </c>
      <c r="P1269" t="inlineStr">
        <is>
          <t>ilu</t>
        </is>
      </c>
      <c r="R1269" t="inlineStr">
        <is>
          <t xml:space="preserve">GV </t>
        </is>
      </c>
      <c r="S1269" t="n">
        <v>14</v>
      </c>
      <c r="T1269" t="n">
        <v>14</v>
      </c>
      <c r="U1269" t="inlineStr">
        <is>
          <t>2008-12-04</t>
        </is>
      </c>
      <c r="V1269" t="inlineStr">
        <is>
          <t>2008-12-04</t>
        </is>
      </c>
      <c r="W1269" t="inlineStr">
        <is>
          <t>1990-08-03</t>
        </is>
      </c>
      <c r="X1269" t="inlineStr">
        <is>
          <t>1990-08-03</t>
        </is>
      </c>
      <c r="Y1269" t="n">
        <v>147</v>
      </c>
      <c r="Z1269" t="n">
        <v>129</v>
      </c>
      <c r="AA1269" t="n">
        <v>360</v>
      </c>
      <c r="AB1269" t="n">
        <v>2</v>
      </c>
      <c r="AC1269" t="n">
        <v>3</v>
      </c>
      <c r="AD1269" t="n">
        <v>7</v>
      </c>
      <c r="AE1269" t="n">
        <v>11</v>
      </c>
      <c r="AF1269" t="n">
        <v>5</v>
      </c>
      <c r="AG1269" t="n">
        <v>6</v>
      </c>
      <c r="AH1269" t="n">
        <v>1</v>
      </c>
      <c r="AI1269" t="n">
        <v>3</v>
      </c>
      <c r="AJ1269" t="n">
        <v>2</v>
      </c>
      <c r="AK1269" t="n">
        <v>3</v>
      </c>
      <c r="AL1269" t="n">
        <v>1</v>
      </c>
      <c r="AM1269" t="n">
        <v>2</v>
      </c>
      <c r="AN1269" t="n">
        <v>0</v>
      </c>
      <c r="AO1269" t="n">
        <v>0</v>
      </c>
      <c r="AP1269" t="inlineStr">
        <is>
          <t>No</t>
        </is>
      </c>
      <c r="AQ1269" t="inlineStr">
        <is>
          <t>Yes</t>
        </is>
      </c>
      <c r="AR1269">
        <f>HYPERLINK("http://catalog.hathitrust.org/Record/007142870","HathiTrust Record")</f>
        <v/>
      </c>
      <c r="AS1269">
        <f>HYPERLINK("https://creighton-primo.hosted.exlibrisgroup.com/primo-explore/search?tab=default_tab&amp;search_scope=EVERYTHING&amp;vid=01CRU&amp;lang=en_US&amp;offset=0&amp;query=any,contains,991004818399702656","Catalog Record")</f>
        <v/>
      </c>
      <c r="AT1269">
        <f>HYPERLINK("http://www.worldcat.org/oclc/6425170","WorldCat Record")</f>
        <v/>
      </c>
      <c r="AU1269" t="inlineStr">
        <is>
          <t>145316648:eng</t>
        </is>
      </c>
      <c r="AV1269" t="inlineStr">
        <is>
          <t>6425170</t>
        </is>
      </c>
      <c r="AW1269" t="inlineStr">
        <is>
          <t>991004818399702656</t>
        </is>
      </c>
      <c r="AX1269" t="inlineStr">
        <is>
          <t>991004818399702656</t>
        </is>
      </c>
      <c r="AY1269" t="inlineStr">
        <is>
          <t>2260384880002656</t>
        </is>
      </c>
      <c r="AZ1269" t="inlineStr">
        <is>
          <t>BOOK</t>
        </is>
      </c>
      <c r="BC1269" t="inlineStr">
        <is>
          <t>32285000265792</t>
        </is>
      </c>
      <c r="BD1269" t="inlineStr">
        <is>
          <t>893319675</t>
        </is>
      </c>
    </row>
    <row r="1270">
      <c r="A1270" t="inlineStr">
        <is>
          <t>No</t>
        </is>
      </c>
      <c r="B1270" t="inlineStr">
        <is>
          <t>GV1753 .C3</t>
        </is>
      </c>
      <c r="C1270" t="inlineStr">
        <is>
          <t>0                      GV 1753000C  3</t>
        </is>
      </c>
      <c r="D1270" t="inlineStr">
        <is>
          <t>Modern jazz dance / Dolores Kirton Cayou.</t>
        </is>
      </c>
      <c r="F1270" t="inlineStr">
        <is>
          <t>No</t>
        </is>
      </c>
      <c r="G1270" t="inlineStr">
        <is>
          <t>1</t>
        </is>
      </c>
      <c r="H1270" t="inlineStr">
        <is>
          <t>No</t>
        </is>
      </c>
      <c r="I1270" t="inlineStr">
        <is>
          <t>No</t>
        </is>
      </c>
      <c r="J1270" t="inlineStr">
        <is>
          <t>0</t>
        </is>
      </c>
      <c r="K1270" t="inlineStr">
        <is>
          <t>Cayou, Dolores Kirton.</t>
        </is>
      </c>
      <c r="L1270" t="inlineStr">
        <is>
          <t>Palo Alto, Calif. : Mayfield Publishing Company, 1971.</t>
        </is>
      </c>
      <c r="M1270" t="inlineStr">
        <is>
          <t>1971</t>
        </is>
      </c>
      <c r="N1270" t="inlineStr">
        <is>
          <t>[1st ed.]</t>
        </is>
      </c>
      <c r="O1270" t="inlineStr">
        <is>
          <t>eng</t>
        </is>
      </c>
      <c r="P1270" t="inlineStr">
        <is>
          <t>cau</t>
        </is>
      </c>
      <c r="R1270" t="inlineStr">
        <is>
          <t xml:space="preserve">GV </t>
        </is>
      </c>
      <c r="S1270" t="n">
        <v>11</v>
      </c>
      <c r="T1270" t="n">
        <v>11</v>
      </c>
      <c r="U1270" t="inlineStr">
        <is>
          <t>2005-11-30</t>
        </is>
      </c>
      <c r="V1270" t="inlineStr">
        <is>
          <t>2005-11-30</t>
        </is>
      </c>
      <c r="W1270" t="inlineStr">
        <is>
          <t>1990-08-03</t>
        </is>
      </c>
      <c r="X1270" t="inlineStr">
        <is>
          <t>1990-08-03</t>
        </is>
      </c>
      <c r="Y1270" t="n">
        <v>345</v>
      </c>
      <c r="Z1270" t="n">
        <v>316</v>
      </c>
      <c r="AA1270" t="n">
        <v>377</v>
      </c>
      <c r="AB1270" t="n">
        <v>4</v>
      </c>
      <c r="AC1270" t="n">
        <v>5</v>
      </c>
      <c r="AD1270" t="n">
        <v>8</v>
      </c>
      <c r="AE1270" t="n">
        <v>10</v>
      </c>
      <c r="AF1270" t="n">
        <v>2</v>
      </c>
      <c r="AG1270" t="n">
        <v>3</v>
      </c>
      <c r="AH1270" t="n">
        <v>1</v>
      </c>
      <c r="AI1270" t="n">
        <v>2</v>
      </c>
      <c r="AJ1270" t="n">
        <v>3</v>
      </c>
      <c r="AK1270" t="n">
        <v>3</v>
      </c>
      <c r="AL1270" t="n">
        <v>3</v>
      </c>
      <c r="AM1270" t="n">
        <v>4</v>
      </c>
      <c r="AN1270" t="n">
        <v>0</v>
      </c>
      <c r="AO1270" t="n">
        <v>0</v>
      </c>
      <c r="AP1270" t="inlineStr">
        <is>
          <t>No</t>
        </is>
      </c>
      <c r="AQ1270" t="inlineStr">
        <is>
          <t>Yes</t>
        </is>
      </c>
      <c r="AR1270">
        <f>HYPERLINK("http://catalog.hathitrust.org/Record/007112055","HathiTrust Record")</f>
        <v/>
      </c>
      <c r="AS1270">
        <f>HYPERLINK("https://creighton-primo.hosted.exlibrisgroup.com/primo-explore/search?tab=default_tab&amp;search_scope=EVERYTHING&amp;vid=01CRU&amp;lang=en_US&amp;offset=0&amp;query=any,contains,991002107489702656","Catalog Record")</f>
        <v/>
      </c>
      <c r="AT1270">
        <f>HYPERLINK("http://www.worldcat.org/oclc/266685","WorldCat Record")</f>
        <v/>
      </c>
      <c r="AU1270" t="inlineStr">
        <is>
          <t>3943393292:eng</t>
        </is>
      </c>
      <c r="AV1270" t="inlineStr">
        <is>
          <t>266685</t>
        </is>
      </c>
      <c r="AW1270" t="inlineStr">
        <is>
          <t>991002107489702656</t>
        </is>
      </c>
      <c r="AX1270" t="inlineStr">
        <is>
          <t>991002107489702656</t>
        </is>
      </c>
      <c r="AY1270" t="inlineStr">
        <is>
          <t>2269137560002656</t>
        </is>
      </c>
      <c r="AZ1270" t="inlineStr">
        <is>
          <t>BOOK</t>
        </is>
      </c>
      <c r="BB1270" t="inlineStr">
        <is>
          <t>9780874841978</t>
        </is>
      </c>
      <c r="BC1270" t="inlineStr">
        <is>
          <t>32285000265800</t>
        </is>
      </c>
      <c r="BD1270" t="inlineStr">
        <is>
          <t>893626958</t>
        </is>
      </c>
    </row>
    <row r="1271">
      <c r="A1271" t="inlineStr">
        <is>
          <t>No</t>
        </is>
      </c>
      <c r="B1271" t="inlineStr">
        <is>
          <t>GV1753.5 .L67 1978</t>
        </is>
      </c>
      <c r="C1271" t="inlineStr">
        <is>
          <t>0                      GV 1753500L  67          1978</t>
        </is>
      </c>
      <c r="D1271" t="inlineStr">
        <is>
          <t>The dancer's companion : the indispensable guide to getting the most out of dance classes / by Teri Loren.</t>
        </is>
      </c>
      <c r="F1271" t="inlineStr">
        <is>
          <t>No</t>
        </is>
      </c>
      <c r="G1271" t="inlineStr">
        <is>
          <t>1</t>
        </is>
      </c>
      <c r="H1271" t="inlineStr">
        <is>
          <t>No</t>
        </is>
      </c>
      <c r="I1271" t="inlineStr">
        <is>
          <t>No</t>
        </is>
      </c>
      <c r="J1271" t="inlineStr">
        <is>
          <t>0</t>
        </is>
      </c>
      <c r="K1271" t="inlineStr">
        <is>
          <t>Loren, Teri.</t>
        </is>
      </c>
      <c r="L1271" t="inlineStr">
        <is>
          <t>New York : Dial Press, c1978.</t>
        </is>
      </c>
      <c r="M1271" t="inlineStr">
        <is>
          <t>1978</t>
        </is>
      </c>
      <c r="O1271" t="inlineStr">
        <is>
          <t>eng</t>
        </is>
      </c>
      <c r="P1271" t="inlineStr">
        <is>
          <t>nyu</t>
        </is>
      </c>
      <c r="R1271" t="inlineStr">
        <is>
          <t xml:space="preserve">GV </t>
        </is>
      </c>
      <c r="S1271" t="n">
        <v>3</v>
      </c>
      <c r="T1271" t="n">
        <v>3</v>
      </c>
      <c r="U1271" t="inlineStr">
        <is>
          <t>2007-06-06</t>
        </is>
      </c>
      <c r="V1271" t="inlineStr">
        <is>
          <t>2007-06-06</t>
        </is>
      </c>
      <c r="W1271" t="inlineStr">
        <is>
          <t>2002-12-05</t>
        </is>
      </c>
      <c r="X1271" t="inlineStr">
        <is>
          <t>2002-12-05</t>
        </is>
      </c>
      <c r="Y1271" t="n">
        <v>407</v>
      </c>
      <c r="Z1271" t="n">
        <v>384</v>
      </c>
      <c r="AA1271" t="n">
        <v>390</v>
      </c>
      <c r="AB1271" t="n">
        <v>2</v>
      </c>
      <c r="AC1271" t="n">
        <v>2</v>
      </c>
      <c r="AD1271" t="n">
        <v>4</v>
      </c>
      <c r="AE1271" t="n">
        <v>4</v>
      </c>
      <c r="AF1271" t="n">
        <v>2</v>
      </c>
      <c r="AG1271" t="n">
        <v>2</v>
      </c>
      <c r="AH1271" t="n">
        <v>0</v>
      </c>
      <c r="AI1271" t="n">
        <v>0</v>
      </c>
      <c r="AJ1271" t="n">
        <v>1</v>
      </c>
      <c r="AK1271" t="n">
        <v>1</v>
      </c>
      <c r="AL1271" t="n">
        <v>1</v>
      </c>
      <c r="AM1271" t="n">
        <v>1</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HYPERLINK("https://creighton-primo.hosted.exlibrisgroup.com/primo-explore/search?tab=default_tab&amp;search_scope=EVERYTHING&amp;vid=01CRU&amp;lang=en_US&amp;offset=0&amp;query=any,contains,991003956439702656","Catalog Record")</f>
        <v/>
      </c>
      <c r="AT1271">
        <f>HYPERLINK("http://www.worldcat.org/oclc/3844501","WorldCat Record")</f>
        <v/>
      </c>
      <c r="AU1271" t="inlineStr">
        <is>
          <t>899820458:eng</t>
        </is>
      </c>
      <c r="AV1271" t="inlineStr">
        <is>
          <t>3844501</t>
        </is>
      </c>
      <c r="AW1271" t="inlineStr">
        <is>
          <t>991003956439702656</t>
        </is>
      </c>
      <c r="AX1271" t="inlineStr">
        <is>
          <t>991003956439702656</t>
        </is>
      </c>
      <c r="AY1271" t="inlineStr">
        <is>
          <t>2264806550002656</t>
        </is>
      </c>
      <c r="AZ1271" t="inlineStr">
        <is>
          <t>BOOK</t>
        </is>
      </c>
      <c r="BB1271" t="inlineStr">
        <is>
          <t>9780803716803</t>
        </is>
      </c>
      <c r="BC1271" t="inlineStr">
        <is>
          <t>32285004668116</t>
        </is>
      </c>
      <c r="BD1271" t="inlineStr">
        <is>
          <t>893259126</t>
        </is>
      </c>
    </row>
    <row r="1272">
      <c r="A1272" t="inlineStr">
        <is>
          <t>No</t>
        </is>
      </c>
      <c r="B1272" t="inlineStr">
        <is>
          <t>GV1782 .C66 1998</t>
        </is>
      </c>
      <c r="C1272" t="inlineStr">
        <is>
          <t>0                      GV 1782000C  66          1998</t>
        </is>
      </c>
      <c r="D1272" t="inlineStr">
        <is>
          <t>Staging dance / Susan Cooper ; foreword by David Wall.</t>
        </is>
      </c>
      <c r="F1272" t="inlineStr">
        <is>
          <t>No</t>
        </is>
      </c>
      <c r="G1272" t="inlineStr">
        <is>
          <t>1</t>
        </is>
      </c>
      <c r="H1272" t="inlineStr">
        <is>
          <t>No</t>
        </is>
      </c>
      <c r="I1272" t="inlineStr">
        <is>
          <t>No</t>
        </is>
      </c>
      <c r="J1272" t="inlineStr">
        <is>
          <t>0</t>
        </is>
      </c>
      <c r="K1272" t="inlineStr">
        <is>
          <t>Cooper, Susan.</t>
        </is>
      </c>
      <c r="L1272" t="inlineStr">
        <is>
          <t>London : A&amp;C Black ; New York : Theatre Arts Books/Routledge, 1998.</t>
        </is>
      </c>
      <c r="M1272" t="inlineStr">
        <is>
          <t>1998</t>
        </is>
      </c>
      <c r="O1272" t="inlineStr">
        <is>
          <t>eng</t>
        </is>
      </c>
      <c r="P1272" t="inlineStr">
        <is>
          <t>enk</t>
        </is>
      </c>
      <c r="R1272" t="inlineStr">
        <is>
          <t xml:space="preserve">GV </t>
        </is>
      </c>
      <c r="S1272" t="n">
        <v>7</v>
      </c>
      <c r="T1272" t="n">
        <v>7</v>
      </c>
      <c r="U1272" t="inlineStr">
        <is>
          <t>2007-11-26</t>
        </is>
      </c>
      <c r="V1272" t="inlineStr">
        <is>
          <t>2007-11-26</t>
        </is>
      </c>
      <c r="W1272" t="inlineStr">
        <is>
          <t>2004-03-04</t>
        </is>
      </c>
      <c r="X1272" t="inlineStr">
        <is>
          <t>2004-03-04</t>
        </is>
      </c>
      <c r="Y1272" t="n">
        <v>380</v>
      </c>
      <c r="Z1272" t="n">
        <v>287</v>
      </c>
      <c r="AA1272" t="n">
        <v>311</v>
      </c>
      <c r="AB1272" t="n">
        <v>2</v>
      </c>
      <c r="AC1272" t="n">
        <v>2</v>
      </c>
      <c r="AD1272" t="n">
        <v>11</v>
      </c>
      <c r="AE1272" t="n">
        <v>11</v>
      </c>
      <c r="AF1272" t="n">
        <v>6</v>
      </c>
      <c r="AG1272" t="n">
        <v>6</v>
      </c>
      <c r="AH1272" t="n">
        <v>3</v>
      </c>
      <c r="AI1272" t="n">
        <v>3</v>
      </c>
      <c r="AJ1272" t="n">
        <v>4</v>
      </c>
      <c r="AK1272" t="n">
        <v>4</v>
      </c>
      <c r="AL1272" t="n">
        <v>1</v>
      </c>
      <c r="AM1272" t="n">
        <v>1</v>
      </c>
      <c r="AN1272" t="n">
        <v>0</v>
      </c>
      <c r="AO1272" t="n">
        <v>0</v>
      </c>
      <c r="AP1272" t="inlineStr">
        <is>
          <t>No</t>
        </is>
      </c>
      <c r="AQ1272" t="inlineStr">
        <is>
          <t>No</t>
        </is>
      </c>
      <c r="AS1272">
        <f>HYPERLINK("https://creighton-primo.hosted.exlibrisgroup.com/primo-explore/search?tab=default_tab&amp;search_scope=EVERYTHING&amp;vid=01CRU&amp;lang=en_US&amp;offset=0&amp;query=any,contains,991004224649702656","Catalog Record")</f>
        <v/>
      </c>
      <c r="AT1272">
        <f>HYPERLINK("http://www.worldcat.org/oclc/37813491","WorldCat Record")</f>
        <v/>
      </c>
      <c r="AU1272" t="inlineStr">
        <is>
          <t>537893:eng</t>
        </is>
      </c>
      <c r="AV1272" t="inlineStr">
        <is>
          <t>37813491</t>
        </is>
      </c>
      <c r="AW1272" t="inlineStr">
        <is>
          <t>991004224649702656</t>
        </is>
      </c>
      <c r="AX1272" t="inlineStr">
        <is>
          <t>991004224649702656</t>
        </is>
      </c>
      <c r="AY1272" t="inlineStr">
        <is>
          <t>2255313760002656</t>
        </is>
      </c>
      <c r="AZ1272" t="inlineStr">
        <is>
          <t>BOOK</t>
        </is>
      </c>
      <c r="BB1272" t="inlineStr">
        <is>
          <t>9780713644890</t>
        </is>
      </c>
      <c r="BC1272" t="inlineStr">
        <is>
          <t>32285004892211</t>
        </is>
      </c>
      <c r="BD1272" t="inlineStr">
        <is>
          <t>893718655</t>
        </is>
      </c>
    </row>
    <row r="1273">
      <c r="A1273" t="inlineStr">
        <is>
          <t>No</t>
        </is>
      </c>
      <c r="B1273" t="inlineStr">
        <is>
          <t>GV1782 .H39 1993</t>
        </is>
      </c>
      <c r="C1273" t="inlineStr">
        <is>
          <t>0                      GV 1782000H  39          1993</t>
        </is>
      </c>
      <c r="D1273" t="inlineStr">
        <is>
          <t>Dance composition &amp; production / Elizabeth R. Hayes.</t>
        </is>
      </c>
      <c r="F1273" t="inlineStr">
        <is>
          <t>No</t>
        </is>
      </c>
      <c r="G1273" t="inlineStr">
        <is>
          <t>1</t>
        </is>
      </c>
      <c r="H1273" t="inlineStr">
        <is>
          <t>No</t>
        </is>
      </c>
      <c r="I1273" t="inlineStr">
        <is>
          <t>No</t>
        </is>
      </c>
      <c r="J1273" t="inlineStr">
        <is>
          <t>0</t>
        </is>
      </c>
      <c r="K1273" t="inlineStr">
        <is>
          <t>Hayes, Elizabeth R., 1911-2007.</t>
        </is>
      </c>
      <c r="L1273" t="inlineStr">
        <is>
          <t>Pennington, NJ : Princeton Book Co., c1993.</t>
        </is>
      </c>
      <c r="M1273" t="inlineStr">
        <is>
          <t>1993</t>
        </is>
      </c>
      <c r="N1273" t="inlineStr">
        <is>
          <t>2nd ed.</t>
        </is>
      </c>
      <c r="O1273" t="inlineStr">
        <is>
          <t>eng</t>
        </is>
      </c>
      <c r="P1273" t="inlineStr">
        <is>
          <t>nju</t>
        </is>
      </c>
      <c r="R1273" t="inlineStr">
        <is>
          <t xml:space="preserve">GV </t>
        </is>
      </c>
      <c r="S1273" t="n">
        <v>2</v>
      </c>
      <c r="T1273" t="n">
        <v>2</v>
      </c>
      <c r="U1273" t="inlineStr">
        <is>
          <t>2007-11-26</t>
        </is>
      </c>
      <c r="V1273" t="inlineStr">
        <is>
          <t>2007-11-26</t>
        </is>
      </c>
      <c r="W1273" t="inlineStr">
        <is>
          <t>2002-12-05</t>
        </is>
      </c>
      <c r="X1273" t="inlineStr">
        <is>
          <t>2002-12-05</t>
        </is>
      </c>
      <c r="Y1273" t="n">
        <v>314</v>
      </c>
      <c r="Z1273" t="n">
        <v>272</v>
      </c>
      <c r="AA1273" t="n">
        <v>278</v>
      </c>
      <c r="AB1273" t="n">
        <v>3</v>
      </c>
      <c r="AC1273" t="n">
        <v>3</v>
      </c>
      <c r="AD1273" t="n">
        <v>7</v>
      </c>
      <c r="AE1273" t="n">
        <v>7</v>
      </c>
      <c r="AF1273" t="n">
        <v>4</v>
      </c>
      <c r="AG1273" t="n">
        <v>4</v>
      </c>
      <c r="AH1273" t="n">
        <v>0</v>
      </c>
      <c r="AI1273" t="n">
        <v>0</v>
      </c>
      <c r="AJ1273" t="n">
        <v>3</v>
      </c>
      <c r="AK1273" t="n">
        <v>3</v>
      </c>
      <c r="AL1273" t="n">
        <v>2</v>
      </c>
      <c r="AM1273" t="n">
        <v>2</v>
      </c>
      <c r="AN1273" t="n">
        <v>0</v>
      </c>
      <c r="AO1273" t="n">
        <v>0</v>
      </c>
      <c r="AP1273" t="inlineStr">
        <is>
          <t>No</t>
        </is>
      </c>
      <c r="AQ1273" t="inlineStr">
        <is>
          <t>Yes</t>
        </is>
      </c>
      <c r="AR1273">
        <f>HYPERLINK("http://catalog.hathitrust.org/Record/002795262","HathiTrust Record")</f>
        <v/>
      </c>
      <c r="AS1273">
        <f>HYPERLINK("https://creighton-primo.hosted.exlibrisgroup.com/primo-explore/search?tab=default_tab&amp;search_scope=EVERYTHING&amp;vid=01CRU&amp;lang=en_US&amp;offset=0&amp;query=any,contains,991003956659702656","Catalog Record")</f>
        <v/>
      </c>
      <c r="AT1273">
        <f>HYPERLINK("http://www.worldcat.org/oclc/28215248","WorldCat Record")</f>
        <v/>
      </c>
      <c r="AU1273" t="inlineStr">
        <is>
          <t>3855295194:eng</t>
        </is>
      </c>
      <c r="AV1273" t="inlineStr">
        <is>
          <t>28215248</t>
        </is>
      </c>
      <c r="AW1273" t="inlineStr">
        <is>
          <t>991003956659702656</t>
        </is>
      </c>
      <c r="AX1273" t="inlineStr">
        <is>
          <t>991003956659702656</t>
        </is>
      </c>
      <c r="AY1273" t="inlineStr">
        <is>
          <t>2262873870002656</t>
        </is>
      </c>
      <c r="AZ1273" t="inlineStr">
        <is>
          <t>BOOK</t>
        </is>
      </c>
      <c r="BB1273" t="inlineStr">
        <is>
          <t>9780871271884</t>
        </is>
      </c>
      <c r="BC1273" t="inlineStr">
        <is>
          <t>32285004668157</t>
        </is>
      </c>
      <c r="BD1273" t="inlineStr">
        <is>
          <t>893711992</t>
        </is>
      </c>
    </row>
    <row r="1274">
      <c r="A1274" t="inlineStr">
        <is>
          <t>No</t>
        </is>
      </c>
      <c r="B1274" t="inlineStr">
        <is>
          <t>GV1782.3 .S7 1958</t>
        </is>
      </c>
      <c r="C1274" t="inlineStr">
        <is>
          <t>0                      GV 1782300S  7           1958</t>
        </is>
      </c>
      <c r="D1274" t="inlineStr">
        <is>
          <t>Ballet physique : with notes on stresses and injuries / by Celia Sparger ; with a foreword by James Monahan.</t>
        </is>
      </c>
      <c r="F1274" t="inlineStr">
        <is>
          <t>No</t>
        </is>
      </c>
      <c r="G1274" t="inlineStr">
        <is>
          <t>1</t>
        </is>
      </c>
      <c r="H1274" t="inlineStr">
        <is>
          <t>No</t>
        </is>
      </c>
      <c r="I1274" t="inlineStr">
        <is>
          <t>No</t>
        </is>
      </c>
      <c r="J1274" t="inlineStr">
        <is>
          <t>0</t>
        </is>
      </c>
      <c r="K1274" t="inlineStr">
        <is>
          <t>Sparger, Celia.</t>
        </is>
      </c>
      <c r="L1274" t="inlineStr">
        <is>
          <t>London : Adam and Charles Black, c1958.</t>
        </is>
      </c>
      <c r="M1274" t="inlineStr">
        <is>
          <t>1958</t>
        </is>
      </c>
      <c r="O1274" t="inlineStr">
        <is>
          <t>eng</t>
        </is>
      </c>
      <c r="P1274" t="inlineStr">
        <is>
          <t>enk</t>
        </is>
      </c>
      <c r="R1274" t="inlineStr">
        <is>
          <t xml:space="preserve">GV </t>
        </is>
      </c>
      <c r="S1274" t="n">
        <v>2</v>
      </c>
      <c r="T1274" t="n">
        <v>2</v>
      </c>
      <c r="U1274" t="inlineStr">
        <is>
          <t>2005-12-01</t>
        </is>
      </c>
      <c r="V1274" t="inlineStr">
        <is>
          <t>2005-12-01</t>
        </is>
      </c>
      <c r="W1274" t="inlineStr">
        <is>
          <t>2005-12-01</t>
        </is>
      </c>
      <c r="X1274" t="inlineStr">
        <is>
          <t>2005-12-01</t>
        </is>
      </c>
      <c r="Y1274" t="n">
        <v>60</v>
      </c>
      <c r="Z1274" t="n">
        <v>30</v>
      </c>
      <c r="AA1274" t="n">
        <v>100</v>
      </c>
      <c r="AB1274" t="n">
        <v>1</v>
      </c>
      <c r="AC1274" t="n">
        <v>1</v>
      </c>
      <c r="AD1274" t="n">
        <v>1</v>
      </c>
      <c r="AE1274" t="n">
        <v>2</v>
      </c>
      <c r="AF1274" t="n">
        <v>0</v>
      </c>
      <c r="AG1274" t="n">
        <v>1</v>
      </c>
      <c r="AH1274" t="n">
        <v>1</v>
      </c>
      <c r="AI1274" t="n">
        <v>2</v>
      </c>
      <c r="AJ1274" t="n">
        <v>1</v>
      </c>
      <c r="AK1274" t="n">
        <v>1</v>
      </c>
      <c r="AL1274" t="n">
        <v>0</v>
      </c>
      <c r="AM1274" t="n">
        <v>0</v>
      </c>
      <c r="AN1274" t="n">
        <v>0</v>
      </c>
      <c r="AO1274" t="n">
        <v>0</v>
      </c>
      <c r="AP1274" t="inlineStr">
        <is>
          <t>No</t>
        </is>
      </c>
      <c r="AQ1274" t="inlineStr">
        <is>
          <t>No</t>
        </is>
      </c>
      <c r="AS1274">
        <f>HYPERLINK("https://creighton-primo.hosted.exlibrisgroup.com/primo-explore/search?tab=default_tab&amp;search_scope=EVERYTHING&amp;vid=01CRU&amp;lang=en_US&amp;offset=0&amp;query=any,contains,991004696449702656","Catalog Record")</f>
        <v/>
      </c>
      <c r="AT1274">
        <f>HYPERLINK("http://www.worldcat.org/oclc/1571504","WorldCat Record")</f>
        <v/>
      </c>
      <c r="AU1274" t="inlineStr">
        <is>
          <t>9327393:eng</t>
        </is>
      </c>
      <c r="AV1274" t="inlineStr">
        <is>
          <t>1571504</t>
        </is>
      </c>
      <c r="AW1274" t="inlineStr">
        <is>
          <t>991004696449702656</t>
        </is>
      </c>
      <c r="AX1274" t="inlineStr">
        <is>
          <t>991004696449702656</t>
        </is>
      </c>
      <c r="AY1274" t="inlineStr">
        <is>
          <t>2266743410002656</t>
        </is>
      </c>
      <c r="AZ1274" t="inlineStr">
        <is>
          <t>BOOK</t>
        </is>
      </c>
      <c r="BC1274" t="inlineStr">
        <is>
          <t>32285005150114</t>
        </is>
      </c>
      <c r="BD1274" t="inlineStr">
        <is>
          <t>893712912</t>
        </is>
      </c>
    </row>
    <row r="1275">
      <c r="A1275" t="inlineStr">
        <is>
          <t>No</t>
        </is>
      </c>
      <c r="B1275" t="inlineStr">
        <is>
          <t>GV1782.5 .H39 1988</t>
        </is>
      </c>
      <c r="C1275" t="inlineStr">
        <is>
          <t>0                      GV 1782500H  39          1988</t>
        </is>
      </c>
      <c r="D1275" t="inlineStr">
        <is>
          <t>Creating through dance / Alma M. Hawkins ; with a new introd. by Charlotte Irey.</t>
        </is>
      </c>
      <c r="F1275" t="inlineStr">
        <is>
          <t>No</t>
        </is>
      </c>
      <c r="G1275" t="inlineStr">
        <is>
          <t>1</t>
        </is>
      </c>
      <c r="H1275" t="inlineStr">
        <is>
          <t>No</t>
        </is>
      </c>
      <c r="I1275" t="inlineStr">
        <is>
          <t>No</t>
        </is>
      </c>
      <c r="J1275" t="inlineStr">
        <is>
          <t>0</t>
        </is>
      </c>
      <c r="K1275" t="inlineStr">
        <is>
          <t>Hawkins, Alma M.</t>
        </is>
      </c>
      <c r="L1275" t="inlineStr">
        <is>
          <t>Princeton, N.J. : Princeton Book Co., c1988.</t>
        </is>
      </c>
      <c r="M1275" t="inlineStr">
        <is>
          <t>1988</t>
        </is>
      </c>
      <c r="N1275" t="inlineStr">
        <is>
          <t>Rev. ed.</t>
        </is>
      </c>
      <c r="O1275" t="inlineStr">
        <is>
          <t>eng</t>
        </is>
      </c>
      <c r="P1275" t="inlineStr">
        <is>
          <t>nju</t>
        </is>
      </c>
      <c r="R1275" t="inlineStr">
        <is>
          <t xml:space="preserve">GV </t>
        </is>
      </c>
      <c r="S1275" t="n">
        <v>7</v>
      </c>
      <c r="T1275" t="n">
        <v>7</v>
      </c>
      <c r="U1275" t="inlineStr">
        <is>
          <t>2007-11-26</t>
        </is>
      </c>
      <c r="V1275" t="inlineStr">
        <is>
          <t>2007-11-26</t>
        </is>
      </c>
      <c r="W1275" t="inlineStr">
        <is>
          <t>1990-08-03</t>
        </is>
      </c>
      <c r="X1275" t="inlineStr">
        <is>
          <t>1990-08-03</t>
        </is>
      </c>
      <c r="Y1275" t="n">
        <v>298</v>
      </c>
      <c r="Z1275" t="n">
        <v>261</v>
      </c>
      <c r="AA1275" t="n">
        <v>577</v>
      </c>
      <c r="AB1275" t="n">
        <v>3</v>
      </c>
      <c r="AC1275" t="n">
        <v>7</v>
      </c>
      <c r="AD1275" t="n">
        <v>6</v>
      </c>
      <c r="AE1275" t="n">
        <v>17</v>
      </c>
      <c r="AF1275" t="n">
        <v>3</v>
      </c>
      <c r="AG1275" t="n">
        <v>9</v>
      </c>
      <c r="AH1275" t="n">
        <v>1</v>
      </c>
      <c r="AI1275" t="n">
        <v>3</v>
      </c>
      <c r="AJ1275" t="n">
        <v>2</v>
      </c>
      <c r="AK1275" t="n">
        <v>3</v>
      </c>
      <c r="AL1275" t="n">
        <v>2</v>
      </c>
      <c r="AM1275" t="n">
        <v>6</v>
      </c>
      <c r="AN1275" t="n">
        <v>0</v>
      </c>
      <c r="AO1275" t="n">
        <v>0</v>
      </c>
      <c r="AP1275" t="inlineStr">
        <is>
          <t>No</t>
        </is>
      </c>
      <c r="AQ1275" t="inlineStr">
        <is>
          <t>No</t>
        </is>
      </c>
      <c r="AS1275">
        <f>HYPERLINK("https://creighton-primo.hosted.exlibrisgroup.com/primo-explore/search?tab=default_tab&amp;search_scope=EVERYTHING&amp;vid=01CRU&amp;lang=en_US&amp;offset=0&amp;query=any,contains,991001267559702656","Catalog Record")</f>
        <v/>
      </c>
      <c r="AT1275">
        <f>HYPERLINK("http://www.worldcat.org/oclc/17822876","WorldCat Record")</f>
        <v/>
      </c>
      <c r="AU1275" t="inlineStr">
        <is>
          <t>1387194:eng</t>
        </is>
      </c>
      <c r="AV1275" t="inlineStr">
        <is>
          <t>17822876</t>
        </is>
      </c>
      <c r="AW1275" t="inlineStr">
        <is>
          <t>991001267559702656</t>
        </is>
      </c>
      <c r="AX1275" t="inlineStr">
        <is>
          <t>991001267559702656</t>
        </is>
      </c>
      <c r="AY1275" t="inlineStr">
        <is>
          <t>2264193650002656</t>
        </is>
      </c>
      <c r="AZ1275" t="inlineStr">
        <is>
          <t>BOOK</t>
        </is>
      </c>
      <c r="BB1275" t="inlineStr">
        <is>
          <t>9780916622664</t>
        </is>
      </c>
      <c r="BC1275" t="inlineStr">
        <is>
          <t>32285000265867</t>
        </is>
      </c>
      <c r="BD1275" t="inlineStr">
        <is>
          <t>893516067</t>
        </is>
      </c>
    </row>
    <row r="1276">
      <c r="A1276" t="inlineStr">
        <is>
          <t>No</t>
        </is>
      </c>
      <c r="B1276" t="inlineStr">
        <is>
          <t>GV1782.5 .H4 1991</t>
        </is>
      </c>
      <c r="C1276" t="inlineStr">
        <is>
          <t>0                      GV 1782500H  4           1991</t>
        </is>
      </c>
      <c r="D1276" t="inlineStr">
        <is>
          <t>Moving from within : a new method for dance making / Alma M. Hawkins ; [foreword by Murray Louis].</t>
        </is>
      </c>
      <c r="F1276" t="inlineStr">
        <is>
          <t>No</t>
        </is>
      </c>
      <c r="G1276" t="inlineStr">
        <is>
          <t>1</t>
        </is>
      </c>
      <c r="H1276" t="inlineStr">
        <is>
          <t>No</t>
        </is>
      </c>
      <c r="I1276" t="inlineStr">
        <is>
          <t>No</t>
        </is>
      </c>
      <c r="J1276" t="inlineStr">
        <is>
          <t>0</t>
        </is>
      </c>
      <c r="K1276" t="inlineStr">
        <is>
          <t>Hawkins, Alma M.</t>
        </is>
      </c>
      <c r="L1276" t="inlineStr">
        <is>
          <t>Chicago, IL : A Cappella Books : Distributed by Independent Publishers Group, 1991.</t>
        </is>
      </c>
      <c r="M1276" t="inlineStr">
        <is>
          <t>1991</t>
        </is>
      </c>
      <c r="O1276" t="inlineStr">
        <is>
          <t>eng</t>
        </is>
      </c>
      <c r="P1276" t="inlineStr">
        <is>
          <t>ilu</t>
        </is>
      </c>
      <c r="R1276" t="inlineStr">
        <is>
          <t xml:space="preserve">GV </t>
        </is>
      </c>
      <c r="S1276" t="n">
        <v>3</v>
      </c>
      <c r="T1276" t="n">
        <v>3</v>
      </c>
      <c r="U1276" t="inlineStr">
        <is>
          <t>2007-11-26</t>
        </is>
      </c>
      <c r="V1276" t="inlineStr">
        <is>
          <t>2007-11-26</t>
        </is>
      </c>
      <c r="W1276" t="inlineStr">
        <is>
          <t>2002-12-09</t>
        </is>
      </c>
      <c r="X1276" t="inlineStr">
        <is>
          <t>2002-12-09</t>
        </is>
      </c>
      <c r="Y1276" t="n">
        <v>332</v>
      </c>
      <c r="Z1276" t="n">
        <v>293</v>
      </c>
      <c r="AA1276" t="n">
        <v>297</v>
      </c>
      <c r="AB1276" t="n">
        <v>2</v>
      </c>
      <c r="AC1276" t="n">
        <v>2</v>
      </c>
      <c r="AD1276" t="n">
        <v>6</v>
      </c>
      <c r="AE1276" t="n">
        <v>6</v>
      </c>
      <c r="AF1276" t="n">
        <v>3</v>
      </c>
      <c r="AG1276" t="n">
        <v>3</v>
      </c>
      <c r="AH1276" t="n">
        <v>0</v>
      </c>
      <c r="AI1276" t="n">
        <v>0</v>
      </c>
      <c r="AJ1276" t="n">
        <v>2</v>
      </c>
      <c r="AK1276" t="n">
        <v>2</v>
      </c>
      <c r="AL1276" t="n">
        <v>1</v>
      </c>
      <c r="AM1276" t="n">
        <v>1</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HYPERLINK("https://creighton-primo.hosted.exlibrisgroup.com/primo-explore/search?tab=default_tab&amp;search_scope=EVERYTHING&amp;vid=01CRU&amp;lang=en_US&amp;offset=0&amp;query=any,contains,991003957499702656","Catalog Record")</f>
        <v/>
      </c>
      <c r="AT1276">
        <f>HYPERLINK("http://www.worldcat.org/oclc/24215756","WorldCat Record")</f>
        <v/>
      </c>
      <c r="AU1276" t="inlineStr">
        <is>
          <t>326372473:eng</t>
        </is>
      </c>
      <c r="AV1276" t="inlineStr">
        <is>
          <t>24215756</t>
        </is>
      </c>
      <c r="AW1276" t="inlineStr">
        <is>
          <t>991003957499702656</t>
        </is>
      </c>
      <c r="AX1276" t="inlineStr">
        <is>
          <t>991003957499702656</t>
        </is>
      </c>
      <c r="AY1276" t="inlineStr">
        <is>
          <t>2272589220002656</t>
        </is>
      </c>
      <c r="AZ1276" t="inlineStr">
        <is>
          <t>BOOK</t>
        </is>
      </c>
      <c r="BB1276" t="inlineStr">
        <is>
          <t>9781556521393</t>
        </is>
      </c>
      <c r="BC1276" t="inlineStr">
        <is>
          <t>32285004669536</t>
        </is>
      </c>
      <c r="BD1276" t="inlineStr">
        <is>
          <t>893599248</t>
        </is>
      </c>
    </row>
    <row r="1277">
      <c r="A1277" t="inlineStr">
        <is>
          <t>No</t>
        </is>
      </c>
      <c r="B1277" t="inlineStr">
        <is>
          <t>GV1782.5 .M56 1997</t>
        </is>
      </c>
      <c r="C1277" t="inlineStr">
        <is>
          <t>0                      GV 1782500M  56          1997</t>
        </is>
      </c>
      <c r="D1277" t="inlineStr">
        <is>
          <t>Choreography : a basic approach using improvisation / Sandra Cerny Minton.</t>
        </is>
      </c>
      <c r="F1277" t="inlineStr">
        <is>
          <t>No</t>
        </is>
      </c>
      <c r="G1277" t="inlineStr">
        <is>
          <t>1</t>
        </is>
      </c>
      <c r="H1277" t="inlineStr">
        <is>
          <t>No</t>
        </is>
      </c>
      <c r="I1277" t="inlineStr">
        <is>
          <t>No</t>
        </is>
      </c>
      <c r="J1277" t="inlineStr">
        <is>
          <t>0</t>
        </is>
      </c>
      <c r="K1277" t="inlineStr">
        <is>
          <t>Minton, Sandra Cerny, 1943-</t>
        </is>
      </c>
      <c r="L1277" t="inlineStr">
        <is>
          <t>Champaign, IL : Human Kinetics, c1997.</t>
        </is>
      </c>
      <c r="M1277" t="inlineStr">
        <is>
          <t>1997</t>
        </is>
      </c>
      <c r="N1277" t="inlineStr">
        <is>
          <t>2nd ed.</t>
        </is>
      </c>
      <c r="O1277" t="inlineStr">
        <is>
          <t>eng</t>
        </is>
      </c>
      <c r="P1277" t="inlineStr">
        <is>
          <t>ilu</t>
        </is>
      </c>
      <c r="R1277" t="inlineStr">
        <is>
          <t xml:space="preserve">GV </t>
        </is>
      </c>
      <c r="S1277" t="n">
        <v>2</v>
      </c>
      <c r="T1277" t="n">
        <v>2</v>
      </c>
      <c r="U1277" t="inlineStr">
        <is>
          <t>2002-12-10</t>
        </is>
      </c>
      <c r="V1277" t="inlineStr">
        <is>
          <t>2002-12-10</t>
        </is>
      </c>
      <c r="W1277" t="inlineStr">
        <is>
          <t>2002-12-10</t>
        </is>
      </c>
      <c r="X1277" t="inlineStr">
        <is>
          <t>2002-12-10</t>
        </is>
      </c>
      <c r="Y1277" t="n">
        <v>615</v>
      </c>
      <c r="Z1277" t="n">
        <v>467</v>
      </c>
      <c r="AA1277" t="n">
        <v>900</v>
      </c>
      <c r="AB1277" t="n">
        <v>5</v>
      </c>
      <c r="AC1277" t="n">
        <v>8</v>
      </c>
      <c r="AD1277" t="n">
        <v>12</v>
      </c>
      <c r="AE1277" t="n">
        <v>19</v>
      </c>
      <c r="AF1277" t="n">
        <v>6</v>
      </c>
      <c r="AG1277" t="n">
        <v>10</v>
      </c>
      <c r="AH1277" t="n">
        <v>2</v>
      </c>
      <c r="AI1277" t="n">
        <v>2</v>
      </c>
      <c r="AJ1277" t="n">
        <v>5</v>
      </c>
      <c r="AK1277" t="n">
        <v>6</v>
      </c>
      <c r="AL1277" t="n">
        <v>3</v>
      </c>
      <c r="AM1277" t="n">
        <v>5</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HYPERLINK("https://creighton-primo.hosted.exlibrisgroup.com/primo-explore/search?tab=default_tab&amp;search_scope=EVERYTHING&amp;vid=01CRU&amp;lang=en_US&amp;offset=0&amp;query=any,contains,991003958769702656","Catalog Record")</f>
        <v/>
      </c>
      <c r="AT1277">
        <f>HYPERLINK("http://www.worldcat.org/oclc/35835799","WorldCat Record")</f>
        <v/>
      </c>
      <c r="AU1277" t="inlineStr">
        <is>
          <t>7671983:eng</t>
        </is>
      </c>
      <c r="AV1277" t="inlineStr">
        <is>
          <t>35835799</t>
        </is>
      </c>
      <c r="AW1277" t="inlineStr">
        <is>
          <t>991003958769702656</t>
        </is>
      </c>
      <c r="AX1277" t="inlineStr">
        <is>
          <t>991003958769702656</t>
        </is>
      </c>
      <c r="AY1277" t="inlineStr">
        <is>
          <t>2260592280002656</t>
        </is>
      </c>
      <c r="AZ1277" t="inlineStr">
        <is>
          <t>BOOK</t>
        </is>
      </c>
      <c r="BB1277" t="inlineStr">
        <is>
          <t>9780880115292</t>
        </is>
      </c>
      <c r="BC1277" t="inlineStr">
        <is>
          <t>32285004669395</t>
        </is>
      </c>
      <c r="BD1277" t="inlineStr">
        <is>
          <t>893618042</t>
        </is>
      </c>
    </row>
    <row r="1278">
      <c r="A1278" t="inlineStr">
        <is>
          <t>No</t>
        </is>
      </c>
      <c r="B1278" t="inlineStr">
        <is>
          <t>GV1783 .C44 1969</t>
        </is>
      </c>
      <c r="C1278" t="inlineStr">
        <is>
          <t>0                      GV 1783000C  44          1969</t>
        </is>
      </c>
      <c r="D1278" t="inlineStr">
        <is>
          <t>Modern dance [by] Gay Cheney [and] Janet Strader.</t>
        </is>
      </c>
      <c r="F1278" t="inlineStr">
        <is>
          <t>No</t>
        </is>
      </c>
      <c r="G1278" t="inlineStr">
        <is>
          <t>1</t>
        </is>
      </c>
      <c r="H1278" t="inlineStr">
        <is>
          <t>No</t>
        </is>
      </c>
      <c r="I1278" t="inlineStr">
        <is>
          <t>No</t>
        </is>
      </c>
      <c r="J1278" t="inlineStr">
        <is>
          <t>0</t>
        </is>
      </c>
      <c r="K1278" t="inlineStr">
        <is>
          <t>Cheney, Gay.</t>
        </is>
      </c>
      <c r="L1278" t="inlineStr">
        <is>
          <t>Boston, Allyn and Bacon [1969]</t>
        </is>
      </c>
      <c r="M1278" t="inlineStr">
        <is>
          <t>1969</t>
        </is>
      </c>
      <c r="O1278" t="inlineStr">
        <is>
          <t>eng</t>
        </is>
      </c>
      <c r="P1278" t="inlineStr">
        <is>
          <t>mau</t>
        </is>
      </c>
      <c r="Q1278" t="inlineStr">
        <is>
          <t>Allyn and Bacon series in basic concepts of physical activity</t>
        </is>
      </c>
      <c r="R1278" t="inlineStr">
        <is>
          <t xml:space="preserve">GV </t>
        </is>
      </c>
      <c r="S1278" t="n">
        <v>3</v>
      </c>
      <c r="T1278" t="n">
        <v>3</v>
      </c>
      <c r="U1278" t="inlineStr">
        <is>
          <t>2009-02-04</t>
        </is>
      </c>
      <c r="V1278" t="inlineStr">
        <is>
          <t>2009-02-04</t>
        </is>
      </c>
      <c r="W1278" t="inlineStr">
        <is>
          <t>1997-06-02</t>
        </is>
      </c>
      <c r="X1278" t="inlineStr">
        <is>
          <t>1997-06-02</t>
        </is>
      </c>
      <c r="Y1278" t="n">
        <v>313</v>
      </c>
      <c r="Z1278" t="n">
        <v>263</v>
      </c>
      <c r="AA1278" t="n">
        <v>403</v>
      </c>
      <c r="AB1278" t="n">
        <v>2</v>
      </c>
      <c r="AC1278" t="n">
        <v>3</v>
      </c>
      <c r="AD1278" t="n">
        <v>7</v>
      </c>
      <c r="AE1278" t="n">
        <v>11</v>
      </c>
      <c r="AF1278" t="n">
        <v>5</v>
      </c>
      <c r="AG1278" t="n">
        <v>6</v>
      </c>
      <c r="AH1278" t="n">
        <v>2</v>
      </c>
      <c r="AI1278" t="n">
        <v>3</v>
      </c>
      <c r="AJ1278" t="n">
        <v>0</v>
      </c>
      <c r="AK1278" t="n">
        <v>2</v>
      </c>
      <c r="AL1278" t="n">
        <v>1</v>
      </c>
      <c r="AM1278" t="n">
        <v>2</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HYPERLINK("https://creighton-primo.hosted.exlibrisgroup.com/primo-explore/search?tab=default_tab&amp;search_scope=EVERYTHING&amp;vid=01CRU&amp;lang=en_US&amp;offset=0&amp;query=any,contains,991000004709702656","Catalog Record")</f>
        <v/>
      </c>
      <c r="AT1278">
        <f>HYPERLINK("http://www.worldcat.org/oclc/12758","WorldCat Record")</f>
        <v/>
      </c>
      <c r="AU1278" t="inlineStr">
        <is>
          <t>1150895379:eng</t>
        </is>
      </c>
      <c r="AV1278" t="inlineStr">
        <is>
          <t>12758</t>
        </is>
      </c>
      <c r="AW1278" t="inlineStr">
        <is>
          <t>991000004709702656</t>
        </is>
      </c>
      <c r="AX1278" t="inlineStr">
        <is>
          <t>991000004709702656</t>
        </is>
      </c>
      <c r="AY1278" t="inlineStr">
        <is>
          <t>2264927090002656</t>
        </is>
      </c>
      <c r="AZ1278" t="inlineStr">
        <is>
          <t>BOOK</t>
        </is>
      </c>
      <c r="BC1278" t="inlineStr">
        <is>
          <t>32285002701109</t>
        </is>
      </c>
      <c r="BD1278" t="inlineStr">
        <is>
          <t>893877711</t>
        </is>
      </c>
    </row>
    <row r="1279">
      <c r="A1279" t="inlineStr">
        <is>
          <t>No</t>
        </is>
      </c>
      <c r="B1279" t="inlineStr">
        <is>
          <t>GV1784 .G56 1992</t>
        </is>
      </c>
      <c r="C1279" t="inlineStr">
        <is>
          <t>0                      GV 1784000G  56          1992</t>
        </is>
      </c>
      <c r="D1279" t="inlineStr">
        <is>
          <t>Jazz dance class : beginning thru advanced / Gus Giordano.</t>
        </is>
      </c>
      <c r="F1279" t="inlineStr">
        <is>
          <t>No</t>
        </is>
      </c>
      <c r="G1279" t="inlineStr">
        <is>
          <t>1</t>
        </is>
      </c>
      <c r="H1279" t="inlineStr">
        <is>
          <t>No</t>
        </is>
      </c>
      <c r="I1279" t="inlineStr">
        <is>
          <t>No</t>
        </is>
      </c>
      <c r="J1279" t="inlineStr">
        <is>
          <t>0</t>
        </is>
      </c>
      <c r="K1279" t="inlineStr">
        <is>
          <t>Giordano, Gus.</t>
        </is>
      </c>
      <c r="L1279" t="inlineStr">
        <is>
          <t>Pennington, NJ : Princeton Book Co., c1992.</t>
        </is>
      </c>
      <c r="M1279" t="inlineStr">
        <is>
          <t>1992</t>
        </is>
      </c>
      <c r="O1279" t="inlineStr">
        <is>
          <t>eng</t>
        </is>
      </c>
      <c r="P1279" t="inlineStr">
        <is>
          <t>nju</t>
        </is>
      </c>
      <c r="R1279" t="inlineStr">
        <is>
          <t xml:space="preserve">GV </t>
        </is>
      </c>
      <c r="S1279" t="n">
        <v>2</v>
      </c>
      <c r="T1279" t="n">
        <v>2</v>
      </c>
      <c r="U1279" t="inlineStr">
        <is>
          <t>2008-09-04</t>
        </is>
      </c>
      <c r="V1279" t="inlineStr">
        <is>
          <t>2008-09-04</t>
        </is>
      </c>
      <c r="W1279" t="inlineStr">
        <is>
          <t>2002-12-05</t>
        </is>
      </c>
      <c r="X1279" t="inlineStr">
        <is>
          <t>2002-12-05</t>
        </is>
      </c>
      <c r="Y1279" t="n">
        <v>401</v>
      </c>
      <c r="Z1279" t="n">
        <v>352</v>
      </c>
      <c r="AA1279" t="n">
        <v>367</v>
      </c>
      <c r="AB1279" t="n">
        <v>2</v>
      </c>
      <c r="AC1279" t="n">
        <v>2</v>
      </c>
      <c r="AD1279" t="n">
        <v>7</v>
      </c>
      <c r="AE1279" t="n">
        <v>8</v>
      </c>
      <c r="AF1279" t="n">
        <v>4</v>
      </c>
      <c r="AG1279" t="n">
        <v>5</v>
      </c>
      <c r="AH1279" t="n">
        <v>3</v>
      </c>
      <c r="AI1279" t="n">
        <v>3</v>
      </c>
      <c r="AJ1279" t="n">
        <v>2</v>
      </c>
      <c r="AK1279" t="n">
        <v>2</v>
      </c>
      <c r="AL1279" t="n">
        <v>1</v>
      </c>
      <c r="AM1279" t="n">
        <v>1</v>
      </c>
      <c r="AN1279" t="n">
        <v>0</v>
      </c>
      <c r="AO1279" t="n">
        <v>0</v>
      </c>
      <c r="AP1279" t="inlineStr">
        <is>
          <t>No</t>
        </is>
      </c>
      <c r="AQ1279" t="inlineStr">
        <is>
          <t>Yes</t>
        </is>
      </c>
      <c r="AR1279">
        <f>HYPERLINK("http://catalog.hathitrust.org/Record/002578131","HathiTrust Record")</f>
        <v/>
      </c>
      <c r="AS1279">
        <f>HYPERLINK("https://creighton-primo.hosted.exlibrisgroup.com/primo-explore/search?tab=default_tab&amp;search_scope=EVERYTHING&amp;vid=01CRU&amp;lang=en_US&amp;offset=0&amp;query=any,contains,991003956519702656","Catalog Record")</f>
        <v/>
      </c>
      <c r="AT1279">
        <f>HYPERLINK("http://www.worldcat.org/oclc/26128754","WorldCat Record")</f>
        <v/>
      </c>
      <c r="AU1279" t="inlineStr">
        <is>
          <t>836849994:eng</t>
        </is>
      </c>
      <c r="AV1279" t="inlineStr">
        <is>
          <t>26128754</t>
        </is>
      </c>
      <c r="AW1279" t="inlineStr">
        <is>
          <t>991003956519702656</t>
        </is>
      </c>
      <c r="AX1279" t="inlineStr">
        <is>
          <t>991003956519702656</t>
        </is>
      </c>
      <c r="AY1279" t="inlineStr">
        <is>
          <t>2256786410002656</t>
        </is>
      </c>
      <c r="AZ1279" t="inlineStr">
        <is>
          <t>BOOK</t>
        </is>
      </c>
      <c r="BB1279" t="inlineStr">
        <is>
          <t>9780871271822</t>
        </is>
      </c>
      <c r="BC1279" t="inlineStr">
        <is>
          <t>32285004668140</t>
        </is>
      </c>
      <c r="BD1279" t="inlineStr">
        <is>
          <t>893599246</t>
        </is>
      </c>
    </row>
    <row r="1280">
      <c r="A1280" t="inlineStr">
        <is>
          <t>No</t>
        </is>
      </c>
      <c r="B1280" t="inlineStr">
        <is>
          <t>GV1784 .K73 2001</t>
        </is>
      </c>
      <c r="C1280" t="inlineStr">
        <is>
          <t>0                      GV 1784000K  73          2001</t>
        </is>
      </c>
      <c r="D1280" t="inlineStr">
        <is>
          <t>Jump into jazz : the basics and beyond for the jazz dance student / Minda Goodman Kraines, Esther Pryor.</t>
        </is>
      </c>
      <c r="F1280" t="inlineStr">
        <is>
          <t>No</t>
        </is>
      </c>
      <c r="G1280" t="inlineStr">
        <is>
          <t>1</t>
        </is>
      </c>
      <c r="H1280" t="inlineStr">
        <is>
          <t>No</t>
        </is>
      </c>
      <c r="I1280" t="inlineStr">
        <is>
          <t>No</t>
        </is>
      </c>
      <c r="J1280" t="inlineStr">
        <is>
          <t>0</t>
        </is>
      </c>
      <c r="K1280" t="inlineStr">
        <is>
          <t>Kraines, Minda Goodman.</t>
        </is>
      </c>
      <c r="L1280" t="inlineStr">
        <is>
          <t>Mountain View, Calif. : Mayfield Pub., c2001.</t>
        </is>
      </c>
      <c r="M1280" t="inlineStr">
        <is>
          <t>2001</t>
        </is>
      </c>
      <c r="N1280" t="inlineStr">
        <is>
          <t>4th ed.</t>
        </is>
      </c>
      <c r="O1280" t="inlineStr">
        <is>
          <t>eng</t>
        </is>
      </c>
      <c r="P1280" t="inlineStr">
        <is>
          <t>cau</t>
        </is>
      </c>
      <c r="R1280" t="inlineStr">
        <is>
          <t xml:space="preserve">GV </t>
        </is>
      </c>
      <c r="S1280" t="n">
        <v>3</v>
      </c>
      <c r="T1280" t="n">
        <v>3</v>
      </c>
      <c r="U1280" t="inlineStr">
        <is>
          <t>2010-01-18</t>
        </is>
      </c>
      <c r="V1280" t="inlineStr">
        <is>
          <t>2010-01-18</t>
        </is>
      </c>
      <c r="W1280" t="inlineStr">
        <is>
          <t>2002-12-05</t>
        </is>
      </c>
      <c r="X1280" t="inlineStr">
        <is>
          <t>2002-12-05</t>
        </is>
      </c>
      <c r="Y1280" t="n">
        <v>116</v>
      </c>
      <c r="Z1280" t="n">
        <v>95</v>
      </c>
      <c r="AA1280" t="n">
        <v>230</v>
      </c>
      <c r="AB1280" t="n">
        <v>2</v>
      </c>
      <c r="AC1280" t="n">
        <v>3</v>
      </c>
      <c r="AD1280" t="n">
        <v>0</v>
      </c>
      <c r="AE1280" t="n">
        <v>4</v>
      </c>
      <c r="AF1280" t="n">
        <v>0</v>
      </c>
      <c r="AG1280" t="n">
        <v>3</v>
      </c>
      <c r="AH1280" t="n">
        <v>0</v>
      </c>
      <c r="AI1280" t="n">
        <v>0</v>
      </c>
      <c r="AJ1280" t="n">
        <v>0</v>
      </c>
      <c r="AK1280" t="n">
        <v>1</v>
      </c>
      <c r="AL1280" t="n">
        <v>0</v>
      </c>
      <c r="AM1280" t="n">
        <v>1</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HYPERLINK("https://creighton-primo.hosted.exlibrisgroup.com/primo-explore/search?tab=default_tab&amp;search_scope=EVERYTHING&amp;vid=01CRU&amp;lang=en_US&amp;offset=0&amp;query=any,contains,991003956689702656","Catalog Record")</f>
        <v/>
      </c>
      <c r="AT1280">
        <f>HYPERLINK("http://www.worldcat.org/oclc/43555259","WorldCat Record")</f>
        <v/>
      </c>
      <c r="AU1280" t="inlineStr">
        <is>
          <t>3805400511:eng</t>
        </is>
      </c>
      <c r="AV1280" t="inlineStr">
        <is>
          <t>43555259</t>
        </is>
      </c>
      <c r="AW1280" t="inlineStr">
        <is>
          <t>991003956689702656</t>
        </is>
      </c>
      <c r="AX1280" t="inlineStr">
        <is>
          <t>991003956689702656</t>
        </is>
      </c>
      <c r="AY1280" t="inlineStr">
        <is>
          <t>2255917960002656</t>
        </is>
      </c>
      <c r="AZ1280" t="inlineStr">
        <is>
          <t>BOOK</t>
        </is>
      </c>
      <c r="BB1280" t="inlineStr">
        <is>
          <t>9780767419994</t>
        </is>
      </c>
      <c r="BC1280" t="inlineStr">
        <is>
          <t>32285004668033</t>
        </is>
      </c>
      <c r="BD1280" t="inlineStr">
        <is>
          <t>893699632</t>
        </is>
      </c>
    </row>
    <row r="1281">
      <c r="A1281" t="inlineStr">
        <is>
          <t>No</t>
        </is>
      </c>
      <c r="B1281" t="inlineStr">
        <is>
          <t>GV1784 .K75 1994</t>
        </is>
      </c>
      <c r="C1281" t="inlineStr">
        <is>
          <t>0                      GV 1784000K  75          1994</t>
        </is>
      </c>
      <c r="D1281" t="inlineStr">
        <is>
          <t>Jazz dance today / Lorraine Person Kriegel, Kimberly Chandler-Vaccaro ; [introduction by Luigi].</t>
        </is>
      </c>
      <c r="F1281" t="inlineStr">
        <is>
          <t>No</t>
        </is>
      </c>
      <c r="G1281" t="inlineStr">
        <is>
          <t>1</t>
        </is>
      </c>
      <c r="H1281" t="inlineStr">
        <is>
          <t>No</t>
        </is>
      </c>
      <c r="I1281" t="inlineStr">
        <is>
          <t>No</t>
        </is>
      </c>
      <c r="J1281" t="inlineStr">
        <is>
          <t>0</t>
        </is>
      </c>
      <c r="K1281" t="inlineStr">
        <is>
          <t>Kriegel, Lorraine Person.</t>
        </is>
      </c>
      <c r="L1281" t="inlineStr">
        <is>
          <t>Minneapolis : West Pub. Co., c1994.</t>
        </is>
      </c>
      <c r="M1281" t="inlineStr">
        <is>
          <t>1994</t>
        </is>
      </c>
      <c r="O1281" t="inlineStr">
        <is>
          <t>eng</t>
        </is>
      </c>
      <c r="P1281" t="inlineStr">
        <is>
          <t>mnu</t>
        </is>
      </c>
      <c r="Q1281" t="inlineStr">
        <is>
          <t>West's physical activities series</t>
        </is>
      </c>
      <c r="R1281" t="inlineStr">
        <is>
          <t xml:space="preserve">GV </t>
        </is>
      </c>
      <c r="S1281" t="n">
        <v>3</v>
      </c>
      <c r="T1281" t="n">
        <v>3</v>
      </c>
      <c r="U1281" t="inlineStr">
        <is>
          <t>2010-04-25</t>
        </is>
      </c>
      <c r="V1281" t="inlineStr">
        <is>
          <t>2010-04-25</t>
        </is>
      </c>
      <c r="W1281" t="inlineStr">
        <is>
          <t>2002-12-05</t>
        </is>
      </c>
      <c r="X1281" t="inlineStr">
        <is>
          <t>2002-12-05</t>
        </is>
      </c>
      <c r="Y1281" t="n">
        <v>139</v>
      </c>
      <c r="Z1281" t="n">
        <v>119</v>
      </c>
      <c r="AA1281" t="n">
        <v>126</v>
      </c>
      <c r="AB1281" t="n">
        <v>4</v>
      </c>
      <c r="AC1281" t="n">
        <v>4</v>
      </c>
      <c r="AD1281" t="n">
        <v>6</v>
      </c>
      <c r="AE1281" t="n">
        <v>6</v>
      </c>
      <c r="AF1281" t="n">
        <v>2</v>
      </c>
      <c r="AG1281" t="n">
        <v>2</v>
      </c>
      <c r="AH1281" t="n">
        <v>0</v>
      </c>
      <c r="AI1281" t="n">
        <v>0</v>
      </c>
      <c r="AJ1281" t="n">
        <v>3</v>
      </c>
      <c r="AK1281" t="n">
        <v>3</v>
      </c>
      <c r="AL1281" t="n">
        <v>3</v>
      </c>
      <c r="AM1281" t="n">
        <v>3</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HYPERLINK("https://creighton-primo.hosted.exlibrisgroup.com/primo-explore/search?tab=default_tab&amp;search_scope=EVERYTHING&amp;vid=01CRU&amp;lang=en_US&amp;offset=0&amp;query=any,contains,991003956759702656","Catalog Record")</f>
        <v/>
      </c>
      <c r="AT1281">
        <f>HYPERLINK("http://www.worldcat.org/oclc/29182815","WorldCat Record")</f>
        <v/>
      </c>
      <c r="AU1281" t="inlineStr">
        <is>
          <t>31564255:eng</t>
        </is>
      </c>
      <c r="AV1281" t="inlineStr">
        <is>
          <t>29182815</t>
        </is>
      </c>
      <c r="AW1281" t="inlineStr">
        <is>
          <t>991003956759702656</t>
        </is>
      </c>
      <c r="AX1281" t="inlineStr">
        <is>
          <t>991003956759702656</t>
        </is>
      </c>
      <c r="AY1281" t="inlineStr">
        <is>
          <t>2262362410002656</t>
        </is>
      </c>
      <c r="AZ1281" t="inlineStr">
        <is>
          <t>BOOK</t>
        </is>
      </c>
      <c r="BB1281" t="inlineStr">
        <is>
          <t>9780314027177</t>
        </is>
      </c>
      <c r="BC1281" t="inlineStr">
        <is>
          <t>32285004668124</t>
        </is>
      </c>
      <c r="BD1281" t="inlineStr">
        <is>
          <t>893611739</t>
        </is>
      </c>
    </row>
    <row r="1282">
      <c r="A1282" t="inlineStr">
        <is>
          <t>No</t>
        </is>
      </c>
      <c r="B1282" t="inlineStr">
        <is>
          <t>GV1785.A1 F57 2006</t>
        </is>
      </c>
      <c r="C1282" t="inlineStr">
        <is>
          <t>0                      GV 1785000A  1                  F  57          2006</t>
        </is>
      </c>
      <c r="D1282" t="inlineStr">
        <is>
          <t>In Balanchine's company : a dancer's memoir / Barbara Milberg Fisher.</t>
        </is>
      </c>
      <c r="F1282" t="inlineStr">
        <is>
          <t>No</t>
        </is>
      </c>
      <c r="G1282" t="inlineStr">
        <is>
          <t>1</t>
        </is>
      </c>
      <c r="H1282" t="inlineStr">
        <is>
          <t>No</t>
        </is>
      </c>
      <c r="I1282" t="inlineStr">
        <is>
          <t>No</t>
        </is>
      </c>
      <c r="J1282" t="inlineStr">
        <is>
          <t>0</t>
        </is>
      </c>
      <c r="K1282" t="inlineStr">
        <is>
          <t>Fisher, Barbara M. (Barbara Milberg), 1931-</t>
        </is>
      </c>
      <c r="L1282" t="inlineStr">
        <is>
          <t>Middletown, Conn. : Wesleyan University Press, c2006.</t>
        </is>
      </c>
      <c r="M1282" t="inlineStr">
        <is>
          <t>2006</t>
        </is>
      </c>
      <c r="O1282" t="inlineStr">
        <is>
          <t>eng</t>
        </is>
      </c>
      <c r="P1282" t="inlineStr">
        <is>
          <t>ctu</t>
        </is>
      </c>
      <c r="R1282" t="inlineStr">
        <is>
          <t xml:space="preserve">GV </t>
        </is>
      </c>
      <c r="S1282" t="n">
        <v>4</v>
      </c>
      <c r="T1282" t="n">
        <v>4</v>
      </c>
      <c r="U1282" t="inlineStr">
        <is>
          <t>2010-11-19</t>
        </is>
      </c>
      <c r="V1282" t="inlineStr">
        <is>
          <t>2010-11-19</t>
        </is>
      </c>
      <c r="W1282" t="inlineStr">
        <is>
          <t>2006-10-17</t>
        </is>
      </c>
      <c r="X1282" t="inlineStr">
        <is>
          <t>2006-10-17</t>
        </is>
      </c>
      <c r="Y1282" t="n">
        <v>547</v>
      </c>
      <c r="Z1282" t="n">
        <v>508</v>
      </c>
      <c r="AA1282" t="n">
        <v>592</v>
      </c>
      <c r="AB1282" t="n">
        <v>2</v>
      </c>
      <c r="AC1282" t="n">
        <v>3</v>
      </c>
      <c r="AD1282" t="n">
        <v>12</v>
      </c>
      <c r="AE1282" t="n">
        <v>16</v>
      </c>
      <c r="AF1282" t="n">
        <v>4</v>
      </c>
      <c r="AG1282" t="n">
        <v>7</v>
      </c>
      <c r="AH1282" t="n">
        <v>5</v>
      </c>
      <c r="AI1282" t="n">
        <v>6</v>
      </c>
      <c r="AJ1282" t="n">
        <v>6</v>
      </c>
      <c r="AK1282" t="n">
        <v>6</v>
      </c>
      <c r="AL1282" t="n">
        <v>1</v>
      </c>
      <c r="AM1282" t="n">
        <v>2</v>
      </c>
      <c r="AN1282" t="n">
        <v>0</v>
      </c>
      <c r="AO1282" t="n">
        <v>0</v>
      </c>
      <c r="AP1282" t="inlineStr">
        <is>
          <t>No</t>
        </is>
      </c>
      <c r="AQ1282" t="inlineStr">
        <is>
          <t>No</t>
        </is>
      </c>
      <c r="AS1282">
        <f>HYPERLINK("https://creighton-primo.hosted.exlibrisgroup.com/primo-explore/search?tab=default_tab&amp;search_scope=EVERYTHING&amp;vid=01CRU&amp;lang=en_US&amp;offset=0&amp;query=any,contains,991004937659702656","Catalog Record")</f>
        <v/>
      </c>
      <c r="AT1282">
        <f>HYPERLINK("http://www.worldcat.org/oclc/64065866","WorldCat Record")</f>
        <v/>
      </c>
      <c r="AU1282" t="inlineStr">
        <is>
          <t>48081813:eng</t>
        </is>
      </c>
      <c r="AV1282" t="inlineStr">
        <is>
          <t>64065866</t>
        </is>
      </c>
      <c r="AW1282" t="inlineStr">
        <is>
          <t>991004937659702656</t>
        </is>
      </c>
      <c r="AX1282" t="inlineStr">
        <is>
          <t>991004937659702656</t>
        </is>
      </c>
      <c r="AY1282" t="inlineStr">
        <is>
          <t>2269018850002656</t>
        </is>
      </c>
      <c r="AZ1282" t="inlineStr">
        <is>
          <t>BOOK</t>
        </is>
      </c>
      <c r="BB1282" t="inlineStr">
        <is>
          <t>9780819568076</t>
        </is>
      </c>
      <c r="BC1282" t="inlineStr">
        <is>
          <t>32285005229595</t>
        </is>
      </c>
      <c r="BD1282" t="inlineStr">
        <is>
          <t>893520191</t>
        </is>
      </c>
    </row>
    <row r="1283">
      <c r="A1283" t="inlineStr">
        <is>
          <t>No</t>
        </is>
      </c>
      <c r="B1283" t="inlineStr">
        <is>
          <t>GV1785.A1 F87 2008</t>
        </is>
      </c>
      <c r="C1283" t="inlineStr">
        <is>
          <t>0                      GV 1785000A  1                  F  87          2008</t>
        </is>
      </c>
      <c r="D1283" t="inlineStr">
        <is>
          <t>Further steps 2 : fourteen choreographers on what's the RAGE in dance? / [edited by] Constance Kreemer.</t>
        </is>
      </c>
      <c r="F1283" t="inlineStr">
        <is>
          <t>No</t>
        </is>
      </c>
      <c r="G1283" t="inlineStr">
        <is>
          <t>1</t>
        </is>
      </c>
      <c r="H1283" t="inlineStr">
        <is>
          <t>No</t>
        </is>
      </c>
      <c r="I1283" t="inlineStr">
        <is>
          <t>No</t>
        </is>
      </c>
      <c r="J1283" t="inlineStr">
        <is>
          <t>0</t>
        </is>
      </c>
      <c r="L1283" t="inlineStr">
        <is>
          <t>London ; New York : Routledge, 2008.</t>
        </is>
      </c>
      <c r="M1283" t="inlineStr">
        <is>
          <t>2008</t>
        </is>
      </c>
      <c r="O1283" t="inlineStr">
        <is>
          <t>eng</t>
        </is>
      </c>
      <c r="P1283" t="inlineStr">
        <is>
          <t>enk</t>
        </is>
      </c>
      <c r="R1283" t="inlineStr">
        <is>
          <t xml:space="preserve">GV </t>
        </is>
      </c>
      <c r="S1283" t="n">
        <v>1</v>
      </c>
      <c r="T1283" t="n">
        <v>1</v>
      </c>
      <c r="U1283" t="inlineStr">
        <is>
          <t>2010-01-18</t>
        </is>
      </c>
      <c r="V1283" t="inlineStr">
        <is>
          <t>2010-01-18</t>
        </is>
      </c>
      <c r="W1283" t="inlineStr">
        <is>
          <t>2010-01-18</t>
        </is>
      </c>
      <c r="X1283" t="inlineStr">
        <is>
          <t>2010-01-18</t>
        </is>
      </c>
      <c r="Y1283" t="n">
        <v>246</v>
      </c>
      <c r="Z1283" t="n">
        <v>196</v>
      </c>
      <c r="AA1283" t="n">
        <v>219</v>
      </c>
      <c r="AB1283" t="n">
        <v>1</v>
      </c>
      <c r="AC1283" t="n">
        <v>1</v>
      </c>
      <c r="AD1283" t="n">
        <v>5</v>
      </c>
      <c r="AE1283" t="n">
        <v>6</v>
      </c>
      <c r="AF1283" t="n">
        <v>3</v>
      </c>
      <c r="AG1283" t="n">
        <v>4</v>
      </c>
      <c r="AH1283" t="n">
        <v>2</v>
      </c>
      <c r="AI1283" t="n">
        <v>3</v>
      </c>
      <c r="AJ1283" t="n">
        <v>3</v>
      </c>
      <c r="AK1283" t="n">
        <v>3</v>
      </c>
      <c r="AL1283" t="n">
        <v>0</v>
      </c>
      <c r="AM1283" t="n">
        <v>0</v>
      </c>
      <c r="AN1283" t="n">
        <v>0</v>
      </c>
      <c r="AO1283" t="n">
        <v>0</v>
      </c>
      <c r="AP1283" t="inlineStr">
        <is>
          <t>No</t>
        </is>
      </c>
      <c r="AQ1283" t="inlineStr">
        <is>
          <t>No</t>
        </is>
      </c>
      <c r="AS1283">
        <f>HYPERLINK("https://creighton-primo.hosted.exlibrisgroup.com/primo-explore/search?tab=default_tab&amp;search_scope=EVERYTHING&amp;vid=01CRU&amp;lang=en_US&amp;offset=0&amp;query=any,contains,991005336349702656","Catalog Record")</f>
        <v/>
      </c>
      <c r="AT1283">
        <f>HYPERLINK("http://www.worldcat.org/oclc/155715256","WorldCat Record")</f>
        <v/>
      </c>
      <c r="AU1283" t="inlineStr">
        <is>
          <t>866883423:eng</t>
        </is>
      </c>
      <c r="AV1283" t="inlineStr">
        <is>
          <t>155715256</t>
        </is>
      </c>
      <c r="AW1283" t="inlineStr">
        <is>
          <t>991005336349702656</t>
        </is>
      </c>
      <c r="AX1283" t="inlineStr">
        <is>
          <t>991005336349702656</t>
        </is>
      </c>
      <c r="AY1283" t="inlineStr">
        <is>
          <t>2260593240002656</t>
        </is>
      </c>
      <c r="AZ1283" t="inlineStr">
        <is>
          <t>BOOK</t>
        </is>
      </c>
      <c r="BB1283" t="inlineStr">
        <is>
          <t>9780415969062</t>
        </is>
      </c>
      <c r="BC1283" t="inlineStr">
        <is>
          <t>32285005557896</t>
        </is>
      </c>
      <c r="BD1283" t="inlineStr">
        <is>
          <t>893713883</t>
        </is>
      </c>
    </row>
    <row r="1284">
      <c r="A1284" t="inlineStr">
        <is>
          <t>No</t>
        </is>
      </c>
      <c r="B1284" t="inlineStr">
        <is>
          <t>GV1785.A1 G78 1975</t>
        </is>
      </c>
      <c r="C1284" t="inlineStr">
        <is>
          <t>0                      GV 1785000A  1                  G  78          1975</t>
        </is>
      </c>
      <c r="D1284" t="inlineStr">
        <is>
          <t>The private world of ballet / John Gruen.</t>
        </is>
      </c>
      <c r="F1284" t="inlineStr">
        <is>
          <t>No</t>
        </is>
      </c>
      <c r="G1284" t="inlineStr">
        <is>
          <t>1</t>
        </is>
      </c>
      <c r="H1284" t="inlineStr">
        <is>
          <t>No</t>
        </is>
      </c>
      <c r="I1284" t="inlineStr">
        <is>
          <t>No</t>
        </is>
      </c>
      <c r="J1284" t="inlineStr">
        <is>
          <t>0</t>
        </is>
      </c>
      <c r="K1284" t="inlineStr">
        <is>
          <t>Gruen, John.</t>
        </is>
      </c>
      <c r="L1284" t="inlineStr">
        <is>
          <t>New York : Viking Press, 1975.</t>
        </is>
      </c>
      <c r="M1284" t="inlineStr">
        <is>
          <t>1975</t>
        </is>
      </c>
      <c r="O1284" t="inlineStr">
        <is>
          <t>eng</t>
        </is>
      </c>
      <c r="P1284" t="inlineStr">
        <is>
          <t>nyu</t>
        </is>
      </c>
      <c r="R1284" t="inlineStr">
        <is>
          <t xml:space="preserve">GV </t>
        </is>
      </c>
      <c r="S1284" t="n">
        <v>1</v>
      </c>
      <c r="T1284" t="n">
        <v>1</v>
      </c>
      <c r="U1284" t="inlineStr">
        <is>
          <t>2005-10-06</t>
        </is>
      </c>
      <c r="V1284" t="inlineStr">
        <is>
          <t>2005-10-06</t>
        </is>
      </c>
      <c r="W1284" t="inlineStr">
        <is>
          <t>1997-06-02</t>
        </is>
      </c>
      <c r="X1284" t="inlineStr">
        <is>
          <t>1997-06-02</t>
        </is>
      </c>
      <c r="Y1284" t="n">
        <v>538</v>
      </c>
      <c r="Z1284" t="n">
        <v>484</v>
      </c>
      <c r="AA1284" t="n">
        <v>533</v>
      </c>
      <c r="AB1284" t="n">
        <v>1</v>
      </c>
      <c r="AC1284" t="n">
        <v>1</v>
      </c>
      <c r="AD1284" t="n">
        <v>9</v>
      </c>
      <c r="AE1284" t="n">
        <v>10</v>
      </c>
      <c r="AF1284" t="n">
        <v>5</v>
      </c>
      <c r="AG1284" t="n">
        <v>5</v>
      </c>
      <c r="AH1284" t="n">
        <v>3</v>
      </c>
      <c r="AI1284" t="n">
        <v>3</v>
      </c>
      <c r="AJ1284" t="n">
        <v>4</v>
      </c>
      <c r="AK1284" t="n">
        <v>5</v>
      </c>
      <c r="AL1284" t="n">
        <v>0</v>
      </c>
      <c r="AM1284" t="n">
        <v>0</v>
      </c>
      <c r="AN1284" t="n">
        <v>0</v>
      </c>
      <c r="AO1284" t="n">
        <v>0</v>
      </c>
      <c r="AP1284" t="inlineStr">
        <is>
          <t>No</t>
        </is>
      </c>
      <c r="AQ1284" t="inlineStr">
        <is>
          <t>Yes</t>
        </is>
      </c>
      <c r="AR1284">
        <f>HYPERLINK("http://catalog.hathitrust.org/Record/000030426","HathiTrust Record")</f>
        <v/>
      </c>
      <c r="AS1284">
        <f>HYPERLINK("https://creighton-primo.hosted.exlibrisgroup.com/primo-explore/search?tab=default_tab&amp;search_scope=EVERYTHING&amp;vid=01CRU&amp;lang=en_US&amp;offset=0&amp;query=any,contains,991003531089702656","Catalog Record")</f>
        <v/>
      </c>
      <c r="AT1284">
        <f>HYPERLINK("http://www.worldcat.org/oclc/1093652","WorldCat Record")</f>
        <v/>
      </c>
      <c r="AU1284" t="inlineStr">
        <is>
          <t>2067864:eng</t>
        </is>
      </c>
      <c r="AV1284" t="inlineStr">
        <is>
          <t>1093652</t>
        </is>
      </c>
      <c r="AW1284" t="inlineStr">
        <is>
          <t>991003531089702656</t>
        </is>
      </c>
      <c r="AX1284" t="inlineStr">
        <is>
          <t>991003531089702656</t>
        </is>
      </c>
      <c r="AY1284" t="inlineStr">
        <is>
          <t>2264795950002656</t>
        </is>
      </c>
      <c r="AZ1284" t="inlineStr">
        <is>
          <t>BOOK</t>
        </is>
      </c>
      <c r="BB1284" t="inlineStr">
        <is>
          <t>9780670578511</t>
        </is>
      </c>
      <c r="BC1284" t="inlineStr">
        <is>
          <t>32285002701125</t>
        </is>
      </c>
      <c r="BD1284" t="inlineStr">
        <is>
          <t>893604885</t>
        </is>
      </c>
    </row>
    <row r="1285">
      <c r="A1285" t="inlineStr">
        <is>
          <t>No</t>
        </is>
      </c>
      <c r="B1285" t="inlineStr">
        <is>
          <t>GV1785.A1 L38 1992</t>
        </is>
      </c>
      <c r="C1285" t="inlineStr">
        <is>
          <t>0                      GV 1785000A  1                  L  38          1992</t>
        </is>
      </c>
      <c r="D1285" t="inlineStr">
        <is>
          <t>Dancers : photographs / by Annie Leibovitz.</t>
        </is>
      </c>
      <c r="F1285" t="inlineStr">
        <is>
          <t>No</t>
        </is>
      </c>
      <c r="G1285" t="inlineStr">
        <is>
          <t>1</t>
        </is>
      </c>
      <c r="H1285" t="inlineStr">
        <is>
          <t>No</t>
        </is>
      </c>
      <c r="I1285" t="inlineStr">
        <is>
          <t>No</t>
        </is>
      </c>
      <c r="J1285" t="inlineStr">
        <is>
          <t>0</t>
        </is>
      </c>
      <c r="K1285" t="inlineStr">
        <is>
          <t>Leibovitz, Annie, 1949-</t>
        </is>
      </c>
      <c r="L1285" t="inlineStr">
        <is>
          <t>Washington : Smithsonian Institution Press, c1992.</t>
        </is>
      </c>
      <c r="M1285" t="inlineStr">
        <is>
          <t>1992</t>
        </is>
      </c>
      <c r="N1285" t="inlineStr">
        <is>
          <t>1st ed.</t>
        </is>
      </c>
      <c r="O1285" t="inlineStr">
        <is>
          <t>eng</t>
        </is>
      </c>
      <c r="P1285" t="inlineStr">
        <is>
          <t>dcu</t>
        </is>
      </c>
      <c r="Q1285" t="inlineStr">
        <is>
          <t>Photographers at work</t>
        </is>
      </c>
      <c r="R1285" t="inlineStr">
        <is>
          <t xml:space="preserve">GV </t>
        </is>
      </c>
      <c r="S1285" t="n">
        <v>12</v>
      </c>
      <c r="T1285" t="n">
        <v>12</v>
      </c>
      <c r="U1285" t="inlineStr">
        <is>
          <t>2006-10-10</t>
        </is>
      </c>
      <c r="V1285" t="inlineStr">
        <is>
          <t>2006-10-10</t>
        </is>
      </c>
      <c r="W1285" t="inlineStr">
        <is>
          <t>1994-04-18</t>
        </is>
      </c>
      <c r="X1285" t="inlineStr">
        <is>
          <t>1994-04-18</t>
        </is>
      </c>
      <c r="Y1285" t="n">
        <v>357</v>
      </c>
      <c r="Z1285" t="n">
        <v>306</v>
      </c>
      <c r="AA1285" t="n">
        <v>309</v>
      </c>
      <c r="AB1285" t="n">
        <v>2</v>
      </c>
      <c r="AC1285" t="n">
        <v>2</v>
      </c>
      <c r="AD1285" t="n">
        <v>7</v>
      </c>
      <c r="AE1285" t="n">
        <v>7</v>
      </c>
      <c r="AF1285" t="n">
        <v>3</v>
      </c>
      <c r="AG1285" t="n">
        <v>3</v>
      </c>
      <c r="AH1285" t="n">
        <v>3</v>
      </c>
      <c r="AI1285" t="n">
        <v>3</v>
      </c>
      <c r="AJ1285" t="n">
        <v>3</v>
      </c>
      <c r="AK1285" t="n">
        <v>3</v>
      </c>
      <c r="AL1285" t="n">
        <v>1</v>
      </c>
      <c r="AM1285" t="n">
        <v>1</v>
      </c>
      <c r="AN1285" t="n">
        <v>0</v>
      </c>
      <c r="AO1285" t="n">
        <v>0</v>
      </c>
      <c r="AP1285" t="inlineStr">
        <is>
          <t>No</t>
        </is>
      </c>
      <c r="AQ1285" t="inlineStr">
        <is>
          <t>Yes</t>
        </is>
      </c>
      <c r="AR1285">
        <f>HYPERLINK("http://catalog.hathitrust.org/Record/002595378","HathiTrust Record")</f>
        <v/>
      </c>
      <c r="AS1285">
        <f>HYPERLINK("https://creighton-primo.hosted.exlibrisgroup.com/primo-explore/search?tab=default_tab&amp;search_scope=EVERYTHING&amp;vid=01CRU&amp;lang=en_US&amp;offset=0&amp;query=any,contains,991002015519702656","Catalog Record")</f>
        <v/>
      </c>
      <c r="AT1285">
        <f>HYPERLINK("http://www.worldcat.org/oclc/25631429","WorldCat Record")</f>
        <v/>
      </c>
      <c r="AU1285" t="inlineStr">
        <is>
          <t>28299941:eng</t>
        </is>
      </c>
      <c r="AV1285" t="inlineStr">
        <is>
          <t>25631429</t>
        </is>
      </c>
      <c r="AW1285" t="inlineStr">
        <is>
          <t>991002015519702656</t>
        </is>
      </c>
      <c r="AX1285" t="inlineStr">
        <is>
          <t>991002015519702656</t>
        </is>
      </c>
      <c r="AY1285" t="inlineStr">
        <is>
          <t>2266522500002656</t>
        </is>
      </c>
      <c r="AZ1285" t="inlineStr">
        <is>
          <t>BOOK</t>
        </is>
      </c>
      <c r="BB1285" t="inlineStr">
        <is>
          <t>9781560982081</t>
        </is>
      </c>
      <c r="BC1285" t="inlineStr">
        <is>
          <t>32285001875334</t>
        </is>
      </c>
      <c r="BD1285" t="inlineStr">
        <is>
          <t>893408590</t>
        </is>
      </c>
    </row>
    <row r="1286">
      <c r="A1286" t="inlineStr">
        <is>
          <t>No</t>
        </is>
      </c>
      <c r="B1286" t="inlineStr">
        <is>
          <t>GV1785.A1 S72</t>
        </is>
      </c>
      <c r="C1286" t="inlineStr">
        <is>
          <t>0                      GV 1785000A  1                  S  72</t>
        </is>
      </c>
      <c r="D1286" t="inlineStr">
        <is>
          <t>Striking a balance : dancers talk about dancing / [interviewed by] Barbara Newman.</t>
        </is>
      </c>
      <c r="F1286" t="inlineStr">
        <is>
          <t>No</t>
        </is>
      </c>
      <c r="G1286" t="inlineStr">
        <is>
          <t>1</t>
        </is>
      </c>
      <c r="H1286" t="inlineStr">
        <is>
          <t>No</t>
        </is>
      </c>
      <c r="I1286" t="inlineStr">
        <is>
          <t>No</t>
        </is>
      </c>
      <c r="J1286" t="inlineStr">
        <is>
          <t>0</t>
        </is>
      </c>
      <c r="L1286" t="inlineStr">
        <is>
          <t>Boston : Houghton Mifflin, 1982.</t>
        </is>
      </c>
      <c r="M1286" t="inlineStr">
        <is>
          <t>1982</t>
        </is>
      </c>
      <c r="O1286" t="inlineStr">
        <is>
          <t>eng</t>
        </is>
      </c>
      <c r="P1286" t="inlineStr">
        <is>
          <t>mau</t>
        </is>
      </c>
      <c r="R1286" t="inlineStr">
        <is>
          <t xml:space="preserve">GV </t>
        </is>
      </c>
      <c r="S1286" t="n">
        <v>6</v>
      </c>
      <c r="T1286" t="n">
        <v>6</v>
      </c>
      <c r="U1286" t="inlineStr">
        <is>
          <t>2006-03-21</t>
        </is>
      </c>
      <c r="V1286" t="inlineStr">
        <is>
          <t>2006-03-21</t>
        </is>
      </c>
      <c r="W1286" t="inlineStr">
        <is>
          <t>1990-08-03</t>
        </is>
      </c>
      <c r="X1286" t="inlineStr">
        <is>
          <t>1990-08-03</t>
        </is>
      </c>
      <c r="Y1286" t="n">
        <v>453</v>
      </c>
      <c r="Z1286" t="n">
        <v>424</v>
      </c>
      <c r="AA1286" t="n">
        <v>529</v>
      </c>
      <c r="AB1286" t="n">
        <v>1</v>
      </c>
      <c r="AC1286" t="n">
        <v>1</v>
      </c>
      <c r="AD1286" t="n">
        <v>12</v>
      </c>
      <c r="AE1286" t="n">
        <v>15</v>
      </c>
      <c r="AF1286" t="n">
        <v>7</v>
      </c>
      <c r="AG1286" t="n">
        <v>8</v>
      </c>
      <c r="AH1286" t="n">
        <v>2</v>
      </c>
      <c r="AI1286" t="n">
        <v>2</v>
      </c>
      <c r="AJ1286" t="n">
        <v>5</v>
      </c>
      <c r="AK1286" t="n">
        <v>8</v>
      </c>
      <c r="AL1286" t="n">
        <v>0</v>
      </c>
      <c r="AM1286" t="n">
        <v>0</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HYPERLINK("https://creighton-primo.hosted.exlibrisgroup.com/primo-explore/search?tab=default_tab&amp;search_scope=EVERYTHING&amp;vid=01CRU&amp;lang=en_US&amp;offset=0&amp;query=any,contains,991005165749702656","Catalog Record")</f>
        <v/>
      </c>
      <c r="AT1286">
        <f>HYPERLINK("http://www.worldcat.org/oclc/7835169","WorldCat Record")</f>
        <v/>
      </c>
      <c r="AU1286" t="inlineStr">
        <is>
          <t>509288326:eng</t>
        </is>
      </c>
      <c r="AV1286" t="inlineStr">
        <is>
          <t>7835169</t>
        </is>
      </c>
      <c r="AW1286" t="inlineStr">
        <is>
          <t>991005165749702656</t>
        </is>
      </c>
      <c r="AX1286" t="inlineStr">
        <is>
          <t>991005165749702656</t>
        </is>
      </c>
      <c r="AY1286" t="inlineStr">
        <is>
          <t>2255051230002656</t>
        </is>
      </c>
      <c r="AZ1286" t="inlineStr">
        <is>
          <t>BOOK</t>
        </is>
      </c>
      <c r="BB1286" t="inlineStr">
        <is>
          <t>9780395313251</t>
        </is>
      </c>
      <c r="BC1286" t="inlineStr">
        <is>
          <t>32285000265966</t>
        </is>
      </c>
      <c r="BD1286" t="inlineStr">
        <is>
          <t>893326268</t>
        </is>
      </c>
    </row>
    <row r="1287">
      <c r="A1287" t="inlineStr">
        <is>
          <t>No</t>
        </is>
      </c>
      <c r="B1287" t="inlineStr">
        <is>
          <t>GV1785.A1 T39 1978</t>
        </is>
      </c>
      <c r="C1287" t="inlineStr">
        <is>
          <t>0                      GV 1785000A  1                  T  39          1978</t>
        </is>
      </c>
      <c r="D1287" t="inlineStr">
        <is>
          <t>Great male dancers of the ballet / Walter Terry ; [designed by Judith Adel].</t>
        </is>
      </c>
      <c r="F1287" t="inlineStr">
        <is>
          <t>No</t>
        </is>
      </c>
      <c r="G1287" t="inlineStr">
        <is>
          <t>1</t>
        </is>
      </c>
      <c r="H1287" t="inlineStr">
        <is>
          <t>No</t>
        </is>
      </c>
      <c r="I1287" t="inlineStr">
        <is>
          <t>No</t>
        </is>
      </c>
      <c r="J1287" t="inlineStr">
        <is>
          <t>0</t>
        </is>
      </c>
      <c r="K1287" t="inlineStr">
        <is>
          <t>Terry, Walter.</t>
        </is>
      </c>
      <c r="L1287" t="inlineStr">
        <is>
          <t>Garden City, N.Y. : Anchor Press, 1978.</t>
        </is>
      </c>
      <c r="M1287" t="inlineStr">
        <is>
          <t>1978</t>
        </is>
      </c>
      <c r="N1287" t="inlineStr">
        <is>
          <t>1st ed.</t>
        </is>
      </c>
      <c r="O1287" t="inlineStr">
        <is>
          <t>eng</t>
        </is>
      </c>
      <c r="P1287" t="inlineStr">
        <is>
          <t>nyu</t>
        </is>
      </c>
      <c r="R1287" t="inlineStr">
        <is>
          <t xml:space="preserve">GV </t>
        </is>
      </c>
      <c r="S1287" t="n">
        <v>3</v>
      </c>
      <c r="T1287" t="n">
        <v>3</v>
      </c>
      <c r="U1287" t="inlineStr">
        <is>
          <t>2004-12-07</t>
        </is>
      </c>
      <c r="V1287" t="inlineStr">
        <is>
          <t>2004-12-07</t>
        </is>
      </c>
      <c r="W1287" t="inlineStr">
        <is>
          <t>2002-12-10</t>
        </is>
      </c>
      <c r="X1287" t="inlineStr">
        <is>
          <t>2002-12-10</t>
        </is>
      </c>
      <c r="Y1287" t="n">
        <v>482</v>
      </c>
      <c r="Z1287" t="n">
        <v>451</v>
      </c>
      <c r="AA1287" t="n">
        <v>457</v>
      </c>
      <c r="AB1287" t="n">
        <v>2</v>
      </c>
      <c r="AC1287" t="n">
        <v>2</v>
      </c>
      <c r="AD1287" t="n">
        <v>11</v>
      </c>
      <c r="AE1287" t="n">
        <v>11</v>
      </c>
      <c r="AF1287" t="n">
        <v>5</v>
      </c>
      <c r="AG1287" t="n">
        <v>5</v>
      </c>
      <c r="AH1287" t="n">
        <v>2</v>
      </c>
      <c r="AI1287" t="n">
        <v>2</v>
      </c>
      <c r="AJ1287" t="n">
        <v>7</v>
      </c>
      <c r="AK1287" t="n">
        <v>7</v>
      </c>
      <c r="AL1287" t="n">
        <v>1</v>
      </c>
      <c r="AM1287" t="n">
        <v>1</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HYPERLINK("https://creighton-primo.hosted.exlibrisgroup.com/primo-explore/search?tab=default_tab&amp;search_scope=EVERYTHING&amp;vid=01CRU&amp;lang=en_US&amp;offset=0&amp;query=any,contains,991003958819702656","Catalog Record")</f>
        <v/>
      </c>
      <c r="AT1287">
        <f>HYPERLINK("http://www.worldcat.org/oclc/4037373","WorldCat Record")</f>
        <v/>
      </c>
      <c r="AU1287" t="inlineStr">
        <is>
          <t>4887578:eng</t>
        </is>
      </c>
      <c r="AV1287" t="inlineStr">
        <is>
          <t>4037373</t>
        </is>
      </c>
      <c r="AW1287" t="inlineStr">
        <is>
          <t>991003958819702656</t>
        </is>
      </c>
      <c r="AX1287" t="inlineStr">
        <is>
          <t>991003958819702656</t>
        </is>
      </c>
      <c r="AY1287" t="inlineStr">
        <is>
          <t>2269078240002656</t>
        </is>
      </c>
      <c r="AZ1287" t="inlineStr">
        <is>
          <t>BOOK</t>
        </is>
      </c>
      <c r="BB1287" t="inlineStr">
        <is>
          <t>9780385041973</t>
        </is>
      </c>
      <c r="BC1287" t="inlineStr">
        <is>
          <t>32285004669361</t>
        </is>
      </c>
      <c r="BD1287" t="inlineStr">
        <is>
          <t>893593108</t>
        </is>
      </c>
    </row>
    <row r="1288">
      <c r="A1288" t="inlineStr">
        <is>
          <t>No</t>
        </is>
      </c>
      <c r="B1288" t="inlineStr">
        <is>
          <t>GV1785.A1 W26</t>
        </is>
      </c>
      <c r="C1288" t="inlineStr">
        <is>
          <t>0                      GV 1785000A  1                  W  26</t>
        </is>
      </c>
      <c r="D1288" t="inlineStr">
        <is>
          <t>Waldman on dance / by Max Waldman ; with an introd. by Clive Barnes.</t>
        </is>
      </c>
      <c r="F1288" t="inlineStr">
        <is>
          <t>No</t>
        </is>
      </c>
      <c r="G1288" t="inlineStr">
        <is>
          <t>1</t>
        </is>
      </c>
      <c r="H1288" t="inlineStr">
        <is>
          <t>No</t>
        </is>
      </c>
      <c r="I1288" t="inlineStr">
        <is>
          <t>No</t>
        </is>
      </c>
      <c r="J1288" t="inlineStr">
        <is>
          <t>0</t>
        </is>
      </c>
      <c r="K1288" t="inlineStr">
        <is>
          <t>Waldman, Max.</t>
        </is>
      </c>
      <c r="L1288" t="inlineStr">
        <is>
          <t>New York : Morrow, 1977.</t>
        </is>
      </c>
      <c r="M1288" t="inlineStr">
        <is>
          <t>1977</t>
        </is>
      </c>
      <c r="O1288" t="inlineStr">
        <is>
          <t>eng</t>
        </is>
      </c>
      <c r="P1288" t="inlineStr">
        <is>
          <t>nyu</t>
        </is>
      </c>
      <c r="R1288" t="inlineStr">
        <is>
          <t xml:space="preserve">GV </t>
        </is>
      </c>
      <c r="S1288" t="n">
        <v>8</v>
      </c>
      <c r="T1288" t="n">
        <v>8</v>
      </c>
      <c r="U1288" t="inlineStr">
        <is>
          <t>2004-10-01</t>
        </is>
      </c>
      <c r="V1288" t="inlineStr">
        <is>
          <t>2004-10-01</t>
        </is>
      </c>
      <c r="W1288" t="inlineStr">
        <is>
          <t>1990-08-03</t>
        </is>
      </c>
      <c r="X1288" t="inlineStr">
        <is>
          <t>1990-08-03</t>
        </is>
      </c>
      <c r="Y1288" t="n">
        <v>323</v>
      </c>
      <c r="Z1288" t="n">
        <v>293</v>
      </c>
      <c r="AA1288" t="n">
        <v>299</v>
      </c>
      <c r="AB1288" t="n">
        <v>2</v>
      </c>
      <c r="AC1288" t="n">
        <v>2</v>
      </c>
      <c r="AD1288" t="n">
        <v>6</v>
      </c>
      <c r="AE1288" t="n">
        <v>6</v>
      </c>
      <c r="AF1288" t="n">
        <v>2</v>
      </c>
      <c r="AG1288" t="n">
        <v>2</v>
      </c>
      <c r="AH1288" t="n">
        <v>2</v>
      </c>
      <c r="AI1288" t="n">
        <v>2</v>
      </c>
      <c r="AJ1288" t="n">
        <v>3</v>
      </c>
      <c r="AK1288" t="n">
        <v>3</v>
      </c>
      <c r="AL1288" t="n">
        <v>1</v>
      </c>
      <c r="AM1288" t="n">
        <v>1</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HYPERLINK("https://creighton-primo.hosted.exlibrisgroup.com/primo-explore/search?tab=default_tab&amp;search_scope=EVERYTHING&amp;vid=01CRU&amp;lang=en_US&amp;offset=0&amp;query=any,contains,991004297199702656","Catalog Record")</f>
        <v/>
      </c>
      <c r="AT1288">
        <f>HYPERLINK("http://www.worldcat.org/oclc/2965932","WorldCat Record")</f>
        <v/>
      </c>
      <c r="AU1288" t="inlineStr">
        <is>
          <t>495553890:eng</t>
        </is>
      </c>
      <c r="AV1288" t="inlineStr">
        <is>
          <t>2965932</t>
        </is>
      </c>
      <c r="AW1288" t="inlineStr">
        <is>
          <t>991004297199702656</t>
        </is>
      </c>
      <c r="AX1288" t="inlineStr">
        <is>
          <t>991004297199702656</t>
        </is>
      </c>
      <c r="AY1288" t="inlineStr">
        <is>
          <t>2270186300002656</t>
        </is>
      </c>
      <c r="AZ1288" t="inlineStr">
        <is>
          <t>BOOK</t>
        </is>
      </c>
      <c r="BB1288" t="inlineStr">
        <is>
          <t>9780688032272</t>
        </is>
      </c>
      <c r="BC1288" t="inlineStr">
        <is>
          <t>32285000265974</t>
        </is>
      </c>
      <c r="BD1288" t="inlineStr">
        <is>
          <t>893446129</t>
        </is>
      </c>
    </row>
    <row r="1289">
      <c r="A1289" t="inlineStr">
        <is>
          <t>No</t>
        </is>
      </c>
      <c r="B1289" t="inlineStr">
        <is>
          <t>GV1785.A3 G35 2002</t>
        </is>
      </c>
      <c r="C1289" t="inlineStr">
        <is>
          <t>0                      GV 1785000A  3                  G  35          2002</t>
        </is>
      </c>
      <c r="D1289" t="inlineStr">
        <is>
          <t>Astaire &amp; Rogers / Edward Gallafent.</t>
        </is>
      </c>
      <c r="F1289" t="inlineStr">
        <is>
          <t>No</t>
        </is>
      </c>
      <c r="G1289" t="inlineStr">
        <is>
          <t>1</t>
        </is>
      </c>
      <c r="H1289" t="inlineStr">
        <is>
          <t>No</t>
        </is>
      </c>
      <c r="I1289" t="inlineStr">
        <is>
          <t>No</t>
        </is>
      </c>
      <c r="J1289" t="inlineStr">
        <is>
          <t>0</t>
        </is>
      </c>
      <c r="K1289" t="inlineStr">
        <is>
          <t>Gallafent, Edward.</t>
        </is>
      </c>
      <c r="L1289" t="inlineStr">
        <is>
          <t>New York : Columbia University Press, 2002.</t>
        </is>
      </c>
      <c r="M1289" t="inlineStr">
        <is>
          <t>2002</t>
        </is>
      </c>
      <c r="O1289" t="inlineStr">
        <is>
          <t>eng</t>
        </is>
      </c>
      <c r="P1289" t="inlineStr">
        <is>
          <t>nyu</t>
        </is>
      </c>
      <c r="R1289" t="inlineStr">
        <is>
          <t xml:space="preserve">GV </t>
        </is>
      </c>
      <c r="S1289" t="n">
        <v>1</v>
      </c>
      <c r="T1289" t="n">
        <v>1</v>
      </c>
      <c r="U1289" t="inlineStr">
        <is>
          <t>2009-02-09</t>
        </is>
      </c>
      <c r="V1289" t="inlineStr">
        <is>
          <t>2009-02-09</t>
        </is>
      </c>
      <c r="W1289" t="inlineStr">
        <is>
          <t>2002-04-30</t>
        </is>
      </c>
      <c r="X1289" t="inlineStr">
        <is>
          <t>2002-04-30</t>
        </is>
      </c>
      <c r="Y1289" t="n">
        <v>610</v>
      </c>
      <c r="Z1289" t="n">
        <v>573</v>
      </c>
      <c r="AA1289" t="n">
        <v>579</v>
      </c>
      <c r="AB1289" t="n">
        <v>3</v>
      </c>
      <c r="AC1289" t="n">
        <v>3</v>
      </c>
      <c r="AD1289" t="n">
        <v>16</v>
      </c>
      <c r="AE1289" t="n">
        <v>16</v>
      </c>
      <c r="AF1289" t="n">
        <v>7</v>
      </c>
      <c r="AG1289" t="n">
        <v>7</v>
      </c>
      <c r="AH1289" t="n">
        <v>3</v>
      </c>
      <c r="AI1289" t="n">
        <v>3</v>
      </c>
      <c r="AJ1289" t="n">
        <v>9</v>
      </c>
      <c r="AK1289" t="n">
        <v>9</v>
      </c>
      <c r="AL1289" t="n">
        <v>1</v>
      </c>
      <c r="AM1289" t="n">
        <v>1</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HYPERLINK("https://creighton-primo.hosted.exlibrisgroup.com/primo-explore/search?tab=default_tab&amp;search_scope=EVERYTHING&amp;vid=01CRU&amp;lang=en_US&amp;offset=0&amp;query=any,contains,991003755279702656","Catalog Record")</f>
        <v/>
      </c>
      <c r="AT1289">
        <f>HYPERLINK("http://www.worldcat.org/oclc/48375981","WorldCat Record")</f>
        <v/>
      </c>
      <c r="AU1289" t="inlineStr">
        <is>
          <t>991884:eng</t>
        </is>
      </c>
      <c r="AV1289" t="inlineStr">
        <is>
          <t>48375981</t>
        </is>
      </c>
      <c r="AW1289" t="inlineStr">
        <is>
          <t>991003755279702656</t>
        </is>
      </c>
      <c r="AX1289" t="inlineStr">
        <is>
          <t>991003755279702656</t>
        </is>
      </c>
      <c r="AY1289" t="inlineStr">
        <is>
          <t>2266051000002656</t>
        </is>
      </c>
      <c r="AZ1289" t="inlineStr">
        <is>
          <t>BOOK</t>
        </is>
      </c>
      <c r="BB1289" t="inlineStr">
        <is>
          <t>9780231126267</t>
        </is>
      </c>
      <c r="BC1289" t="inlineStr">
        <is>
          <t>32285004484886</t>
        </is>
      </c>
      <c r="BD1289" t="inlineStr">
        <is>
          <t>893900311</t>
        </is>
      </c>
    </row>
    <row r="1290">
      <c r="A1290" t="inlineStr">
        <is>
          <t>No</t>
        </is>
      </c>
      <c r="B1290" t="inlineStr">
        <is>
          <t>GV1785.B3 A2913 1977</t>
        </is>
      </c>
      <c r="C1290" t="inlineStr">
        <is>
          <t>0                      GV 1785000B  3                  A  2913        1977</t>
        </is>
      </c>
      <c r="D1290" t="inlineStr">
        <is>
          <t>Josephine / by Josephine Baker and Jo Bouillon ; translated from the French by Mariana Fitzpatrick.</t>
        </is>
      </c>
      <c r="F1290" t="inlineStr">
        <is>
          <t>No</t>
        </is>
      </c>
      <c r="G1290" t="inlineStr">
        <is>
          <t>1</t>
        </is>
      </c>
      <c r="H1290" t="inlineStr">
        <is>
          <t>No</t>
        </is>
      </c>
      <c r="I1290" t="inlineStr">
        <is>
          <t>No</t>
        </is>
      </c>
      <c r="J1290" t="inlineStr">
        <is>
          <t>0</t>
        </is>
      </c>
      <c r="K1290" t="inlineStr">
        <is>
          <t>Baker, Josephine, 1906-1975.</t>
        </is>
      </c>
      <c r="L1290" t="inlineStr">
        <is>
          <t>New York : Harper &amp; Row, c1977.</t>
        </is>
      </c>
      <c r="M1290" t="inlineStr">
        <is>
          <t>1977</t>
        </is>
      </c>
      <c r="N1290" t="inlineStr">
        <is>
          <t>1st ed.</t>
        </is>
      </c>
      <c r="O1290" t="inlineStr">
        <is>
          <t>eng</t>
        </is>
      </c>
      <c r="P1290" t="inlineStr">
        <is>
          <t>nyu</t>
        </is>
      </c>
      <c r="R1290" t="inlineStr">
        <is>
          <t xml:space="preserve">GV </t>
        </is>
      </c>
      <c r="S1290" t="n">
        <v>5</v>
      </c>
      <c r="T1290" t="n">
        <v>5</v>
      </c>
      <c r="U1290" t="inlineStr">
        <is>
          <t>2005-01-24</t>
        </is>
      </c>
      <c r="V1290" t="inlineStr">
        <is>
          <t>2005-01-24</t>
        </is>
      </c>
      <c r="W1290" t="inlineStr">
        <is>
          <t>1990-11-05</t>
        </is>
      </c>
      <c r="X1290" t="inlineStr">
        <is>
          <t>1990-11-05</t>
        </is>
      </c>
      <c r="Y1290" t="n">
        <v>642</v>
      </c>
      <c r="Z1290" t="n">
        <v>614</v>
      </c>
      <c r="AA1290" t="n">
        <v>796</v>
      </c>
      <c r="AB1290" t="n">
        <v>3</v>
      </c>
      <c r="AC1290" t="n">
        <v>4</v>
      </c>
      <c r="AD1290" t="n">
        <v>6</v>
      </c>
      <c r="AE1290" t="n">
        <v>11</v>
      </c>
      <c r="AF1290" t="n">
        <v>1</v>
      </c>
      <c r="AG1290" t="n">
        <v>3</v>
      </c>
      <c r="AH1290" t="n">
        <v>2</v>
      </c>
      <c r="AI1290" t="n">
        <v>3</v>
      </c>
      <c r="AJ1290" t="n">
        <v>3</v>
      </c>
      <c r="AK1290" t="n">
        <v>5</v>
      </c>
      <c r="AL1290" t="n">
        <v>1</v>
      </c>
      <c r="AM1290" t="n">
        <v>1</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HYPERLINK("https://creighton-primo.hosted.exlibrisgroup.com/primo-explore/search?tab=default_tab&amp;search_scope=EVERYTHING&amp;vid=01CRU&amp;lang=en_US&amp;offset=0&amp;query=any,contains,991004315879702656","Catalog Record")</f>
        <v/>
      </c>
      <c r="AT1290">
        <f>HYPERLINK("http://www.worldcat.org/oclc/3003854","WorldCat Record")</f>
        <v/>
      </c>
      <c r="AU1290" t="inlineStr">
        <is>
          <t>402153:eng</t>
        </is>
      </c>
      <c r="AV1290" t="inlineStr">
        <is>
          <t>3003854</t>
        </is>
      </c>
      <c r="AW1290" t="inlineStr">
        <is>
          <t>991004315879702656</t>
        </is>
      </c>
      <c r="AX1290" t="inlineStr">
        <is>
          <t>991004315879702656</t>
        </is>
      </c>
      <c r="AY1290" t="inlineStr">
        <is>
          <t>2272771440002656</t>
        </is>
      </c>
      <c r="AZ1290" t="inlineStr">
        <is>
          <t>BOOK</t>
        </is>
      </c>
      <c r="BB1290" t="inlineStr">
        <is>
          <t>9780060102128</t>
        </is>
      </c>
      <c r="BC1290" t="inlineStr">
        <is>
          <t>32285000385459</t>
        </is>
      </c>
      <c r="BD1290" t="inlineStr">
        <is>
          <t>893712439</t>
        </is>
      </c>
    </row>
    <row r="1291">
      <c r="A1291" t="inlineStr">
        <is>
          <t>No</t>
        </is>
      </c>
      <c r="B1291" t="inlineStr">
        <is>
          <t>GV1785.B348 A33 1978</t>
        </is>
      </c>
      <c r="C1291" t="inlineStr">
        <is>
          <t>0                      GV 1785000B  348                A  33          1978</t>
        </is>
      </c>
      <c r="D1291" t="inlineStr">
        <is>
          <t>Baryshnikov at work : Mikhail Baryshnikov discusses his roles / photographs by Martha Swope ; text edited and introduced by Charles Engell France.</t>
        </is>
      </c>
      <c r="F1291" t="inlineStr">
        <is>
          <t>No</t>
        </is>
      </c>
      <c r="G1291" t="inlineStr">
        <is>
          <t>1</t>
        </is>
      </c>
      <c r="H1291" t="inlineStr">
        <is>
          <t>No</t>
        </is>
      </c>
      <c r="I1291" t="inlineStr">
        <is>
          <t>No</t>
        </is>
      </c>
      <c r="J1291" t="inlineStr">
        <is>
          <t>0</t>
        </is>
      </c>
      <c r="K1291" t="inlineStr">
        <is>
          <t>Baryshnikov, Mikhail, 1948-</t>
        </is>
      </c>
      <c r="L1291" t="inlineStr">
        <is>
          <t>New York : Knopf : distributed by Random House, 1978.</t>
        </is>
      </c>
      <c r="M1291" t="inlineStr">
        <is>
          <t>1978</t>
        </is>
      </c>
      <c r="O1291" t="inlineStr">
        <is>
          <t>eng</t>
        </is>
      </c>
      <c r="P1291" t="inlineStr">
        <is>
          <t>nyu</t>
        </is>
      </c>
      <c r="R1291" t="inlineStr">
        <is>
          <t xml:space="preserve">GV </t>
        </is>
      </c>
      <c r="S1291" t="n">
        <v>6</v>
      </c>
      <c r="T1291" t="n">
        <v>6</v>
      </c>
      <c r="U1291" t="inlineStr">
        <is>
          <t>2000-10-11</t>
        </is>
      </c>
      <c r="V1291" t="inlineStr">
        <is>
          <t>2000-10-11</t>
        </is>
      </c>
      <c r="W1291" t="inlineStr">
        <is>
          <t>1999-01-20</t>
        </is>
      </c>
      <c r="X1291" t="inlineStr">
        <is>
          <t>1999-01-20</t>
        </is>
      </c>
      <c r="Y1291" t="n">
        <v>89</v>
      </c>
      <c r="Z1291" t="n">
        <v>80</v>
      </c>
      <c r="AA1291" t="n">
        <v>730</v>
      </c>
      <c r="AB1291" t="n">
        <v>2</v>
      </c>
      <c r="AC1291" t="n">
        <v>4</v>
      </c>
      <c r="AD1291" t="n">
        <v>3</v>
      </c>
      <c r="AE1291" t="n">
        <v>13</v>
      </c>
      <c r="AF1291" t="n">
        <v>3</v>
      </c>
      <c r="AG1291" t="n">
        <v>7</v>
      </c>
      <c r="AH1291" t="n">
        <v>1</v>
      </c>
      <c r="AI1291" t="n">
        <v>4</v>
      </c>
      <c r="AJ1291" t="n">
        <v>0</v>
      </c>
      <c r="AK1291" t="n">
        <v>4</v>
      </c>
      <c r="AL1291" t="n">
        <v>0</v>
      </c>
      <c r="AM1291" t="n">
        <v>2</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HYPERLINK("https://creighton-primo.hosted.exlibrisgroup.com/primo-explore/search?tab=default_tab&amp;search_scope=EVERYTHING&amp;vid=01CRU&amp;lang=en_US&amp;offset=0&amp;query=any,contains,991004939409702656","Catalog Record")</f>
        <v/>
      </c>
      <c r="AT1291">
        <f>HYPERLINK("http://www.worldcat.org/oclc/6168345","WorldCat Record")</f>
        <v/>
      </c>
      <c r="AU1291" t="inlineStr">
        <is>
          <t>476927154:eng</t>
        </is>
      </c>
      <c r="AV1291" t="inlineStr">
        <is>
          <t>6168345</t>
        </is>
      </c>
      <c r="AW1291" t="inlineStr">
        <is>
          <t>991004939409702656</t>
        </is>
      </c>
      <c r="AX1291" t="inlineStr">
        <is>
          <t>991004939409702656</t>
        </is>
      </c>
      <c r="AY1291" t="inlineStr">
        <is>
          <t>2260543950002656</t>
        </is>
      </c>
      <c r="AZ1291" t="inlineStr">
        <is>
          <t>BOOK</t>
        </is>
      </c>
      <c r="BB1291" t="inlineStr">
        <is>
          <t>9780394403458</t>
        </is>
      </c>
      <c r="BC1291" t="inlineStr">
        <is>
          <t>32285003514147</t>
        </is>
      </c>
      <c r="BD1291" t="inlineStr">
        <is>
          <t>893606611</t>
        </is>
      </c>
    </row>
    <row r="1292">
      <c r="A1292" t="inlineStr">
        <is>
          <t>No</t>
        </is>
      </c>
      <c r="B1292" t="inlineStr">
        <is>
          <t>GV1785.B348 G59 2001</t>
        </is>
      </c>
      <c r="C1292" t="inlineStr">
        <is>
          <t>0                      GV 1785000B  348                G  59          2001</t>
        </is>
      </c>
      <c r="D1292" t="inlineStr">
        <is>
          <t>Mikhail Baryshnikov, dance genius / by Bruce Glassman.</t>
        </is>
      </c>
      <c r="F1292" t="inlineStr">
        <is>
          <t>No</t>
        </is>
      </c>
      <c r="G1292" t="inlineStr">
        <is>
          <t>1</t>
        </is>
      </c>
      <c r="H1292" t="inlineStr">
        <is>
          <t>No</t>
        </is>
      </c>
      <c r="I1292" t="inlineStr">
        <is>
          <t>No</t>
        </is>
      </c>
      <c r="J1292" t="inlineStr">
        <is>
          <t>0</t>
        </is>
      </c>
      <c r="K1292" t="inlineStr">
        <is>
          <t>Glassman, Bruce.</t>
        </is>
      </c>
      <c r="L1292" t="inlineStr">
        <is>
          <t>Woodbridge, CT : Blackbirch Press, c2001.</t>
        </is>
      </c>
      <c r="M1292" t="inlineStr">
        <is>
          <t>2001</t>
        </is>
      </c>
      <c r="O1292" t="inlineStr">
        <is>
          <t>eng</t>
        </is>
      </c>
      <c r="P1292" t="inlineStr">
        <is>
          <t>ctu</t>
        </is>
      </c>
      <c r="Q1292" t="inlineStr">
        <is>
          <t>Giants of art and culture</t>
        </is>
      </c>
      <c r="R1292" t="inlineStr">
        <is>
          <t xml:space="preserve">GV </t>
        </is>
      </c>
      <c r="S1292" t="n">
        <v>1</v>
      </c>
      <c r="T1292" t="n">
        <v>1</v>
      </c>
      <c r="U1292" t="inlineStr">
        <is>
          <t>2003-02-05</t>
        </is>
      </c>
      <c r="V1292" t="inlineStr">
        <is>
          <t>2003-02-05</t>
        </is>
      </c>
      <c r="W1292" t="inlineStr">
        <is>
          <t>2003-02-05</t>
        </is>
      </c>
      <c r="X1292" t="inlineStr">
        <is>
          <t>2003-02-05</t>
        </is>
      </c>
      <c r="Y1292" t="n">
        <v>172</v>
      </c>
      <c r="Z1292" t="n">
        <v>166</v>
      </c>
      <c r="AA1292" t="n">
        <v>380</v>
      </c>
      <c r="AB1292" t="n">
        <v>2</v>
      </c>
      <c r="AC1292" t="n">
        <v>3</v>
      </c>
      <c r="AD1292" t="n">
        <v>0</v>
      </c>
      <c r="AE1292" t="n">
        <v>1</v>
      </c>
      <c r="AF1292" t="n">
        <v>0</v>
      </c>
      <c r="AG1292" t="n">
        <v>0</v>
      </c>
      <c r="AH1292" t="n">
        <v>0</v>
      </c>
      <c r="AI1292" t="n">
        <v>0</v>
      </c>
      <c r="AJ1292" t="n">
        <v>0</v>
      </c>
      <c r="AK1292" t="n">
        <v>1</v>
      </c>
      <c r="AL1292" t="n">
        <v>0</v>
      </c>
      <c r="AM1292" t="n">
        <v>0</v>
      </c>
      <c r="AN1292" t="n">
        <v>0</v>
      </c>
      <c r="AO1292" t="n">
        <v>0</v>
      </c>
      <c r="AP1292" t="inlineStr">
        <is>
          <t>No</t>
        </is>
      </c>
      <c r="AQ1292" t="inlineStr">
        <is>
          <t>No</t>
        </is>
      </c>
      <c r="AS1292">
        <f>HYPERLINK("https://creighton-primo.hosted.exlibrisgroup.com/primo-explore/search?tab=default_tab&amp;search_scope=EVERYTHING&amp;vid=01CRU&amp;lang=en_US&amp;offset=0&amp;query=any,contains,991003978569702656","Catalog Record")</f>
        <v/>
      </c>
      <c r="AT1292">
        <f>HYPERLINK("http://www.worldcat.org/oclc/45356611","WorldCat Record")</f>
        <v/>
      </c>
      <c r="AU1292" t="inlineStr">
        <is>
          <t>2261093444:eng</t>
        </is>
      </c>
      <c r="AV1292" t="inlineStr">
        <is>
          <t>45356611</t>
        </is>
      </c>
      <c r="AW1292" t="inlineStr">
        <is>
          <t>991003978569702656</t>
        </is>
      </c>
      <c r="AX1292" t="inlineStr">
        <is>
          <t>991003978569702656</t>
        </is>
      </c>
      <c r="AY1292" t="inlineStr">
        <is>
          <t>2263345910002656</t>
        </is>
      </c>
      <c r="AZ1292" t="inlineStr">
        <is>
          <t>BOOK</t>
        </is>
      </c>
      <c r="BB1292" t="inlineStr">
        <is>
          <t>9781567115079</t>
        </is>
      </c>
      <c r="BC1292" t="inlineStr">
        <is>
          <t>32285004697420</t>
        </is>
      </c>
      <c r="BD1292" t="inlineStr">
        <is>
          <t>893402738</t>
        </is>
      </c>
    </row>
    <row r="1293">
      <c r="A1293" t="inlineStr">
        <is>
          <t>No</t>
        </is>
      </c>
      <c r="B1293" t="inlineStr">
        <is>
          <t>GV1785.B376 I7 2005</t>
        </is>
      </c>
      <c r="C1293" t="inlineStr">
        <is>
          <t>0                      GV 1785000B  376                I  7           2005</t>
        </is>
      </c>
      <c r="D1293" t="inlineStr">
        <is>
          <t>Irina : ballet, life and love / Irina Baronova.</t>
        </is>
      </c>
      <c r="F1293" t="inlineStr">
        <is>
          <t>No</t>
        </is>
      </c>
      <c r="G1293" t="inlineStr">
        <is>
          <t>1</t>
        </is>
      </c>
      <c r="H1293" t="inlineStr">
        <is>
          <t>No</t>
        </is>
      </c>
      <c r="I1293" t="inlineStr">
        <is>
          <t>No</t>
        </is>
      </c>
      <c r="J1293" t="inlineStr">
        <is>
          <t>0</t>
        </is>
      </c>
      <c r="K1293" t="inlineStr">
        <is>
          <t>Baronova, Irina.</t>
        </is>
      </c>
      <c r="L1293" t="inlineStr">
        <is>
          <t>Gainesville, Fla. : University Press of Florida, 2005.</t>
        </is>
      </c>
      <c r="M1293" t="inlineStr">
        <is>
          <t>2005</t>
        </is>
      </c>
      <c r="O1293" t="inlineStr">
        <is>
          <t>eng</t>
        </is>
      </c>
      <c r="P1293" t="inlineStr">
        <is>
          <t>flu</t>
        </is>
      </c>
      <c r="R1293" t="inlineStr">
        <is>
          <t xml:space="preserve">GV </t>
        </is>
      </c>
      <c r="S1293" t="n">
        <v>1</v>
      </c>
      <c r="T1293" t="n">
        <v>1</v>
      </c>
      <c r="U1293" t="inlineStr">
        <is>
          <t>2006-08-22</t>
        </is>
      </c>
      <c r="V1293" t="inlineStr">
        <is>
          <t>2006-08-22</t>
        </is>
      </c>
      <c r="W1293" t="inlineStr">
        <is>
          <t>2006-08-22</t>
        </is>
      </c>
      <c r="X1293" t="inlineStr">
        <is>
          <t>2006-08-22</t>
        </is>
      </c>
      <c r="Y1293" t="n">
        <v>412</v>
      </c>
      <c r="Z1293" t="n">
        <v>390</v>
      </c>
      <c r="AA1293" t="n">
        <v>412</v>
      </c>
      <c r="AB1293" t="n">
        <v>2</v>
      </c>
      <c r="AC1293" t="n">
        <v>2</v>
      </c>
      <c r="AD1293" t="n">
        <v>6</v>
      </c>
      <c r="AE1293" t="n">
        <v>6</v>
      </c>
      <c r="AF1293" t="n">
        <v>1</v>
      </c>
      <c r="AG1293" t="n">
        <v>1</v>
      </c>
      <c r="AH1293" t="n">
        <v>4</v>
      </c>
      <c r="AI1293" t="n">
        <v>4</v>
      </c>
      <c r="AJ1293" t="n">
        <v>3</v>
      </c>
      <c r="AK1293" t="n">
        <v>3</v>
      </c>
      <c r="AL1293" t="n">
        <v>1</v>
      </c>
      <c r="AM1293" t="n">
        <v>1</v>
      </c>
      <c r="AN1293" t="n">
        <v>0</v>
      </c>
      <c r="AO1293" t="n">
        <v>0</v>
      </c>
      <c r="AP1293" t="inlineStr">
        <is>
          <t>No</t>
        </is>
      </c>
      <c r="AQ1293" t="inlineStr">
        <is>
          <t>No</t>
        </is>
      </c>
      <c r="AS1293">
        <f>HYPERLINK("https://creighton-primo.hosted.exlibrisgroup.com/primo-explore/search?tab=default_tab&amp;search_scope=EVERYTHING&amp;vid=01CRU&amp;lang=en_US&amp;offset=0&amp;query=any,contains,991004850629702656","Catalog Record")</f>
        <v/>
      </c>
      <c r="AT1293">
        <f>HYPERLINK("http://www.worldcat.org/oclc/70920348","WorldCat Record")</f>
        <v/>
      </c>
      <c r="AU1293" t="inlineStr">
        <is>
          <t>196609052:eng</t>
        </is>
      </c>
      <c r="AV1293" t="inlineStr">
        <is>
          <t>70920348</t>
        </is>
      </c>
      <c r="AW1293" t="inlineStr">
        <is>
          <t>991004850629702656</t>
        </is>
      </c>
      <c r="AX1293" t="inlineStr">
        <is>
          <t>991004850629702656</t>
        </is>
      </c>
      <c r="AY1293" t="inlineStr">
        <is>
          <t>2261503940002656</t>
        </is>
      </c>
      <c r="AZ1293" t="inlineStr">
        <is>
          <t>BOOK</t>
        </is>
      </c>
      <c r="BB1293" t="inlineStr">
        <is>
          <t>9780813030265</t>
        </is>
      </c>
      <c r="BC1293" t="inlineStr">
        <is>
          <t>32285005220859</t>
        </is>
      </c>
      <c r="BD1293" t="inlineStr">
        <is>
          <t>893412017</t>
        </is>
      </c>
    </row>
    <row r="1294">
      <c r="A1294" t="inlineStr">
        <is>
          <t>No</t>
        </is>
      </c>
      <c r="B1294" t="inlineStr">
        <is>
          <t>GV1785.D36 A3 1952</t>
        </is>
      </c>
      <c r="C1294" t="inlineStr">
        <is>
          <t>0                      GV 1785000D  36                 A  3           1952</t>
        </is>
      </c>
      <c r="D1294" t="inlineStr">
        <is>
          <t>Dance to the piper.</t>
        </is>
      </c>
      <c r="F1294" t="inlineStr">
        <is>
          <t>No</t>
        </is>
      </c>
      <c r="G1294" t="inlineStr">
        <is>
          <t>1</t>
        </is>
      </c>
      <c r="H1294" t="inlineStr">
        <is>
          <t>No</t>
        </is>
      </c>
      <c r="I1294" t="inlineStr">
        <is>
          <t>No</t>
        </is>
      </c>
      <c r="J1294" t="inlineStr">
        <is>
          <t>0</t>
        </is>
      </c>
      <c r="K1294" t="inlineStr">
        <is>
          <t>De Mille, Agnes.</t>
        </is>
      </c>
      <c r="L1294" t="inlineStr">
        <is>
          <t>Boston, Little, Brown, 1952.</t>
        </is>
      </c>
      <c r="M1294" t="inlineStr">
        <is>
          <t>1952</t>
        </is>
      </c>
      <c r="N1294" t="inlineStr">
        <is>
          <t>[1st American ed.]</t>
        </is>
      </c>
      <c r="O1294" t="inlineStr">
        <is>
          <t>eng</t>
        </is>
      </c>
      <c r="P1294" t="inlineStr">
        <is>
          <t>mau</t>
        </is>
      </c>
      <c r="R1294" t="inlineStr">
        <is>
          <t xml:space="preserve">GV </t>
        </is>
      </c>
      <c r="S1294" t="n">
        <v>5</v>
      </c>
      <c r="T1294" t="n">
        <v>5</v>
      </c>
      <c r="U1294" t="inlineStr">
        <is>
          <t>2008-04-14</t>
        </is>
      </c>
      <c r="V1294" t="inlineStr">
        <is>
          <t>2008-04-14</t>
        </is>
      </c>
      <c r="W1294" t="inlineStr">
        <is>
          <t>1997-06-02</t>
        </is>
      </c>
      <c r="X1294" t="inlineStr">
        <is>
          <t>1997-06-02</t>
        </is>
      </c>
      <c r="Y1294" t="n">
        <v>957</v>
      </c>
      <c r="Z1294" t="n">
        <v>883</v>
      </c>
      <c r="AA1294" t="n">
        <v>1425</v>
      </c>
      <c r="AB1294" t="n">
        <v>9</v>
      </c>
      <c r="AC1294" t="n">
        <v>13</v>
      </c>
      <c r="AD1294" t="n">
        <v>26</v>
      </c>
      <c r="AE1294" t="n">
        <v>45</v>
      </c>
      <c r="AF1294" t="n">
        <v>12</v>
      </c>
      <c r="AG1294" t="n">
        <v>22</v>
      </c>
      <c r="AH1294" t="n">
        <v>5</v>
      </c>
      <c r="AI1294" t="n">
        <v>10</v>
      </c>
      <c r="AJ1294" t="n">
        <v>9</v>
      </c>
      <c r="AK1294" t="n">
        <v>18</v>
      </c>
      <c r="AL1294" t="n">
        <v>4</v>
      </c>
      <c r="AM1294" t="n">
        <v>6</v>
      </c>
      <c r="AN1294" t="n">
        <v>0</v>
      </c>
      <c r="AO1294" t="n">
        <v>0</v>
      </c>
      <c r="AP1294" t="inlineStr">
        <is>
          <t>No</t>
        </is>
      </c>
      <c r="AQ1294" t="inlineStr">
        <is>
          <t>Yes</t>
        </is>
      </c>
      <c r="AR1294">
        <f>HYPERLINK("http://catalog.hathitrust.org/Record/001881727","HathiTrust Record")</f>
        <v/>
      </c>
      <c r="AS1294">
        <f>HYPERLINK("https://creighton-primo.hosted.exlibrisgroup.com/primo-explore/search?tab=default_tab&amp;search_scope=EVERYTHING&amp;vid=01CRU&amp;lang=en_US&amp;offset=0&amp;query=any,contains,991002857509702656","Catalog Record")</f>
        <v/>
      </c>
      <c r="AT1294">
        <f>HYPERLINK("http://www.worldcat.org/oclc/490998","WorldCat Record")</f>
        <v/>
      </c>
      <c r="AU1294" t="inlineStr">
        <is>
          <t>439853:eng</t>
        </is>
      </c>
      <c r="AV1294" t="inlineStr">
        <is>
          <t>490998</t>
        </is>
      </c>
      <c r="AW1294" t="inlineStr">
        <is>
          <t>991002857509702656</t>
        </is>
      </c>
      <c r="AX1294" t="inlineStr">
        <is>
          <t>991002857509702656</t>
        </is>
      </c>
      <c r="AY1294" t="inlineStr">
        <is>
          <t>2257593850002656</t>
        </is>
      </c>
      <c r="AZ1294" t="inlineStr">
        <is>
          <t>BOOK</t>
        </is>
      </c>
      <c r="BC1294" t="inlineStr">
        <is>
          <t>32285002701141</t>
        </is>
      </c>
      <c r="BD1294" t="inlineStr">
        <is>
          <t>893445417</t>
        </is>
      </c>
    </row>
    <row r="1295">
      <c r="A1295" t="inlineStr">
        <is>
          <t>No</t>
        </is>
      </c>
      <c r="B1295" t="inlineStr">
        <is>
          <t>GV1785.D36 A35 1958</t>
        </is>
      </c>
      <c r="C1295" t="inlineStr">
        <is>
          <t>0                      GV 1785000D  36                 A  35          1958</t>
        </is>
      </c>
      <c r="D1295" t="inlineStr">
        <is>
          <t>And promenade home / by Agnes De Mille.</t>
        </is>
      </c>
      <c r="F1295" t="inlineStr">
        <is>
          <t>No</t>
        </is>
      </c>
      <c r="G1295" t="inlineStr">
        <is>
          <t>1</t>
        </is>
      </c>
      <c r="H1295" t="inlineStr">
        <is>
          <t>No</t>
        </is>
      </c>
      <c r="I1295" t="inlineStr">
        <is>
          <t>No</t>
        </is>
      </c>
      <c r="J1295" t="inlineStr">
        <is>
          <t>0</t>
        </is>
      </c>
      <c r="K1295" t="inlineStr">
        <is>
          <t>De Mille, Agnes.</t>
        </is>
      </c>
      <c r="L1295" t="inlineStr">
        <is>
          <t>Boston : Little, Brown, [1958]</t>
        </is>
      </c>
      <c r="M1295" t="inlineStr">
        <is>
          <t>1958</t>
        </is>
      </c>
      <c r="N1295" t="inlineStr">
        <is>
          <t>[1st ed.]</t>
        </is>
      </c>
      <c r="O1295" t="inlineStr">
        <is>
          <t>eng</t>
        </is>
      </c>
      <c r="P1295" t="inlineStr">
        <is>
          <t>mau</t>
        </is>
      </c>
      <c r="R1295" t="inlineStr">
        <is>
          <t xml:space="preserve">GV </t>
        </is>
      </c>
      <c r="S1295" t="n">
        <v>4</v>
      </c>
      <c r="T1295" t="n">
        <v>4</v>
      </c>
      <c r="U1295" t="inlineStr">
        <is>
          <t>2008-04-14</t>
        </is>
      </c>
      <c r="V1295" t="inlineStr">
        <is>
          <t>2008-04-14</t>
        </is>
      </c>
      <c r="W1295" t="inlineStr">
        <is>
          <t>1990-11-05</t>
        </is>
      </c>
      <c r="X1295" t="inlineStr">
        <is>
          <t>1990-11-05</t>
        </is>
      </c>
      <c r="Y1295" t="n">
        <v>771</v>
      </c>
      <c r="Z1295" t="n">
        <v>734</v>
      </c>
      <c r="AA1295" t="n">
        <v>805</v>
      </c>
      <c r="AB1295" t="n">
        <v>3</v>
      </c>
      <c r="AC1295" t="n">
        <v>3</v>
      </c>
      <c r="AD1295" t="n">
        <v>14</v>
      </c>
      <c r="AE1295" t="n">
        <v>20</v>
      </c>
      <c r="AF1295" t="n">
        <v>6</v>
      </c>
      <c r="AG1295" t="n">
        <v>9</v>
      </c>
      <c r="AH1295" t="n">
        <v>2</v>
      </c>
      <c r="AI1295" t="n">
        <v>4</v>
      </c>
      <c r="AJ1295" t="n">
        <v>6</v>
      </c>
      <c r="AK1295" t="n">
        <v>10</v>
      </c>
      <c r="AL1295" t="n">
        <v>2</v>
      </c>
      <c r="AM1295" t="n">
        <v>2</v>
      </c>
      <c r="AN1295" t="n">
        <v>0</v>
      </c>
      <c r="AO1295" t="n">
        <v>0</v>
      </c>
      <c r="AP1295" t="inlineStr">
        <is>
          <t>No</t>
        </is>
      </c>
      <c r="AQ1295" t="inlineStr">
        <is>
          <t>No</t>
        </is>
      </c>
      <c r="AR1295">
        <f>HYPERLINK("http://catalog.hathitrust.org/Record/007121675","HathiTrust Record")</f>
        <v/>
      </c>
      <c r="AS1295">
        <f>HYPERLINK("https://creighton-primo.hosted.exlibrisgroup.com/primo-explore/search?tab=default_tab&amp;search_scope=EVERYTHING&amp;vid=01CRU&amp;lang=en_US&amp;offset=0&amp;query=any,contains,991002737549702656","Catalog Record")</f>
        <v/>
      </c>
      <c r="AT1295">
        <f>HYPERLINK("http://www.worldcat.org/oclc/419830","WorldCat Record")</f>
        <v/>
      </c>
      <c r="AU1295" t="inlineStr">
        <is>
          <t>439854:eng</t>
        </is>
      </c>
      <c r="AV1295" t="inlineStr">
        <is>
          <t>419830</t>
        </is>
      </c>
      <c r="AW1295" t="inlineStr">
        <is>
          <t>991002737549702656</t>
        </is>
      </c>
      <c r="AX1295" t="inlineStr">
        <is>
          <t>991002737549702656</t>
        </is>
      </c>
      <c r="AY1295" t="inlineStr">
        <is>
          <t>2261741180002656</t>
        </is>
      </c>
      <c r="AZ1295" t="inlineStr">
        <is>
          <t>BOOK</t>
        </is>
      </c>
      <c r="BC1295" t="inlineStr">
        <is>
          <t>32285000385483</t>
        </is>
      </c>
      <c r="BD1295" t="inlineStr">
        <is>
          <t>893899146</t>
        </is>
      </c>
    </row>
    <row r="1296">
      <c r="A1296" t="inlineStr">
        <is>
          <t>No</t>
        </is>
      </c>
      <c r="B1296" t="inlineStr">
        <is>
          <t>GV1785.D36 A39 1978</t>
        </is>
      </c>
      <c r="C1296" t="inlineStr">
        <is>
          <t>0                      GV 1785000D  36                 A  39          1978</t>
        </is>
      </c>
      <c r="D1296" t="inlineStr">
        <is>
          <t>Where the wings grow / Agnes de Mille.</t>
        </is>
      </c>
      <c r="F1296" t="inlineStr">
        <is>
          <t>No</t>
        </is>
      </c>
      <c r="G1296" t="inlineStr">
        <is>
          <t>1</t>
        </is>
      </c>
      <c r="H1296" t="inlineStr">
        <is>
          <t>No</t>
        </is>
      </c>
      <c r="I1296" t="inlineStr">
        <is>
          <t>No</t>
        </is>
      </c>
      <c r="J1296" t="inlineStr">
        <is>
          <t>0</t>
        </is>
      </c>
      <c r="K1296" t="inlineStr">
        <is>
          <t>De Mille, Agnes.</t>
        </is>
      </c>
      <c r="L1296" t="inlineStr">
        <is>
          <t>Garden City, N.Y. : Doubleday, 1978.</t>
        </is>
      </c>
      <c r="M1296" t="inlineStr">
        <is>
          <t>1978</t>
        </is>
      </c>
      <c r="N1296" t="inlineStr">
        <is>
          <t>1st ed.</t>
        </is>
      </c>
      <c r="O1296" t="inlineStr">
        <is>
          <t>eng</t>
        </is>
      </c>
      <c r="P1296" t="inlineStr">
        <is>
          <t>nyu</t>
        </is>
      </c>
      <c r="R1296" t="inlineStr">
        <is>
          <t xml:space="preserve">GV </t>
        </is>
      </c>
      <c r="S1296" t="n">
        <v>3</v>
      </c>
      <c r="T1296" t="n">
        <v>3</v>
      </c>
      <c r="U1296" t="inlineStr">
        <is>
          <t>2008-01-16</t>
        </is>
      </c>
      <c r="V1296" t="inlineStr">
        <is>
          <t>2008-01-16</t>
        </is>
      </c>
      <c r="W1296" t="inlineStr">
        <is>
          <t>1990-11-05</t>
        </is>
      </c>
      <c r="X1296" t="inlineStr">
        <is>
          <t>1990-11-05</t>
        </is>
      </c>
      <c r="Y1296" t="n">
        <v>809</v>
      </c>
      <c r="Z1296" t="n">
        <v>770</v>
      </c>
      <c r="AA1296" t="n">
        <v>775</v>
      </c>
      <c r="AB1296" t="n">
        <v>6</v>
      </c>
      <c r="AC1296" t="n">
        <v>6</v>
      </c>
      <c r="AD1296" t="n">
        <v>12</v>
      </c>
      <c r="AE1296" t="n">
        <v>12</v>
      </c>
      <c r="AF1296" t="n">
        <v>6</v>
      </c>
      <c r="AG1296" t="n">
        <v>6</v>
      </c>
      <c r="AH1296" t="n">
        <v>4</v>
      </c>
      <c r="AI1296" t="n">
        <v>4</v>
      </c>
      <c r="AJ1296" t="n">
        <v>4</v>
      </c>
      <c r="AK1296" t="n">
        <v>4</v>
      </c>
      <c r="AL1296" t="n">
        <v>2</v>
      </c>
      <c r="AM1296" t="n">
        <v>2</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HYPERLINK("https://creighton-primo.hosted.exlibrisgroup.com/primo-explore/search?tab=default_tab&amp;search_scope=EVERYTHING&amp;vid=01CRU&amp;lang=en_US&amp;offset=0&amp;query=any,contains,991004381839702656","Catalog Record")</f>
        <v/>
      </c>
      <c r="AT1296">
        <f>HYPERLINK("http://www.worldcat.org/oclc/3223777","WorldCat Record")</f>
        <v/>
      </c>
      <c r="AU1296" t="inlineStr">
        <is>
          <t>454529:eng</t>
        </is>
      </c>
      <c r="AV1296" t="inlineStr">
        <is>
          <t>3223777</t>
        </is>
      </c>
      <c r="AW1296" t="inlineStr">
        <is>
          <t>991004381839702656</t>
        </is>
      </c>
      <c r="AX1296" t="inlineStr">
        <is>
          <t>991004381839702656</t>
        </is>
      </c>
      <c r="AY1296" t="inlineStr">
        <is>
          <t>2259009610002656</t>
        </is>
      </c>
      <c r="AZ1296" t="inlineStr">
        <is>
          <t>BOOK</t>
        </is>
      </c>
      <c r="BB1296" t="inlineStr">
        <is>
          <t>9780385121064</t>
        </is>
      </c>
      <c r="BC1296" t="inlineStr">
        <is>
          <t>32285000385491</t>
        </is>
      </c>
      <c r="BD1296" t="inlineStr">
        <is>
          <t>893794789</t>
        </is>
      </c>
    </row>
    <row r="1297">
      <c r="A1297" t="inlineStr">
        <is>
          <t>No</t>
        </is>
      </c>
      <c r="B1297" t="inlineStr">
        <is>
          <t>GV1785.D36 E27 1996</t>
        </is>
      </c>
      <c r="C1297" t="inlineStr">
        <is>
          <t>0                      GV 1785000D  36                 E  27          1996</t>
        </is>
      </c>
      <c r="D1297" t="inlineStr">
        <is>
          <t>No intermissions : the life of Agnes de Mille / Carol Easton.</t>
        </is>
      </c>
      <c r="F1297" t="inlineStr">
        <is>
          <t>No</t>
        </is>
      </c>
      <c r="G1297" t="inlineStr">
        <is>
          <t>1</t>
        </is>
      </c>
      <c r="H1297" t="inlineStr">
        <is>
          <t>No</t>
        </is>
      </c>
      <c r="I1297" t="inlineStr">
        <is>
          <t>No</t>
        </is>
      </c>
      <c r="J1297" t="inlineStr">
        <is>
          <t>0</t>
        </is>
      </c>
      <c r="K1297" t="inlineStr">
        <is>
          <t>Easton, Carol.</t>
        </is>
      </c>
      <c r="L1297" t="inlineStr">
        <is>
          <t>Boston : Little, Brown, 1996.</t>
        </is>
      </c>
      <c r="M1297" t="inlineStr">
        <is>
          <t>1996</t>
        </is>
      </c>
      <c r="N1297" t="inlineStr">
        <is>
          <t>1st ed.</t>
        </is>
      </c>
      <c r="O1297" t="inlineStr">
        <is>
          <t>eng</t>
        </is>
      </c>
      <c r="P1297" t="inlineStr">
        <is>
          <t>mau</t>
        </is>
      </c>
      <c r="R1297" t="inlineStr">
        <is>
          <t xml:space="preserve">GV </t>
        </is>
      </c>
      <c r="S1297" t="n">
        <v>3</v>
      </c>
      <c r="T1297" t="n">
        <v>3</v>
      </c>
      <c r="U1297" t="inlineStr">
        <is>
          <t>2010-04-20</t>
        </is>
      </c>
      <c r="V1297" t="inlineStr">
        <is>
          <t>2010-04-20</t>
        </is>
      </c>
      <c r="W1297" t="inlineStr">
        <is>
          <t>1996-03-18</t>
        </is>
      </c>
      <c r="X1297" t="inlineStr">
        <is>
          <t>1996-03-18</t>
        </is>
      </c>
      <c r="Y1297" t="n">
        <v>768</v>
      </c>
      <c r="Z1297" t="n">
        <v>698</v>
      </c>
      <c r="AA1297" t="n">
        <v>762</v>
      </c>
      <c r="AB1297" t="n">
        <v>4</v>
      </c>
      <c r="AC1297" t="n">
        <v>4</v>
      </c>
      <c r="AD1297" t="n">
        <v>19</v>
      </c>
      <c r="AE1297" t="n">
        <v>22</v>
      </c>
      <c r="AF1297" t="n">
        <v>7</v>
      </c>
      <c r="AG1297" t="n">
        <v>9</v>
      </c>
      <c r="AH1297" t="n">
        <v>5</v>
      </c>
      <c r="AI1297" t="n">
        <v>5</v>
      </c>
      <c r="AJ1297" t="n">
        <v>9</v>
      </c>
      <c r="AK1297" t="n">
        <v>11</v>
      </c>
      <c r="AL1297" t="n">
        <v>3</v>
      </c>
      <c r="AM1297" t="n">
        <v>3</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HYPERLINK("https://creighton-primo.hosted.exlibrisgroup.com/primo-explore/search?tab=default_tab&amp;search_scope=EVERYTHING&amp;vid=01CRU&amp;lang=en_US&amp;offset=0&amp;query=any,contains,991002484849702656","Catalog Record")</f>
        <v/>
      </c>
      <c r="AT1297">
        <f>HYPERLINK("http://www.worldcat.org/oclc/32347411","WorldCat Record")</f>
        <v/>
      </c>
      <c r="AU1297" t="inlineStr">
        <is>
          <t>796309522:eng</t>
        </is>
      </c>
      <c r="AV1297" t="inlineStr">
        <is>
          <t>32347411</t>
        </is>
      </c>
      <c r="AW1297" t="inlineStr">
        <is>
          <t>991002484849702656</t>
        </is>
      </c>
      <c r="AX1297" t="inlineStr">
        <is>
          <t>991002484849702656</t>
        </is>
      </c>
      <c r="AY1297" t="inlineStr">
        <is>
          <t>2261004830002656</t>
        </is>
      </c>
      <c r="AZ1297" t="inlineStr">
        <is>
          <t>BOOK</t>
        </is>
      </c>
      <c r="BB1297" t="inlineStr">
        <is>
          <t>9780316199704</t>
        </is>
      </c>
      <c r="BC1297" t="inlineStr">
        <is>
          <t>32285002144268</t>
        </is>
      </c>
      <c r="BD1297" t="inlineStr">
        <is>
          <t>893616185</t>
        </is>
      </c>
    </row>
    <row r="1298">
      <c r="A1298" t="inlineStr">
        <is>
          <t>No</t>
        </is>
      </c>
      <c r="B1298" t="inlineStr">
        <is>
          <t>GV1785.D5 K613 1970</t>
        </is>
      </c>
      <c r="C1298" t="inlineStr">
        <is>
          <t>0                      GV 1785000D  5                  K  613         1970</t>
        </is>
      </c>
      <c r="D1298" t="inlineStr">
        <is>
          <t>Diaghilev, and the Ballets Russes / Boris Kochno. Translated from the French by Adrienne Foulke.</t>
        </is>
      </c>
      <c r="F1298" t="inlineStr">
        <is>
          <t>No</t>
        </is>
      </c>
      <c r="G1298" t="inlineStr">
        <is>
          <t>1</t>
        </is>
      </c>
      <c r="H1298" t="inlineStr">
        <is>
          <t>No</t>
        </is>
      </c>
      <c r="I1298" t="inlineStr">
        <is>
          <t>No</t>
        </is>
      </c>
      <c r="J1298" t="inlineStr">
        <is>
          <t>0</t>
        </is>
      </c>
      <c r="K1298" t="inlineStr">
        <is>
          <t>Kochno, Boris.</t>
        </is>
      </c>
      <c r="L1298" t="inlineStr">
        <is>
          <t>New York : Harper &amp; Row, [1970]</t>
        </is>
      </c>
      <c r="M1298" t="inlineStr">
        <is>
          <t>1970</t>
        </is>
      </c>
      <c r="N1298" t="inlineStr">
        <is>
          <t>[1st ed.]</t>
        </is>
      </c>
      <c r="O1298" t="inlineStr">
        <is>
          <t>eng</t>
        </is>
      </c>
      <c r="P1298" t="inlineStr">
        <is>
          <t>nyu</t>
        </is>
      </c>
      <c r="R1298" t="inlineStr">
        <is>
          <t xml:space="preserve">GV </t>
        </is>
      </c>
      <c r="S1298" t="n">
        <v>3</v>
      </c>
      <c r="T1298" t="n">
        <v>3</v>
      </c>
      <c r="U1298" t="inlineStr">
        <is>
          <t>2007-01-10</t>
        </is>
      </c>
      <c r="V1298" t="inlineStr">
        <is>
          <t>2007-01-10</t>
        </is>
      </c>
      <c r="W1298" t="inlineStr">
        <is>
          <t>2002-12-10</t>
        </is>
      </c>
      <c r="X1298" t="inlineStr">
        <is>
          <t>2002-12-10</t>
        </is>
      </c>
      <c r="Y1298" t="n">
        <v>760</v>
      </c>
      <c r="Z1298" t="n">
        <v>673</v>
      </c>
      <c r="AA1298" t="n">
        <v>685</v>
      </c>
      <c r="AB1298" t="n">
        <v>5</v>
      </c>
      <c r="AC1298" t="n">
        <v>5</v>
      </c>
      <c r="AD1298" t="n">
        <v>23</v>
      </c>
      <c r="AE1298" t="n">
        <v>23</v>
      </c>
      <c r="AF1298" t="n">
        <v>10</v>
      </c>
      <c r="AG1298" t="n">
        <v>10</v>
      </c>
      <c r="AH1298" t="n">
        <v>5</v>
      </c>
      <c r="AI1298" t="n">
        <v>5</v>
      </c>
      <c r="AJ1298" t="n">
        <v>13</v>
      </c>
      <c r="AK1298" t="n">
        <v>13</v>
      </c>
      <c r="AL1298" t="n">
        <v>4</v>
      </c>
      <c r="AM1298" t="n">
        <v>4</v>
      </c>
      <c r="AN1298" t="n">
        <v>0</v>
      </c>
      <c r="AO1298" t="n">
        <v>0</v>
      </c>
      <c r="AP1298" t="inlineStr">
        <is>
          <t>No</t>
        </is>
      </c>
      <c r="AQ1298" t="inlineStr">
        <is>
          <t>No</t>
        </is>
      </c>
      <c r="AS1298">
        <f>HYPERLINK("https://creighton-primo.hosted.exlibrisgroup.com/primo-explore/search?tab=default_tab&amp;search_scope=EVERYTHING&amp;vid=01CRU&amp;lang=en_US&amp;offset=0&amp;query=any,contains,991003958709702656","Catalog Record")</f>
        <v/>
      </c>
      <c r="AT1298">
        <f>HYPERLINK("http://www.worldcat.org/oclc/149375","WorldCat Record")</f>
        <v/>
      </c>
      <c r="AU1298" t="inlineStr">
        <is>
          <t>11934678:eng</t>
        </is>
      </c>
      <c r="AV1298" t="inlineStr">
        <is>
          <t>149375</t>
        </is>
      </c>
      <c r="AW1298" t="inlineStr">
        <is>
          <t>991003958709702656</t>
        </is>
      </c>
      <c r="AX1298" t="inlineStr">
        <is>
          <t>991003958709702656</t>
        </is>
      </c>
      <c r="AY1298" t="inlineStr">
        <is>
          <t>2260498890002656</t>
        </is>
      </c>
      <c r="AZ1298" t="inlineStr">
        <is>
          <t>BOOK</t>
        </is>
      </c>
      <c r="BC1298" t="inlineStr">
        <is>
          <t>32285005964720</t>
        </is>
      </c>
      <c r="BD1298" t="inlineStr">
        <is>
          <t>893417048</t>
        </is>
      </c>
    </row>
    <row r="1299">
      <c r="A1299" t="inlineStr">
        <is>
          <t>No</t>
        </is>
      </c>
      <c r="B1299" t="inlineStr">
        <is>
          <t>GV1785.D8 A3 1996</t>
        </is>
      </c>
      <c r="C1299" t="inlineStr">
        <is>
          <t>0                      GV 1785000D  8                  A  3           1996</t>
        </is>
      </c>
      <c r="D1299" t="inlineStr">
        <is>
          <t>My life / Isadora Duncan.</t>
        </is>
      </c>
      <c r="F1299" t="inlineStr">
        <is>
          <t>No</t>
        </is>
      </c>
      <c r="G1299" t="inlineStr">
        <is>
          <t>1</t>
        </is>
      </c>
      <c r="H1299" t="inlineStr">
        <is>
          <t>No</t>
        </is>
      </c>
      <c r="I1299" t="inlineStr">
        <is>
          <t>No</t>
        </is>
      </c>
      <c r="J1299" t="inlineStr">
        <is>
          <t>0</t>
        </is>
      </c>
      <c r="K1299" t="inlineStr">
        <is>
          <t>Duncan, Isadora, 1877-1927.</t>
        </is>
      </c>
      <c r="L1299" t="inlineStr">
        <is>
          <t>London : Gollancz, 1996.</t>
        </is>
      </c>
      <c r="M1299" t="inlineStr">
        <is>
          <t>1996</t>
        </is>
      </c>
      <c r="O1299" t="inlineStr">
        <is>
          <t>eng</t>
        </is>
      </c>
      <c r="P1299" t="inlineStr">
        <is>
          <t>enk</t>
        </is>
      </c>
      <c r="R1299" t="inlineStr">
        <is>
          <t xml:space="preserve">GV </t>
        </is>
      </c>
      <c r="S1299" t="n">
        <v>1</v>
      </c>
      <c r="T1299" t="n">
        <v>1</v>
      </c>
      <c r="U1299" t="inlineStr">
        <is>
          <t>2002-12-05</t>
        </is>
      </c>
      <c r="V1299" t="inlineStr">
        <is>
          <t>2002-12-05</t>
        </is>
      </c>
      <c r="W1299" t="inlineStr">
        <is>
          <t>2002-12-05</t>
        </is>
      </c>
      <c r="X1299" t="inlineStr">
        <is>
          <t>2002-12-05</t>
        </is>
      </c>
      <c r="Y1299" t="n">
        <v>27</v>
      </c>
      <c r="Z1299" t="n">
        <v>5</v>
      </c>
      <c r="AA1299" t="n">
        <v>1381</v>
      </c>
      <c r="AB1299" t="n">
        <v>1</v>
      </c>
      <c r="AC1299" t="n">
        <v>7</v>
      </c>
      <c r="AD1299" t="n">
        <v>0</v>
      </c>
      <c r="AE1299" t="n">
        <v>40</v>
      </c>
      <c r="AF1299" t="n">
        <v>0</v>
      </c>
      <c r="AG1299" t="n">
        <v>20</v>
      </c>
      <c r="AH1299" t="n">
        <v>0</v>
      </c>
      <c r="AI1299" t="n">
        <v>8</v>
      </c>
      <c r="AJ1299" t="n">
        <v>0</v>
      </c>
      <c r="AK1299" t="n">
        <v>17</v>
      </c>
      <c r="AL1299" t="n">
        <v>0</v>
      </c>
      <c r="AM1299" t="n">
        <v>5</v>
      </c>
      <c r="AN1299" t="n">
        <v>0</v>
      </c>
      <c r="AO1299" t="n">
        <v>0</v>
      </c>
      <c r="AP1299" t="inlineStr">
        <is>
          <t>No</t>
        </is>
      </c>
      <c r="AQ1299" t="inlineStr">
        <is>
          <t>No</t>
        </is>
      </c>
      <c r="AS1299">
        <f>HYPERLINK("https://creighton-primo.hosted.exlibrisgroup.com/primo-explore/search?tab=default_tab&amp;search_scope=EVERYTHING&amp;vid=01CRU&amp;lang=en_US&amp;offset=0&amp;query=any,contains,991003957129702656","Catalog Record")</f>
        <v/>
      </c>
      <c r="AT1299">
        <f>HYPERLINK("http://www.worldcat.org/oclc/35137997","WorldCat Record")</f>
        <v/>
      </c>
      <c r="AU1299" t="inlineStr">
        <is>
          <t>3373457249:eng</t>
        </is>
      </c>
      <c r="AV1299" t="inlineStr">
        <is>
          <t>35137997</t>
        </is>
      </c>
      <c r="AW1299" t="inlineStr">
        <is>
          <t>991003957129702656</t>
        </is>
      </c>
      <c r="AX1299" t="inlineStr">
        <is>
          <t>991003957129702656</t>
        </is>
      </c>
      <c r="AY1299" t="inlineStr">
        <is>
          <t>2270142100002656</t>
        </is>
      </c>
      <c r="AZ1299" t="inlineStr">
        <is>
          <t>BOOK</t>
        </is>
      </c>
      <c r="BB1299" t="inlineStr">
        <is>
          <t>9780575062504</t>
        </is>
      </c>
      <c r="BC1299" t="inlineStr">
        <is>
          <t>32285004668595</t>
        </is>
      </c>
      <c r="BD1299" t="inlineStr">
        <is>
          <t>893900616</t>
        </is>
      </c>
    </row>
    <row r="1300">
      <c r="A1300" t="inlineStr">
        <is>
          <t>No</t>
        </is>
      </c>
      <c r="B1300" t="inlineStr">
        <is>
          <t>GV1785.D8 K87 2001</t>
        </is>
      </c>
      <c r="C1300" t="inlineStr">
        <is>
          <t>0                      GV 1785000D  8                  K  87          2001</t>
        </is>
      </c>
      <c r="D1300" t="inlineStr">
        <is>
          <t>Isadora : a sensational life / Peter Kurth.</t>
        </is>
      </c>
      <c r="F1300" t="inlineStr">
        <is>
          <t>No</t>
        </is>
      </c>
      <c r="G1300" t="inlineStr">
        <is>
          <t>1</t>
        </is>
      </c>
      <c r="H1300" t="inlineStr">
        <is>
          <t>No</t>
        </is>
      </c>
      <c r="I1300" t="inlineStr">
        <is>
          <t>No</t>
        </is>
      </c>
      <c r="J1300" t="inlineStr">
        <is>
          <t>0</t>
        </is>
      </c>
      <c r="K1300" t="inlineStr">
        <is>
          <t>Kurth, Peter.</t>
        </is>
      </c>
      <c r="L1300" t="inlineStr">
        <is>
          <t>Boston : Little, Brown, c2001.</t>
        </is>
      </c>
      <c r="M1300" t="inlineStr">
        <is>
          <t>2001</t>
        </is>
      </c>
      <c r="N1300" t="inlineStr">
        <is>
          <t>1st ed.</t>
        </is>
      </c>
      <c r="O1300" t="inlineStr">
        <is>
          <t>eng</t>
        </is>
      </c>
      <c r="P1300" t="inlineStr">
        <is>
          <t>mau</t>
        </is>
      </c>
      <c r="R1300" t="inlineStr">
        <is>
          <t xml:space="preserve">GV </t>
        </is>
      </c>
      <c r="S1300" t="n">
        <v>3</v>
      </c>
      <c r="T1300" t="n">
        <v>3</v>
      </c>
      <c r="U1300" t="inlineStr">
        <is>
          <t>2002-10-09</t>
        </is>
      </c>
      <c r="V1300" t="inlineStr">
        <is>
          <t>2002-10-09</t>
        </is>
      </c>
      <c r="W1300" t="inlineStr">
        <is>
          <t>2002-09-30</t>
        </is>
      </c>
      <c r="X1300" t="inlineStr">
        <is>
          <t>2002-09-30</t>
        </is>
      </c>
      <c r="Y1300" t="n">
        <v>1148</v>
      </c>
      <c r="Z1300" t="n">
        <v>1074</v>
      </c>
      <c r="AA1300" t="n">
        <v>1086</v>
      </c>
      <c r="AB1300" t="n">
        <v>5</v>
      </c>
      <c r="AC1300" t="n">
        <v>5</v>
      </c>
      <c r="AD1300" t="n">
        <v>30</v>
      </c>
      <c r="AE1300" t="n">
        <v>30</v>
      </c>
      <c r="AF1300" t="n">
        <v>15</v>
      </c>
      <c r="AG1300" t="n">
        <v>15</v>
      </c>
      <c r="AH1300" t="n">
        <v>5</v>
      </c>
      <c r="AI1300" t="n">
        <v>5</v>
      </c>
      <c r="AJ1300" t="n">
        <v>12</v>
      </c>
      <c r="AK1300" t="n">
        <v>12</v>
      </c>
      <c r="AL1300" t="n">
        <v>4</v>
      </c>
      <c r="AM1300" t="n">
        <v>4</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HYPERLINK("https://creighton-primo.hosted.exlibrisgroup.com/primo-explore/search?tab=default_tab&amp;search_scope=EVERYTHING&amp;vid=01CRU&amp;lang=en_US&amp;offset=0&amp;query=any,contains,991003900609702656","Catalog Record")</f>
        <v/>
      </c>
      <c r="AT1300">
        <f>HYPERLINK("http://www.worldcat.org/oclc/47045043","WorldCat Record")</f>
        <v/>
      </c>
      <c r="AU1300" t="inlineStr">
        <is>
          <t>6999335:eng</t>
        </is>
      </c>
      <c r="AV1300" t="inlineStr">
        <is>
          <t>47045043</t>
        </is>
      </c>
      <c r="AW1300" t="inlineStr">
        <is>
          <t>991003900609702656</t>
        </is>
      </c>
      <c r="AX1300" t="inlineStr">
        <is>
          <t>991003900609702656</t>
        </is>
      </c>
      <c r="AY1300" t="inlineStr">
        <is>
          <t>2271504870002656</t>
        </is>
      </c>
      <c r="AZ1300" t="inlineStr">
        <is>
          <t>BOOK</t>
        </is>
      </c>
      <c r="BB1300" t="inlineStr">
        <is>
          <t>9780316507264</t>
        </is>
      </c>
      <c r="BC1300" t="inlineStr">
        <is>
          <t>32285004653860</t>
        </is>
      </c>
      <c r="BD1300" t="inlineStr">
        <is>
          <t>893781611</t>
        </is>
      </c>
    </row>
    <row r="1301">
      <c r="A1301" t="inlineStr">
        <is>
          <t>No</t>
        </is>
      </c>
      <c r="B1301" t="inlineStr">
        <is>
          <t>GV1785.D82 K35 2005</t>
        </is>
      </c>
      <c r="C1301" t="inlineStr">
        <is>
          <t>0                      GV 1785000D  82                 K  35          2005</t>
        </is>
      </c>
      <c r="D1301" t="inlineStr">
        <is>
          <t>Kaiso! : writings by and about Katherine Dunham / edited by VèVè A. Clark and Sara E. Johnson.</t>
        </is>
      </c>
      <c r="F1301" t="inlineStr">
        <is>
          <t>No</t>
        </is>
      </c>
      <c r="G1301" t="inlineStr">
        <is>
          <t>1</t>
        </is>
      </c>
      <c r="H1301" t="inlineStr">
        <is>
          <t>No</t>
        </is>
      </c>
      <c r="I1301" t="inlineStr">
        <is>
          <t>No</t>
        </is>
      </c>
      <c r="J1301" t="inlineStr">
        <is>
          <t>0</t>
        </is>
      </c>
      <c r="L1301" t="inlineStr">
        <is>
          <t>Madison : University of Wisconsin Press, c2005.</t>
        </is>
      </c>
      <c r="M1301" t="inlineStr">
        <is>
          <t>2005</t>
        </is>
      </c>
      <c r="O1301" t="inlineStr">
        <is>
          <t>eng</t>
        </is>
      </c>
      <c r="P1301" t="inlineStr">
        <is>
          <t>wiu</t>
        </is>
      </c>
      <c r="Q1301" t="inlineStr">
        <is>
          <t>Studies in dance history</t>
        </is>
      </c>
      <c r="R1301" t="inlineStr">
        <is>
          <t xml:space="preserve">GV </t>
        </is>
      </c>
      <c r="S1301" t="n">
        <v>2</v>
      </c>
      <c r="T1301" t="n">
        <v>2</v>
      </c>
      <c r="U1301" t="inlineStr">
        <is>
          <t>2006-04-03</t>
        </is>
      </c>
      <c r="V1301" t="inlineStr">
        <is>
          <t>2006-04-03</t>
        </is>
      </c>
      <c r="W1301" t="inlineStr">
        <is>
          <t>2006-03-07</t>
        </is>
      </c>
      <c r="X1301" t="inlineStr">
        <is>
          <t>2006-03-07</t>
        </is>
      </c>
      <c r="Y1301" t="n">
        <v>616</v>
      </c>
      <c r="Z1301" t="n">
        <v>567</v>
      </c>
      <c r="AA1301" t="n">
        <v>575</v>
      </c>
      <c r="AB1301" t="n">
        <v>2</v>
      </c>
      <c r="AC1301" t="n">
        <v>2</v>
      </c>
      <c r="AD1301" t="n">
        <v>18</v>
      </c>
      <c r="AE1301" t="n">
        <v>18</v>
      </c>
      <c r="AF1301" t="n">
        <v>9</v>
      </c>
      <c r="AG1301" t="n">
        <v>9</v>
      </c>
      <c r="AH1301" t="n">
        <v>5</v>
      </c>
      <c r="AI1301" t="n">
        <v>5</v>
      </c>
      <c r="AJ1301" t="n">
        <v>9</v>
      </c>
      <c r="AK1301" t="n">
        <v>9</v>
      </c>
      <c r="AL1301" t="n">
        <v>1</v>
      </c>
      <c r="AM1301" t="n">
        <v>1</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HYPERLINK("https://creighton-primo.hosted.exlibrisgroup.com/primo-explore/search?tab=default_tab&amp;search_scope=EVERYTHING&amp;vid=01CRU&amp;lang=en_US&amp;offset=0&amp;query=any,contains,991004761319702656","Catalog Record")</f>
        <v/>
      </c>
      <c r="AT1301">
        <f>HYPERLINK("http://www.worldcat.org/oclc/58791214","WorldCat Record")</f>
        <v/>
      </c>
      <c r="AU1301" t="inlineStr">
        <is>
          <t>479104944:eng</t>
        </is>
      </c>
      <c r="AV1301" t="inlineStr">
        <is>
          <t>58791214</t>
        </is>
      </c>
      <c r="AW1301" t="inlineStr">
        <is>
          <t>991004761319702656</t>
        </is>
      </c>
      <c r="AX1301" t="inlineStr">
        <is>
          <t>991004761319702656</t>
        </is>
      </c>
      <c r="AY1301" t="inlineStr">
        <is>
          <t>2255965780002656</t>
        </is>
      </c>
      <c r="AZ1301" t="inlineStr">
        <is>
          <t>BOOK</t>
        </is>
      </c>
      <c r="BB1301" t="inlineStr">
        <is>
          <t>9780299212704</t>
        </is>
      </c>
      <c r="BC1301" t="inlineStr">
        <is>
          <t>32285005169056</t>
        </is>
      </c>
      <c r="BD1301" t="inlineStr">
        <is>
          <t>893719350</t>
        </is>
      </c>
    </row>
    <row r="1302">
      <c r="A1302" t="inlineStr">
        <is>
          <t>No</t>
        </is>
      </c>
      <c r="B1302" t="inlineStr">
        <is>
          <t>GV1785.F37 A3 2002</t>
        </is>
      </c>
      <c r="C1302" t="inlineStr">
        <is>
          <t>0                      GV 1785000F  37                 A  3           2002</t>
        </is>
      </c>
      <c r="D1302" t="inlineStr">
        <is>
          <t>Holding on to the air : an autobiography / by Suzanne Farrell with Toni Bentley.</t>
        </is>
      </c>
      <c r="F1302" t="inlineStr">
        <is>
          <t>No</t>
        </is>
      </c>
      <c r="G1302" t="inlineStr">
        <is>
          <t>1</t>
        </is>
      </c>
      <c r="H1302" t="inlineStr">
        <is>
          <t>No</t>
        </is>
      </c>
      <c r="I1302" t="inlineStr">
        <is>
          <t>No</t>
        </is>
      </c>
      <c r="J1302" t="inlineStr">
        <is>
          <t>0</t>
        </is>
      </c>
      <c r="K1302" t="inlineStr">
        <is>
          <t>Farrell, Suzanne, 1945-</t>
        </is>
      </c>
      <c r="L1302" t="inlineStr">
        <is>
          <t>Gainesville : University Press of Florida, 2002.</t>
        </is>
      </c>
      <c r="M1302" t="inlineStr">
        <is>
          <t>2002</t>
        </is>
      </c>
      <c r="O1302" t="inlineStr">
        <is>
          <t>eng</t>
        </is>
      </c>
      <c r="P1302" t="inlineStr">
        <is>
          <t>flu</t>
        </is>
      </c>
      <c r="R1302" t="inlineStr">
        <is>
          <t xml:space="preserve">GV </t>
        </is>
      </c>
      <c r="S1302" t="n">
        <v>7</v>
      </c>
      <c r="T1302" t="n">
        <v>7</v>
      </c>
      <c r="U1302" t="inlineStr">
        <is>
          <t>2005-04-26</t>
        </is>
      </c>
      <c r="V1302" t="inlineStr">
        <is>
          <t>2005-04-26</t>
        </is>
      </c>
      <c r="W1302" t="inlineStr">
        <is>
          <t>2003-02-05</t>
        </is>
      </c>
      <c r="X1302" t="inlineStr">
        <is>
          <t>2003-02-05</t>
        </is>
      </c>
      <c r="Y1302" t="n">
        <v>144</v>
      </c>
      <c r="Z1302" t="n">
        <v>128</v>
      </c>
      <c r="AA1302" t="n">
        <v>980</v>
      </c>
      <c r="AB1302" t="n">
        <v>1</v>
      </c>
      <c r="AC1302" t="n">
        <v>5</v>
      </c>
      <c r="AD1302" t="n">
        <v>6</v>
      </c>
      <c r="AE1302" t="n">
        <v>19</v>
      </c>
      <c r="AF1302" t="n">
        <v>2</v>
      </c>
      <c r="AG1302" t="n">
        <v>8</v>
      </c>
      <c r="AH1302" t="n">
        <v>2</v>
      </c>
      <c r="AI1302" t="n">
        <v>4</v>
      </c>
      <c r="AJ1302" t="n">
        <v>3</v>
      </c>
      <c r="AK1302" t="n">
        <v>10</v>
      </c>
      <c r="AL1302" t="n">
        <v>0</v>
      </c>
      <c r="AM1302" t="n">
        <v>2</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HYPERLINK("https://creighton-primo.hosted.exlibrisgroup.com/primo-explore/search?tab=default_tab&amp;search_scope=EVERYTHING&amp;vid=01CRU&amp;lang=en_US&amp;offset=0&amp;query=any,contains,991003978549702656","Catalog Record")</f>
        <v/>
      </c>
      <c r="AT1302">
        <f>HYPERLINK("http://www.worldcat.org/oclc/50602396","WorldCat Record")</f>
        <v/>
      </c>
      <c r="AU1302" t="inlineStr">
        <is>
          <t>836708093:eng</t>
        </is>
      </c>
      <c r="AV1302" t="inlineStr">
        <is>
          <t>50602396</t>
        </is>
      </c>
      <c r="AW1302" t="inlineStr">
        <is>
          <t>991003978549702656</t>
        </is>
      </c>
      <c r="AX1302" t="inlineStr">
        <is>
          <t>991003978549702656</t>
        </is>
      </c>
      <c r="AY1302" t="inlineStr">
        <is>
          <t>2264879600002656</t>
        </is>
      </c>
      <c r="AZ1302" t="inlineStr">
        <is>
          <t>BOOK</t>
        </is>
      </c>
      <c r="BB1302" t="inlineStr">
        <is>
          <t>9780813025933</t>
        </is>
      </c>
      <c r="BC1302" t="inlineStr">
        <is>
          <t>32285004697305</t>
        </is>
      </c>
      <c r="BD1302" t="inlineStr">
        <is>
          <t>893788131</t>
        </is>
      </c>
    </row>
    <row r="1303">
      <c r="A1303" t="inlineStr">
        <is>
          <t>No</t>
        </is>
      </c>
      <c r="B1303" t="inlineStr">
        <is>
          <t>GV1785.F63 D36 2004</t>
        </is>
      </c>
      <c r="C1303" t="inlineStr">
        <is>
          <t>0                      GV 1785000F  63                 D  36          2004</t>
        </is>
      </c>
      <c r="D1303" t="inlineStr">
        <is>
          <t>Margot Fonteyn / Meredith Daneman.</t>
        </is>
      </c>
      <c r="F1303" t="inlineStr">
        <is>
          <t>No</t>
        </is>
      </c>
      <c r="G1303" t="inlineStr">
        <is>
          <t>1</t>
        </is>
      </c>
      <c r="H1303" t="inlineStr">
        <is>
          <t>No</t>
        </is>
      </c>
      <c r="I1303" t="inlineStr">
        <is>
          <t>No</t>
        </is>
      </c>
      <c r="J1303" t="inlineStr">
        <is>
          <t>0</t>
        </is>
      </c>
      <c r="K1303" t="inlineStr">
        <is>
          <t>Daneman, Meredith.</t>
        </is>
      </c>
      <c r="L1303" t="inlineStr">
        <is>
          <t>New York : Viking, 2004.</t>
        </is>
      </c>
      <c r="M1303" t="inlineStr">
        <is>
          <t>2004</t>
        </is>
      </c>
      <c r="O1303" t="inlineStr">
        <is>
          <t>eng</t>
        </is>
      </c>
      <c r="P1303" t="inlineStr">
        <is>
          <t>nyu</t>
        </is>
      </c>
      <c r="R1303" t="inlineStr">
        <is>
          <t xml:space="preserve">GV </t>
        </is>
      </c>
      <c r="S1303" t="n">
        <v>2</v>
      </c>
      <c r="T1303" t="n">
        <v>2</v>
      </c>
      <c r="U1303" t="inlineStr">
        <is>
          <t>2004-12-22</t>
        </is>
      </c>
      <c r="V1303" t="inlineStr">
        <is>
          <t>2004-12-22</t>
        </is>
      </c>
      <c r="W1303" t="inlineStr">
        <is>
          <t>2004-11-29</t>
        </is>
      </c>
      <c r="X1303" t="inlineStr">
        <is>
          <t>2004-11-29</t>
        </is>
      </c>
      <c r="Y1303" t="n">
        <v>744</v>
      </c>
      <c r="Z1303" t="n">
        <v>708</v>
      </c>
      <c r="AA1303" t="n">
        <v>758</v>
      </c>
      <c r="AB1303" t="n">
        <v>5</v>
      </c>
      <c r="AC1303" t="n">
        <v>5</v>
      </c>
      <c r="AD1303" t="n">
        <v>17</v>
      </c>
      <c r="AE1303" t="n">
        <v>19</v>
      </c>
      <c r="AF1303" t="n">
        <v>7</v>
      </c>
      <c r="AG1303" t="n">
        <v>8</v>
      </c>
      <c r="AH1303" t="n">
        <v>3</v>
      </c>
      <c r="AI1303" t="n">
        <v>3</v>
      </c>
      <c r="AJ1303" t="n">
        <v>9</v>
      </c>
      <c r="AK1303" t="n">
        <v>10</v>
      </c>
      <c r="AL1303" t="n">
        <v>3</v>
      </c>
      <c r="AM1303" t="n">
        <v>3</v>
      </c>
      <c r="AN1303" t="n">
        <v>0</v>
      </c>
      <c r="AO1303" t="n">
        <v>0</v>
      </c>
      <c r="AP1303" t="inlineStr">
        <is>
          <t>No</t>
        </is>
      </c>
      <c r="AQ1303" t="inlineStr">
        <is>
          <t>Yes</t>
        </is>
      </c>
      <c r="AR1303">
        <f>HYPERLINK("http://catalog.hathitrust.org/Record/007144815","HathiTrust Record")</f>
        <v/>
      </c>
      <c r="AS1303">
        <f>HYPERLINK("https://creighton-primo.hosted.exlibrisgroup.com/primo-explore/search?tab=default_tab&amp;search_scope=EVERYTHING&amp;vid=01CRU&amp;lang=en_US&amp;offset=0&amp;query=any,contains,991004414519702656","Catalog Record")</f>
        <v/>
      </c>
      <c r="AT1303">
        <f>HYPERLINK("http://www.worldcat.org/oclc/56803403","WorldCat Record")</f>
        <v/>
      </c>
      <c r="AU1303" t="inlineStr">
        <is>
          <t>724285:eng</t>
        </is>
      </c>
      <c r="AV1303" t="inlineStr">
        <is>
          <t>56803403</t>
        </is>
      </c>
      <c r="AW1303" t="inlineStr">
        <is>
          <t>991004414519702656</t>
        </is>
      </c>
      <c r="AX1303" t="inlineStr">
        <is>
          <t>991004414519702656</t>
        </is>
      </c>
      <c r="AY1303" t="inlineStr">
        <is>
          <t>2269306340002656</t>
        </is>
      </c>
      <c r="AZ1303" t="inlineStr">
        <is>
          <t>BOOK</t>
        </is>
      </c>
      <c r="BB1303" t="inlineStr">
        <is>
          <t>9780670843701</t>
        </is>
      </c>
      <c r="BC1303" t="inlineStr">
        <is>
          <t>32285005013247</t>
        </is>
      </c>
      <c r="BD1303" t="inlineStr">
        <is>
          <t>893876083</t>
        </is>
      </c>
    </row>
    <row r="1304">
      <c r="A1304" t="inlineStr">
        <is>
          <t>No</t>
        </is>
      </c>
      <c r="B1304" t="inlineStr">
        <is>
          <t>GV1785.F63 M33 1998</t>
        </is>
      </c>
      <c r="C1304" t="inlineStr">
        <is>
          <t>0                      GV 1785000F  63                 M  33          1998</t>
        </is>
      </c>
      <c r="D1304" t="inlineStr">
        <is>
          <t>Margot Fonteyn / Alastair Macaulay.</t>
        </is>
      </c>
      <c r="F1304" t="inlineStr">
        <is>
          <t>No</t>
        </is>
      </c>
      <c r="G1304" t="inlineStr">
        <is>
          <t>1</t>
        </is>
      </c>
      <c r="H1304" t="inlineStr">
        <is>
          <t>No</t>
        </is>
      </c>
      <c r="I1304" t="inlineStr">
        <is>
          <t>No</t>
        </is>
      </c>
      <c r="J1304" t="inlineStr">
        <is>
          <t>0</t>
        </is>
      </c>
      <c r="K1304" t="inlineStr">
        <is>
          <t>Macaulay, Alastair.</t>
        </is>
      </c>
      <c r="L1304" t="inlineStr">
        <is>
          <t>Stroud, Gloucestershire : Sutton, 1998.</t>
        </is>
      </c>
      <c r="M1304" t="inlineStr">
        <is>
          <t>1998</t>
        </is>
      </c>
      <c r="O1304" t="inlineStr">
        <is>
          <t>eng</t>
        </is>
      </c>
      <c r="P1304" t="inlineStr">
        <is>
          <t>enk</t>
        </is>
      </c>
      <c r="Q1304" t="inlineStr">
        <is>
          <t>Pocket biographies</t>
        </is>
      </c>
      <c r="R1304" t="inlineStr">
        <is>
          <t xml:space="preserve">GV </t>
        </is>
      </c>
      <c r="S1304" t="n">
        <v>7</v>
      </c>
      <c r="T1304" t="n">
        <v>7</v>
      </c>
      <c r="U1304" t="inlineStr">
        <is>
          <t>2002-05-01</t>
        </is>
      </c>
      <c r="V1304" t="inlineStr">
        <is>
          <t>2002-05-01</t>
        </is>
      </c>
      <c r="W1304" t="inlineStr">
        <is>
          <t>2000-11-01</t>
        </is>
      </c>
      <c r="X1304" t="inlineStr">
        <is>
          <t>2000-11-01</t>
        </is>
      </c>
      <c r="Y1304" t="n">
        <v>107</v>
      </c>
      <c r="Z1304" t="n">
        <v>60</v>
      </c>
      <c r="AA1304" t="n">
        <v>66</v>
      </c>
      <c r="AB1304" t="n">
        <v>1</v>
      </c>
      <c r="AC1304" t="n">
        <v>1</v>
      </c>
      <c r="AD1304" t="n">
        <v>1</v>
      </c>
      <c r="AE1304" t="n">
        <v>1</v>
      </c>
      <c r="AF1304" t="n">
        <v>0</v>
      </c>
      <c r="AG1304" t="n">
        <v>0</v>
      </c>
      <c r="AH1304" t="n">
        <v>1</v>
      </c>
      <c r="AI1304" t="n">
        <v>1</v>
      </c>
      <c r="AJ1304" t="n">
        <v>1</v>
      </c>
      <c r="AK1304" t="n">
        <v>1</v>
      </c>
      <c r="AL1304" t="n">
        <v>0</v>
      </c>
      <c r="AM1304" t="n">
        <v>0</v>
      </c>
      <c r="AN1304" t="n">
        <v>0</v>
      </c>
      <c r="AO1304" t="n">
        <v>0</v>
      </c>
      <c r="AP1304" t="inlineStr">
        <is>
          <t>No</t>
        </is>
      </c>
      <c r="AQ1304" t="inlineStr">
        <is>
          <t>Yes</t>
        </is>
      </c>
      <c r="AR1304">
        <f>HYPERLINK("http://catalog.hathitrust.org/Record/003305015","HathiTrust Record")</f>
        <v/>
      </c>
      <c r="AS1304">
        <f>HYPERLINK("https://creighton-primo.hosted.exlibrisgroup.com/primo-explore/search?tab=default_tab&amp;search_scope=EVERYTHING&amp;vid=01CRU&amp;lang=en_US&amp;offset=0&amp;query=any,contains,991003279629702656","Catalog Record")</f>
        <v/>
      </c>
      <c r="AT1304">
        <f>HYPERLINK("http://www.worldcat.org/oclc/39444059","WorldCat Record")</f>
        <v/>
      </c>
      <c r="AU1304" t="inlineStr">
        <is>
          <t>42147443:eng</t>
        </is>
      </c>
      <c r="AV1304" t="inlineStr">
        <is>
          <t>39444059</t>
        </is>
      </c>
      <c r="AW1304" t="inlineStr">
        <is>
          <t>991003279629702656</t>
        </is>
      </c>
      <c r="AX1304" t="inlineStr">
        <is>
          <t>991003279629702656</t>
        </is>
      </c>
      <c r="AY1304" t="inlineStr">
        <is>
          <t>2263567640002656</t>
        </is>
      </c>
      <c r="AZ1304" t="inlineStr">
        <is>
          <t>BOOK</t>
        </is>
      </c>
      <c r="BB1304" t="inlineStr">
        <is>
          <t>9780750915793</t>
        </is>
      </c>
      <c r="BC1304" t="inlineStr">
        <is>
          <t>32285004262308</t>
        </is>
      </c>
      <c r="BD1304" t="inlineStr">
        <is>
          <t>893793483</t>
        </is>
      </c>
    </row>
    <row r="1305">
      <c r="A1305" t="inlineStr">
        <is>
          <t>No</t>
        </is>
      </c>
      <c r="B1305" t="inlineStr">
        <is>
          <t>GV1785.F63 M65 1974</t>
        </is>
      </c>
      <c r="C1305" t="inlineStr">
        <is>
          <t>0                      GV 1785000F  63                 M  65          1974</t>
        </is>
      </c>
      <c r="D1305" t="inlineStr">
        <is>
          <t>Fonteyn : the making of a legend / Keith Money.</t>
        </is>
      </c>
      <c r="F1305" t="inlineStr">
        <is>
          <t>No</t>
        </is>
      </c>
      <c r="G1305" t="inlineStr">
        <is>
          <t>1</t>
        </is>
      </c>
      <c r="H1305" t="inlineStr">
        <is>
          <t>No</t>
        </is>
      </c>
      <c r="I1305" t="inlineStr">
        <is>
          <t>No</t>
        </is>
      </c>
      <c r="J1305" t="inlineStr">
        <is>
          <t>0</t>
        </is>
      </c>
      <c r="K1305" t="inlineStr">
        <is>
          <t>Money, Keith.</t>
        </is>
      </c>
      <c r="L1305" t="inlineStr">
        <is>
          <t>[New York] : Reynal, 1974, c1973.</t>
        </is>
      </c>
      <c r="M1305" t="inlineStr">
        <is>
          <t>1974</t>
        </is>
      </c>
      <c r="O1305" t="inlineStr">
        <is>
          <t>eng</t>
        </is>
      </c>
      <c r="P1305" t="inlineStr">
        <is>
          <t>nyu</t>
        </is>
      </c>
      <c r="R1305" t="inlineStr">
        <is>
          <t xml:space="preserve">GV </t>
        </is>
      </c>
      <c r="S1305" t="n">
        <v>3</v>
      </c>
      <c r="T1305" t="n">
        <v>3</v>
      </c>
      <c r="U1305" t="inlineStr">
        <is>
          <t>2002-12-10</t>
        </is>
      </c>
      <c r="V1305" t="inlineStr">
        <is>
          <t>2002-12-10</t>
        </is>
      </c>
      <c r="W1305" t="inlineStr">
        <is>
          <t>2002-12-10</t>
        </is>
      </c>
      <c r="X1305" t="inlineStr">
        <is>
          <t>2002-12-10</t>
        </is>
      </c>
      <c r="Y1305" t="n">
        <v>276</v>
      </c>
      <c r="Z1305" t="n">
        <v>271</v>
      </c>
      <c r="AA1305" t="n">
        <v>341</v>
      </c>
      <c r="AB1305" t="n">
        <v>1</v>
      </c>
      <c r="AC1305" t="n">
        <v>2</v>
      </c>
      <c r="AD1305" t="n">
        <v>4</v>
      </c>
      <c r="AE1305" t="n">
        <v>5</v>
      </c>
      <c r="AF1305" t="n">
        <v>2</v>
      </c>
      <c r="AG1305" t="n">
        <v>2</v>
      </c>
      <c r="AH1305" t="n">
        <v>1</v>
      </c>
      <c r="AI1305" t="n">
        <v>1</v>
      </c>
      <c r="AJ1305" t="n">
        <v>2</v>
      </c>
      <c r="AK1305" t="n">
        <v>2</v>
      </c>
      <c r="AL1305" t="n">
        <v>0</v>
      </c>
      <c r="AM1305" t="n">
        <v>1</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HYPERLINK("https://creighton-primo.hosted.exlibrisgroup.com/primo-explore/search?tab=default_tab&amp;search_scope=EVERYTHING&amp;vid=01CRU&amp;lang=en_US&amp;offset=0&amp;query=any,contains,991003958519702656","Catalog Record")</f>
        <v/>
      </c>
      <c r="AT1305">
        <f>HYPERLINK("http://www.worldcat.org/oclc/3255831","WorldCat Record")</f>
        <v/>
      </c>
      <c r="AU1305" t="inlineStr">
        <is>
          <t>502123036:eng</t>
        </is>
      </c>
      <c r="AV1305" t="inlineStr">
        <is>
          <t>3255831</t>
        </is>
      </c>
      <c r="AW1305" t="inlineStr">
        <is>
          <t>991003958519702656</t>
        </is>
      </c>
      <c r="AX1305" t="inlineStr">
        <is>
          <t>991003958519702656</t>
        </is>
      </c>
      <c r="AY1305" t="inlineStr">
        <is>
          <t>2272422220002656</t>
        </is>
      </c>
      <c r="AZ1305" t="inlineStr">
        <is>
          <t>BOOK</t>
        </is>
      </c>
      <c r="BB1305" t="inlineStr">
        <is>
          <t>9780688611637</t>
        </is>
      </c>
      <c r="BC1305" t="inlineStr">
        <is>
          <t>32285004669478</t>
        </is>
      </c>
      <c r="BD1305" t="inlineStr">
        <is>
          <t>893627910</t>
        </is>
      </c>
    </row>
    <row r="1306">
      <c r="A1306" t="inlineStr">
        <is>
          <t>No</t>
        </is>
      </c>
      <c r="B1306" t="inlineStr">
        <is>
          <t>GV1785.F67 B43 1996</t>
        </is>
      </c>
      <c r="C1306" t="inlineStr">
        <is>
          <t>0                      GV 1785000F  67                 B  43          1996</t>
        </is>
      </c>
      <c r="D1306" t="inlineStr">
        <is>
          <t>Bob Fosse's Broadway / Margery Beddow ; [foreword by Roy Scheider].</t>
        </is>
      </c>
      <c r="F1306" t="inlineStr">
        <is>
          <t>No</t>
        </is>
      </c>
      <c r="G1306" t="inlineStr">
        <is>
          <t>1</t>
        </is>
      </c>
      <c r="H1306" t="inlineStr">
        <is>
          <t>No</t>
        </is>
      </c>
      <c r="I1306" t="inlineStr">
        <is>
          <t>No</t>
        </is>
      </c>
      <c r="J1306" t="inlineStr">
        <is>
          <t>0</t>
        </is>
      </c>
      <c r="K1306" t="inlineStr">
        <is>
          <t>Beddow, Margery.</t>
        </is>
      </c>
      <c r="L1306" t="inlineStr">
        <is>
          <t>Portsmouth, NH : Heinemann, c1996.</t>
        </is>
      </c>
      <c r="M1306" t="inlineStr">
        <is>
          <t>1996</t>
        </is>
      </c>
      <c r="O1306" t="inlineStr">
        <is>
          <t>eng</t>
        </is>
      </c>
      <c r="P1306" t="inlineStr">
        <is>
          <t>nhu</t>
        </is>
      </c>
      <c r="R1306" t="inlineStr">
        <is>
          <t xml:space="preserve">GV </t>
        </is>
      </c>
      <c r="S1306" t="n">
        <v>2</v>
      </c>
      <c r="T1306" t="n">
        <v>2</v>
      </c>
      <c r="U1306" t="inlineStr">
        <is>
          <t>2010-01-11</t>
        </is>
      </c>
      <c r="V1306" t="inlineStr">
        <is>
          <t>2010-01-11</t>
        </is>
      </c>
      <c r="W1306" t="inlineStr">
        <is>
          <t>2010-01-11</t>
        </is>
      </c>
      <c r="X1306" t="inlineStr">
        <is>
          <t>2010-01-11</t>
        </is>
      </c>
      <c r="Y1306" t="n">
        <v>324</v>
      </c>
      <c r="Z1306" t="n">
        <v>291</v>
      </c>
      <c r="AA1306" t="n">
        <v>296</v>
      </c>
      <c r="AB1306" t="n">
        <v>3</v>
      </c>
      <c r="AC1306" t="n">
        <v>3</v>
      </c>
      <c r="AD1306" t="n">
        <v>16</v>
      </c>
      <c r="AE1306" t="n">
        <v>16</v>
      </c>
      <c r="AF1306" t="n">
        <v>8</v>
      </c>
      <c r="AG1306" t="n">
        <v>8</v>
      </c>
      <c r="AH1306" t="n">
        <v>2</v>
      </c>
      <c r="AI1306" t="n">
        <v>2</v>
      </c>
      <c r="AJ1306" t="n">
        <v>5</v>
      </c>
      <c r="AK1306" t="n">
        <v>5</v>
      </c>
      <c r="AL1306" t="n">
        <v>2</v>
      </c>
      <c r="AM1306" t="n">
        <v>2</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HYPERLINK("https://creighton-primo.hosted.exlibrisgroup.com/primo-explore/search?tab=default_tab&amp;search_scope=EVERYTHING&amp;vid=01CRU&amp;lang=en_US&amp;offset=0&amp;query=any,contains,991005347429702656","Catalog Record")</f>
        <v/>
      </c>
      <c r="AT1306">
        <f>HYPERLINK("http://www.worldcat.org/oclc/34320491","WorldCat Record")</f>
        <v/>
      </c>
      <c r="AU1306" t="inlineStr">
        <is>
          <t>39417800:eng</t>
        </is>
      </c>
      <c r="AV1306" t="inlineStr">
        <is>
          <t>34320491</t>
        </is>
      </c>
      <c r="AW1306" t="inlineStr">
        <is>
          <t>991005347429702656</t>
        </is>
      </c>
      <c r="AX1306" t="inlineStr">
        <is>
          <t>991005347429702656</t>
        </is>
      </c>
      <c r="AY1306" t="inlineStr">
        <is>
          <t>2256014250002656</t>
        </is>
      </c>
      <c r="AZ1306" t="inlineStr">
        <is>
          <t>BOOK</t>
        </is>
      </c>
      <c r="BB1306" t="inlineStr">
        <is>
          <t>9780435070021</t>
        </is>
      </c>
      <c r="BC1306" t="inlineStr">
        <is>
          <t>32285005556005</t>
        </is>
      </c>
      <c r="BD1306" t="inlineStr">
        <is>
          <t>893619829</t>
        </is>
      </c>
    </row>
    <row r="1307">
      <c r="A1307" t="inlineStr">
        <is>
          <t>No</t>
        </is>
      </c>
      <c r="B1307" t="inlineStr">
        <is>
          <t>GV1785.F67 G68 2003</t>
        </is>
      </c>
      <c r="C1307" t="inlineStr">
        <is>
          <t>0                      GV 1785000F  67                 G  68          2003</t>
        </is>
      </c>
      <c r="D1307" t="inlineStr">
        <is>
          <t>All his jazz : the life &amp; death of Bob Fosse / Martin Gottfried.</t>
        </is>
      </c>
      <c r="F1307" t="inlineStr">
        <is>
          <t>No</t>
        </is>
      </c>
      <c r="G1307" t="inlineStr">
        <is>
          <t>1</t>
        </is>
      </c>
      <c r="H1307" t="inlineStr">
        <is>
          <t>No</t>
        </is>
      </c>
      <c r="I1307" t="inlineStr">
        <is>
          <t>No</t>
        </is>
      </c>
      <c r="J1307" t="inlineStr">
        <is>
          <t>0</t>
        </is>
      </c>
      <c r="K1307" t="inlineStr">
        <is>
          <t>Gottfried, Martin.</t>
        </is>
      </c>
      <c r="L1307" t="inlineStr">
        <is>
          <t>Cambridge, MA : Da Capo Press, 2003.</t>
        </is>
      </c>
      <c r="M1307" t="inlineStr">
        <is>
          <t>2003</t>
        </is>
      </c>
      <c r="N1307" t="inlineStr">
        <is>
          <t>2nd Da Capo Press ed.</t>
        </is>
      </c>
      <c r="O1307" t="inlineStr">
        <is>
          <t>eng</t>
        </is>
      </c>
      <c r="P1307" t="inlineStr">
        <is>
          <t>mau</t>
        </is>
      </c>
      <c r="R1307" t="inlineStr">
        <is>
          <t xml:space="preserve">GV </t>
        </is>
      </c>
      <c r="S1307" t="n">
        <v>3</v>
      </c>
      <c r="T1307" t="n">
        <v>3</v>
      </c>
      <c r="U1307" t="inlineStr">
        <is>
          <t>2010-01-12</t>
        </is>
      </c>
      <c r="V1307" t="inlineStr">
        <is>
          <t>2010-01-12</t>
        </is>
      </c>
      <c r="W1307" t="inlineStr">
        <is>
          <t>2010-01-12</t>
        </is>
      </c>
      <c r="X1307" t="inlineStr">
        <is>
          <t>2010-01-12</t>
        </is>
      </c>
      <c r="Y1307" t="n">
        <v>129</v>
      </c>
      <c r="Z1307" t="n">
        <v>114</v>
      </c>
      <c r="AA1307" t="n">
        <v>909</v>
      </c>
      <c r="AB1307" t="n">
        <v>2</v>
      </c>
      <c r="AC1307" t="n">
        <v>6</v>
      </c>
      <c r="AD1307" t="n">
        <v>4</v>
      </c>
      <c r="AE1307" t="n">
        <v>18</v>
      </c>
      <c r="AF1307" t="n">
        <v>3</v>
      </c>
      <c r="AG1307" t="n">
        <v>8</v>
      </c>
      <c r="AH1307" t="n">
        <v>1</v>
      </c>
      <c r="AI1307" t="n">
        <v>2</v>
      </c>
      <c r="AJ1307" t="n">
        <v>1</v>
      </c>
      <c r="AK1307" t="n">
        <v>9</v>
      </c>
      <c r="AL1307" t="n">
        <v>1</v>
      </c>
      <c r="AM1307" t="n">
        <v>3</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HYPERLINK("https://creighton-primo.hosted.exlibrisgroup.com/primo-explore/search?tab=default_tab&amp;search_scope=EVERYTHING&amp;vid=01CRU&amp;lang=en_US&amp;offset=0&amp;query=any,contains,991005347419702656","Catalog Record")</f>
        <v/>
      </c>
      <c r="AT1307">
        <f>HYPERLINK("http://www.worldcat.org/oclc/53841425","WorldCat Record")</f>
        <v/>
      </c>
      <c r="AU1307" t="inlineStr">
        <is>
          <t>673177:eng</t>
        </is>
      </c>
      <c r="AV1307" t="inlineStr">
        <is>
          <t>53841425</t>
        </is>
      </c>
      <c r="AW1307" t="inlineStr">
        <is>
          <t>991005347419702656</t>
        </is>
      </c>
      <c r="AX1307" t="inlineStr">
        <is>
          <t>991005347419702656</t>
        </is>
      </c>
      <c r="AY1307" t="inlineStr">
        <is>
          <t>2259947490002656</t>
        </is>
      </c>
      <c r="AZ1307" t="inlineStr">
        <is>
          <t>BOOK</t>
        </is>
      </c>
      <c r="BB1307" t="inlineStr">
        <is>
          <t>9780306812842</t>
        </is>
      </c>
      <c r="BC1307" t="inlineStr">
        <is>
          <t>32285005556294</t>
        </is>
      </c>
      <c r="BD1307" t="inlineStr">
        <is>
          <t>893345049</t>
        </is>
      </c>
    </row>
    <row r="1308">
      <c r="A1308" t="inlineStr">
        <is>
          <t>No</t>
        </is>
      </c>
      <c r="B1308" t="inlineStr">
        <is>
          <t>GV1785.G7 T73 1997</t>
        </is>
      </c>
      <c r="C1308" t="inlineStr">
        <is>
          <t>0                      GV 1785000G  7                  T  73          1997</t>
        </is>
      </c>
      <c r="D1308" t="inlineStr">
        <is>
          <t>Goddess : Martha Graham's dancers remember / by Robert Tracy.</t>
        </is>
      </c>
      <c r="F1308" t="inlineStr">
        <is>
          <t>No</t>
        </is>
      </c>
      <c r="G1308" t="inlineStr">
        <is>
          <t>1</t>
        </is>
      </c>
      <c r="H1308" t="inlineStr">
        <is>
          <t>No</t>
        </is>
      </c>
      <c r="I1308" t="inlineStr">
        <is>
          <t>No</t>
        </is>
      </c>
      <c r="J1308" t="inlineStr">
        <is>
          <t>0</t>
        </is>
      </c>
      <c r="K1308" t="inlineStr">
        <is>
          <t>Tracy, Robert.</t>
        </is>
      </c>
      <c r="L1308" t="inlineStr">
        <is>
          <t>New York : Limelight Editions, 1997, c1996.</t>
        </is>
      </c>
      <c r="M1308" t="inlineStr">
        <is>
          <t>1997</t>
        </is>
      </c>
      <c r="N1308" t="inlineStr">
        <is>
          <t>1st Limelight ed.</t>
        </is>
      </c>
      <c r="O1308" t="inlineStr">
        <is>
          <t>eng</t>
        </is>
      </c>
      <c r="P1308" t="inlineStr">
        <is>
          <t>nyu</t>
        </is>
      </c>
      <c r="R1308" t="inlineStr">
        <is>
          <t xml:space="preserve">GV </t>
        </is>
      </c>
      <c r="S1308" t="n">
        <v>3</v>
      </c>
      <c r="T1308" t="n">
        <v>3</v>
      </c>
      <c r="U1308" t="inlineStr">
        <is>
          <t>2010-01-12</t>
        </is>
      </c>
      <c r="V1308" t="inlineStr">
        <is>
          <t>2010-01-12</t>
        </is>
      </c>
      <c r="W1308" t="inlineStr">
        <is>
          <t>2010-01-12</t>
        </is>
      </c>
      <c r="X1308" t="inlineStr">
        <is>
          <t>2010-01-12</t>
        </is>
      </c>
      <c r="Y1308" t="n">
        <v>470</v>
      </c>
      <c r="Z1308" t="n">
        <v>421</v>
      </c>
      <c r="AA1308" t="n">
        <v>428</v>
      </c>
      <c r="AB1308" t="n">
        <v>3</v>
      </c>
      <c r="AC1308" t="n">
        <v>3</v>
      </c>
      <c r="AD1308" t="n">
        <v>13</v>
      </c>
      <c r="AE1308" t="n">
        <v>13</v>
      </c>
      <c r="AF1308" t="n">
        <v>5</v>
      </c>
      <c r="AG1308" t="n">
        <v>5</v>
      </c>
      <c r="AH1308" t="n">
        <v>3</v>
      </c>
      <c r="AI1308" t="n">
        <v>3</v>
      </c>
      <c r="AJ1308" t="n">
        <v>7</v>
      </c>
      <c r="AK1308" t="n">
        <v>7</v>
      </c>
      <c r="AL1308" t="n">
        <v>2</v>
      </c>
      <c r="AM1308" t="n">
        <v>2</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HYPERLINK("https://creighton-primo.hosted.exlibrisgroup.com/primo-explore/search?tab=default_tab&amp;search_scope=EVERYTHING&amp;vid=01CRU&amp;lang=en_US&amp;offset=0&amp;query=any,contains,991005347869702656","Catalog Record")</f>
        <v/>
      </c>
      <c r="AT1308">
        <f>HYPERLINK("http://www.worldcat.org/oclc/35008292","WorldCat Record")</f>
        <v/>
      </c>
      <c r="AU1308" t="inlineStr">
        <is>
          <t>311309099:eng</t>
        </is>
      </c>
      <c r="AV1308" t="inlineStr">
        <is>
          <t>35008292</t>
        </is>
      </c>
      <c r="AW1308" t="inlineStr">
        <is>
          <t>991005347869702656</t>
        </is>
      </c>
      <c r="AX1308" t="inlineStr">
        <is>
          <t>991005347869702656</t>
        </is>
      </c>
      <c r="AY1308" t="inlineStr">
        <is>
          <t>2262279330002656</t>
        </is>
      </c>
      <c r="AZ1308" t="inlineStr">
        <is>
          <t>BOOK</t>
        </is>
      </c>
      <c r="BB1308" t="inlineStr">
        <is>
          <t>9780879100865</t>
        </is>
      </c>
      <c r="BC1308" t="inlineStr">
        <is>
          <t>32285005556237</t>
        </is>
      </c>
      <c r="BD1308" t="inlineStr">
        <is>
          <t>893883702</t>
        </is>
      </c>
    </row>
    <row r="1309">
      <c r="A1309" t="inlineStr">
        <is>
          <t>No</t>
        </is>
      </c>
      <c r="B1309" t="inlineStr">
        <is>
          <t>GV1785.K49 A3 1986</t>
        </is>
      </c>
      <c r="C1309" t="inlineStr">
        <is>
          <t>0                      GV 1785000K  49                 A  3           1986</t>
        </is>
      </c>
      <c r="D1309" t="inlineStr">
        <is>
          <t>Dancing on my grave : an autobiography / by Gelsey Kirkland with Greg Lawrence.</t>
        </is>
      </c>
      <c r="F1309" t="inlineStr">
        <is>
          <t>No</t>
        </is>
      </c>
      <c r="G1309" t="inlineStr">
        <is>
          <t>1</t>
        </is>
      </c>
      <c r="H1309" t="inlineStr">
        <is>
          <t>No</t>
        </is>
      </c>
      <c r="I1309" t="inlineStr">
        <is>
          <t>No</t>
        </is>
      </c>
      <c r="J1309" t="inlineStr">
        <is>
          <t>0</t>
        </is>
      </c>
      <c r="K1309" t="inlineStr">
        <is>
          <t>Kirkland, Gelsey.</t>
        </is>
      </c>
      <c r="L1309" t="inlineStr">
        <is>
          <t>Garden City, N.Y. : Doubleday, 1986.</t>
        </is>
      </c>
      <c r="M1309" t="inlineStr">
        <is>
          <t>1986</t>
        </is>
      </c>
      <c r="N1309" t="inlineStr">
        <is>
          <t>1st ed.</t>
        </is>
      </c>
      <c r="O1309" t="inlineStr">
        <is>
          <t>eng</t>
        </is>
      </c>
      <c r="P1309" t="inlineStr">
        <is>
          <t>nyu</t>
        </is>
      </c>
      <c r="R1309" t="inlineStr">
        <is>
          <t xml:space="preserve">GV </t>
        </is>
      </c>
      <c r="S1309" t="n">
        <v>18</v>
      </c>
      <c r="T1309" t="n">
        <v>18</v>
      </c>
      <c r="U1309" t="inlineStr">
        <is>
          <t>2007-05-02</t>
        </is>
      </c>
      <c r="V1309" t="inlineStr">
        <is>
          <t>2007-05-02</t>
        </is>
      </c>
      <c r="W1309" t="inlineStr">
        <is>
          <t>1990-03-28</t>
        </is>
      </c>
      <c r="X1309" t="inlineStr">
        <is>
          <t>1990-03-28</t>
        </is>
      </c>
      <c r="Y1309" t="n">
        <v>1567</v>
      </c>
      <c r="Z1309" t="n">
        <v>1504</v>
      </c>
      <c r="AA1309" t="n">
        <v>1617</v>
      </c>
      <c r="AB1309" t="n">
        <v>12</v>
      </c>
      <c r="AC1309" t="n">
        <v>12</v>
      </c>
      <c r="AD1309" t="n">
        <v>24</v>
      </c>
      <c r="AE1309" t="n">
        <v>24</v>
      </c>
      <c r="AF1309" t="n">
        <v>10</v>
      </c>
      <c r="AG1309" t="n">
        <v>10</v>
      </c>
      <c r="AH1309" t="n">
        <v>4</v>
      </c>
      <c r="AI1309" t="n">
        <v>4</v>
      </c>
      <c r="AJ1309" t="n">
        <v>9</v>
      </c>
      <c r="AK1309" t="n">
        <v>9</v>
      </c>
      <c r="AL1309" t="n">
        <v>3</v>
      </c>
      <c r="AM1309" t="n">
        <v>3</v>
      </c>
      <c r="AN1309" t="n">
        <v>1</v>
      </c>
      <c r="AO1309" t="n">
        <v>1</v>
      </c>
      <c r="AP1309" t="inlineStr">
        <is>
          <t>No</t>
        </is>
      </c>
      <c r="AQ1309" t="inlineStr">
        <is>
          <t>No</t>
        </is>
      </c>
      <c r="AS1309">
        <f>HYPERLINK("https://creighton-primo.hosted.exlibrisgroup.com/primo-explore/search?tab=default_tab&amp;search_scope=EVERYTHING&amp;vid=01CRU&amp;lang=en_US&amp;offset=0&amp;query=any,contains,991000830559702656","Catalog Record")</f>
        <v/>
      </c>
      <c r="AT1309">
        <f>HYPERLINK("http://www.worldcat.org/oclc/13454924","WorldCat Record")</f>
        <v/>
      </c>
      <c r="AU1309" t="inlineStr">
        <is>
          <t>11534634:eng</t>
        </is>
      </c>
      <c r="AV1309" t="inlineStr">
        <is>
          <t>13454924</t>
        </is>
      </c>
      <c r="AW1309" t="inlineStr">
        <is>
          <t>991000830559702656</t>
        </is>
      </c>
      <c r="AX1309" t="inlineStr">
        <is>
          <t>991000830559702656</t>
        </is>
      </c>
      <c r="AY1309" t="inlineStr">
        <is>
          <t>2263964890002656</t>
        </is>
      </c>
      <c r="AZ1309" t="inlineStr">
        <is>
          <t>BOOK</t>
        </is>
      </c>
      <c r="BB1309" t="inlineStr">
        <is>
          <t>9780385199643</t>
        </is>
      </c>
      <c r="BC1309" t="inlineStr">
        <is>
          <t>32285000099712</t>
        </is>
      </c>
      <c r="BD1309" t="inlineStr">
        <is>
          <t>893231452</t>
        </is>
      </c>
    </row>
    <row r="1310">
      <c r="A1310" t="inlineStr">
        <is>
          <t>No</t>
        </is>
      </c>
      <c r="B1310" t="inlineStr">
        <is>
          <t>GV1785.L475 A32 2007</t>
        </is>
      </c>
      <c r="C1310" t="inlineStr">
        <is>
          <t>0                      GV 1785000L  475                A  32          2007</t>
        </is>
      </c>
      <c r="D1310" t="inlineStr">
        <is>
          <t>The peasant prince / Li Cunxin ; [illustrated by] Anne Spudvilas.</t>
        </is>
      </c>
      <c r="F1310" t="inlineStr">
        <is>
          <t>No</t>
        </is>
      </c>
      <c r="G1310" t="inlineStr">
        <is>
          <t>1</t>
        </is>
      </c>
      <c r="H1310" t="inlineStr">
        <is>
          <t>No</t>
        </is>
      </c>
      <c r="I1310" t="inlineStr">
        <is>
          <t>No</t>
        </is>
      </c>
      <c r="J1310" t="inlineStr">
        <is>
          <t>0</t>
        </is>
      </c>
      <c r="K1310" t="inlineStr">
        <is>
          <t>Li, Cunxin, 1961-</t>
        </is>
      </c>
      <c r="L1310" t="inlineStr">
        <is>
          <t>Camberwell, Vic. : Viking, 2007.</t>
        </is>
      </c>
      <c r="M1310" t="inlineStr">
        <is>
          <t>2007</t>
        </is>
      </c>
      <c r="N1310" t="inlineStr">
        <is>
          <t>1st ed.</t>
        </is>
      </c>
      <c r="O1310" t="inlineStr">
        <is>
          <t>eng</t>
        </is>
      </c>
      <c r="P1310" t="inlineStr">
        <is>
          <t>vra</t>
        </is>
      </c>
      <c r="R1310" t="inlineStr">
        <is>
          <t xml:space="preserve">GV </t>
        </is>
      </c>
      <c r="S1310" t="n">
        <v>1</v>
      </c>
      <c r="T1310" t="n">
        <v>1</v>
      </c>
      <c r="U1310" t="inlineStr">
        <is>
          <t>2008-10-09</t>
        </is>
      </c>
      <c r="V1310" t="inlineStr">
        <is>
          <t>2008-10-09</t>
        </is>
      </c>
      <c r="W1310" t="inlineStr">
        <is>
          <t>2008-10-09</t>
        </is>
      </c>
      <c r="X1310" t="inlineStr">
        <is>
          <t>2008-10-09</t>
        </is>
      </c>
      <c r="Y1310" t="n">
        <v>175</v>
      </c>
      <c r="Z1310" t="n">
        <v>13</v>
      </c>
      <c r="AA1310" t="n">
        <v>16</v>
      </c>
      <c r="AB1310" t="n">
        <v>1</v>
      </c>
      <c r="AC1310" t="n">
        <v>1</v>
      </c>
      <c r="AD1310" t="n">
        <v>1</v>
      </c>
      <c r="AE1310" t="n">
        <v>1</v>
      </c>
      <c r="AF1310" t="n">
        <v>0</v>
      </c>
      <c r="AG1310" t="n">
        <v>0</v>
      </c>
      <c r="AH1310" t="n">
        <v>1</v>
      </c>
      <c r="AI1310" t="n">
        <v>1</v>
      </c>
      <c r="AJ1310" t="n">
        <v>0</v>
      </c>
      <c r="AK1310" t="n">
        <v>0</v>
      </c>
      <c r="AL1310" t="n">
        <v>0</v>
      </c>
      <c r="AM1310" t="n">
        <v>0</v>
      </c>
      <c r="AN1310" t="n">
        <v>0</v>
      </c>
      <c r="AO1310" t="n">
        <v>0</v>
      </c>
      <c r="AP1310" t="inlineStr">
        <is>
          <t>No</t>
        </is>
      </c>
      <c r="AQ1310" t="inlineStr">
        <is>
          <t>No</t>
        </is>
      </c>
      <c r="AS1310">
        <f>HYPERLINK("https://creighton-primo.hosted.exlibrisgroup.com/primo-explore/search?tab=default_tab&amp;search_scope=EVERYTHING&amp;vid=01CRU&amp;lang=en_US&amp;offset=0&amp;query=any,contains,991005271169702656","Catalog Record")</f>
        <v/>
      </c>
      <c r="AT1310">
        <f>HYPERLINK("http://www.worldcat.org/oclc/174111880","WorldCat Record")</f>
        <v/>
      </c>
      <c r="AU1310" t="inlineStr">
        <is>
          <t>3805410707:eng</t>
        </is>
      </c>
      <c r="AV1310" t="inlineStr">
        <is>
          <t>174111880</t>
        </is>
      </c>
      <c r="AW1310" t="inlineStr">
        <is>
          <t>991005271169702656</t>
        </is>
      </c>
      <c r="AX1310" t="inlineStr">
        <is>
          <t>991005271169702656</t>
        </is>
      </c>
      <c r="AY1310" t="inlineStr">
        <is>
          <t>2262327710002656</t>
        </is>
      </c>
      <c r="AZ1310" t="inlineStr">
        <is>
          <t>BOOK</t>
        </is>
      </c>
      <c r="BB1310" t="inlineStr">
        <is>
          <t>9780670070541</t>
        </is>
      </c>
      <c r="BC1310" t="inlineStr">
        <is>
          <t>32285005462428</t>
        </is>
      </c>
      <c r="BD1310" t="inlineStr">
        <is>
          <t>893768553</t>
        </is>
      </c>
    </row>
    <row r="1311">
      <c r="A1311" t="inlineStr">
        <is>
          <t>No</t>
        </is>
      </c>
      <c r="B1311" t="inlineStr">
        <is>
          <t>GV1785.M283 N67 2004</t>
        </is>
      </c>
      <c r="C1311" t="inlineStr">
        <is>
          <t>0                      GV 1785000M  283                N  67          2004</t>
        </is>
      </c>
      <c r="D1311" t="inlineStr">
        <is>
          <t>Leonide Massine and the 20th century ballet / Leslie Norton.</t>
        </is>
      </c>
      <c r="F1311" t="inlineStr">
        <is>
          <t>No</t>
        </is>
      </c>
      <c r="G1311" t="inlineStr">
        <is>
          <t>1</t>
        </is>
      </c>
      <c r="H1311" t="inlineStr">
        <is>
          <t>No</t>
        </is>
      </c>
      <c r="I1311" t="inlineStr">
        <is>
          <t>No</t>
        </is>
      </c>
      <c r="J1311" t="inlineStr">
        <is>
          <t>0</t>
        </is>
      </c>
      <c r="K1311" t="inlineStr">
        <is>
          <t>Norton, Leslie, 1952-</t>
        </is>
      </c>
      <c r="L1311" t="inlineStr">
        <is>
          <t>Jefferson, N.C. : McFarland &amp; Co., c2004.</t>
        </is>
      </c>
      <c r="M1311" t="inlineStr">
        <is>
          <t>2004</t>
        </is>
      </c>
      <c r="O1311" t="inlineStr">
        <is>
          <t>eng</t>
        </is>
      </c>
      <c r="P1311" t="inlineStr">
        <is>
          <t>ncu</t>
        </is>
      </c>
      <c r="R1311" t="inlineStr">
        <is>
          <t xml:space="preserve">GV </t>
        </is>
      </c>
      <c r="S1311" t="n">
        <v>1</v>
      </c>
      <c r="T1311" t="n">
        <v>1</v>
      </c>
      <c r="U1311" t="inlineStr">
        <is>
          <t>2004-08-09</t>
        </is>
      </c>
      <c r="V1311" t="inlineStr">
        <is>
          <t>2004-08-09</t>
        </is>
      </c>
      <c r="W1311" t="inlineStr">
        <is>
          <t>2004-08-09</t>
        </is>
      </c>
      <c r="X1311" t="inlineStr">
        <is>
          <t>2004-08-09</t>
        </is>
      </c>
      <c r="Y1311" t="n">
        <v>207</v>
      </c>
      <c r="Z1311" t="n">
        <v>174</v>
      </c>
      <c r="AA1311" t="n">
        <v>190</v>
      </c>
      <c r="AB1311" t="n">
        <v>2</v>
      </c>
      <c r="AC1311" t="n">
        <v>3</v>
      </c>
      <c r="AD1311" t="n">
        <v>11</v>
      </c>
      <c r="AE1311" t="n">
        <v>12</v>
      </c>
      <c r="AF1311" t="n">
        <v>5</v>
      </c>
      <c r="AG1311" t="n">
        <v>5</v>
      </c>
      <c r="AH1311" t="n">
        <v>4</v>
      </c>
      <c r="AI1311" t="n">
        <v>4</v>
      </c>
      <c r="AJ1311" t="n">
        <v>6</v>
      </c>
      <c r="AK1311" t="n">
        <v>6</v>
      </c>
      <c r="AL1311" t="n">
        <v>1</v>
      </c>
      <c r="AM1311" t="n">
        <v>2</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HYPERLINK("https://creighton-primo.hosted.exlibrisgroup.com/primo-explore/search?tab=default_tab&amp;search_scope=EVERYTHING&amp;vid=01CRU&amp;lang=en_US&amp;offset=0&amp;query=any,contains,991004313679702656","Catalog Record")</f>
        <v/>
      </c>
      <c r="AT1311">
        <f>HYPERLINK("http://www.worldcat.org/oclc/54424886","WorldCat Record")</f>
        <v/>
      </c>
      <c r="AU1311" t="inlineStr">
        <is>
          <t>771139:eng</t>
        </is>
      </c>
      <c r="AV1311" t="inlineStr">
        <is>
          <t>54424886</t>
        </is>
      </c>
      <c r="AW1311" t="inlineStr">
        <is>
          <t>991004313679702656</t>
        </is>
      </c>
      <c r="AX1311" t="inlineStr">
        <is>
          <t>991004313679702656</t>
        </is>
      </c>
      <c r="AY1311" t="inlineStr">
        <is>
          <t>2267447060002656</t>
        </is>
      </c>
      <c r="AZ1311" t="inlineStr">
        <is>
          <t>BOOK</t>
        </is>
      </c>
      <c r="BB1311" t="inlineStr">
        <is>
          <t>9780786417520</t>
        </is>
      </c>
      <c r="BC1311" t="inlineStr">
        <is>
          <t>32285004980339</t>
        </is>
      </c>
      <c r="BD1311" t="inlineStr">
        <is>
          <t>893423648</t>
        </is>
      </c>
    </row>
    <row r="1312">
      <c r="A1312" t="inlineStr">
        <is>
          <t>No</t>
        </is>
      </c>
      <c r="B1312" t="inlineStr">
        <is>
          <t>GV1785.N6 A3 1999</t>
        </is>
      </c>
      <c r="C1312" t="inlineStr">
        <is>
          <t>0                      GV 1785000N  6                  A  3           1999</t>
        </is>
      </c>
      <c r="D1312" t="inlineStr">
        <is>
          <t>The diary of Vaslav Nijinsky / translated from the Russian by Kyril FitzLyon ; edited by Joan Acocella.</t>
        </is>
      </c>
      <c r="F1312" t="inlineStr">
        <is>
          <t>No</t>
        </is>
      </c>
      <c r="G1312" t="inlineStr">
        <is>
          <t>1</t>
        </is>
      </c>
      <c r="H1312" t="inlineStr">
        <is>
          <t>No</t>
        </is>
      </c>
      <c r="I1312" t="inlineStr">
        <is>
          <t>No</t>
        </is>
      </c>
      <c r="J1312" t="inlineStr">
        <is>
          <t>0</t>
        </is>
      </c>
      <c r="K1312" t="inlineStr">
        <is>
          <t>Nijinsky, Vaslaw, 1890-1950.</t>
        </is>
      </c>
      <c r="L1312" t="inlineStr">
        <is>
          <t>New York : Farrar, Straus and Giroux, 1999.</t>
        </is>
      </c>
      <c r="M1312" t="inlineStr">
        <is>
          <t>1999</t>
        </is>
      </c>
      <c r="N1312" t="inlineStr">
        <is>
          <t>Unexpurgated ed.</t>
        </is>
      </c>
      <c r="O1312" t="inlineStr">
        <is>
          <t>eng</t>
        </is>
      </c>
      <c r="P1312" t="inlineStr">
        <is>
          <t>nyu</t>
        </is>
      </c>
      <c r="R1312" t="inlineStr">
        <is>
          <t xml:space="preserve">GV </t>
        </is>
      </c>
      <c r="S1312" t="n">
        <v>2</v>
      </c>
      <c r="T1312" t="n">
        <v>2</v>
      </c>
      <c r="U1312" t="inlineStr">
        <is>
          <t>2003-07-08</t>
        </is>
      </c>
      <c r="V1312" t="inlineStr">
        <is>
          <t>2003-07-08</t>
        </is>
      </c>
      <c r="W1312" t="inlineStr">
        <is>
          <t>2002-09-12</t>
        </is>
      </c>
      <c r="X1312" t="inlineStr">
        <is>
          <t>2002-09-12</t>
        </is>
      </c>
      <c r="Y1312" t="n">
        <v>573</v>
      </c>
      <c r="Z1312" t="n">
        <v>524</v>
      </c>
      <c r="AA1312" t="n">
        <v>893</v>
      </c>
      <c r="AB1312" t="n">
        <v>2</v>
      </c>
      <c r="AC1312" t="n">
        <v>4</v>
      </c>
      <c r="AD1312" t="n">
        <v>21</v>
      </c>
      <c r="AE1312" t="n">
        <v>29</v>
      </c>
      <c r="AF1312" t="n">
        <v>10</v>
      </c>
      <c r="AG1312" t="n">
        <v>13</v>
      </c>
      <c r="AH1312" t="n">
        <v>4</v>
      </c>
      <c r="AI1312" t="n">
        <v>6</v>
      </c>
      <c r="AJ1312" t="n">
        <v>11</v>
      </c>
      <c r="AK1312" t="n">
        <v>16</v>
      </c>
      <c r="AL1312" t="n">
        <v>1</v>
      </c>
      <c r="AM1312" t="n">
        <v>3</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HYPERLINK("https://creighton-primo.hosted.exlibrisgroup.com/primo-explore/search?tab=default_tab&amp;search_scope=EVERYTHING&amp;vid=01CRU&amp;lang=en_US&amp;offset=0&amp;query=any,contains,991003886069702656","Catalog Record")</f>
        <v/>
      </c>
      <c r="AT1312">
        <f>HYPERLINK("http://www.worldcat.org/oclc/39985535","WorldCat Record")</f>
        <v/>
      </c>
      <c r="AU1312" t="inlineStr">
        <is>
          <t>500367:eng</t>
        </is>
      </c>
      <c r="AV1312" t="inlineStr">
        <is>
          <t>39985535</t>
        </is>
      </c>
      <c r="AW1312" t="inlineStr">
        <is>
          <t>991003886069702656</t>
        </is>
      </c>
      <c r="AX1312" t="inlineStr">
        <is>
          <t>991003886069702656</t>
        </is>
      </c>
      <c r="AY1312" t="inlineStr">
        <is>
          <t>2258743510002656</t>
        </is>
      </c>
      <c r="AZ1312" t="inlineStr">
        <is>
          <t>BOOK</t>
        </is>
      </c>
      <c r="BB1312" t="inlineStr">
        <is>
          <t>9780374139216</t>
        </is>
      </c>
      <c r="BC1312" t="inlineStr">
        <is>
          <t>32285004651591</t>
        </is>
      </c>
      <c r="BD1312" t="inlineStr">
        <is>
          <t>893531730</t>
        </is>
      </c>
    </row>
    <row r="1313">
      <c r="A1313" t="inlineStr">
        <is>
          <t>No</t>
        </is>
      </c>
      <c r="B1313" t="inlineStr">
        <is>
          <t>GV1785.N6 B8 1971b</t>
        </is>
      </c>
      <c r="C1313" t="inlineStr">
        <is>
          <t>0                      GV 1785000N  6                  B  8           1971b</t>
        </is>
      </c>
      <c r="D1313" t="inlineStr">
        <is>
          <t>Nijinsky.</t>
        </is>
      </c>
      <c r="F1313" t="inlineStr">
        <is>
          <t>No</t>
        </is>
      </c>
      <c r="G1313" t="inlineStr">
        <is>
          <t>1</t>
        </is>
      </c>
      <c r="H1313" t="inlineStr">
        <is>
          <t>No</t>
        </is>
      </c>
      <c r="I1313" t="inlineStr">
        <is>
          <t>No</t>
        </is>
      </c>
      <c r="J1313" t="inlineStr">
        <is>
          <t>0</t>
        </is>
      </c>
      <c r="K1313" t="inlineStr">
        <is>
          <t>Buckle, Richard.</t>
        </is>
      </c>
      <c r="L1313" t="inlineStr">
        <is>
          <t>New York : Simon and Schuster, [c1971]</t>
        </is>
      </c>
      <c r="M1313" t="inlineStr">
        <is>
          <t>1971</t>
        </is>
      </c>
      <c r="O1313" t="inlineStr">
        <is>
          <t>eng</t>
        </is>
      </c>
      <c r="P1313" t="inlineStr">
        <is>
          <t>nyu</t>
        </is>
      </c>
      <c r="R1313" t="inlineStr">
        <is>
          <t xml:space="preserve">GV </t>
        </is>
      </c>
      <c r="S1313" t="n">
        <v>5</v>
      </c>
      <c r="T1313" t="n">
        <v>5</v>
      </c>
      <c r="U1313" t="inlineStr">
        <is>
          <t>1994-04-18</t>
        </is>
      </c>
      <c r="V1313" t="inlineStr">
        <is>
          <t>1994-04-18</t>
        </is>
      </c>
      <c r="W1313" t="inlineStr">
        <is>
          <t>1990-11-14</t>
        </is>
      </c>
      <c r="X1313" t="inlineStr">
        <is>
          <t>1990-11-14</t>
        </is>
      </c>
      <c r="Y1313" t="n">
        <v>933</v>
      </c>
      <c r="Z1313" t="n">
        <v>890</v>
      </c>
      <c r="AA1313" t="n">
        <v>1119</v>
      </c>
      <c r="AB1313" t="n">
        <v>6</v>
      </c>
      <c r="AC1313" t="n">
        <v>6</v>
      </c>
      <c r="AD1313" t="n">
        <v>31</v>
      </c>
      <c r="AE1313" t="n">
        <v>34</v>
      </c>
      <c r="AF1313" t="n">
        <v>13</v>
      </c>
      <c r="AG1313" t="n">
        <v>15</v>
      </c>
      <c r="AH1313" t="n">
        <v>7</v>
      </c>
      <c r="AI1313" t="n">
        <v>8</v>
      </c>
      <c r="AJ1313" t="n">
        <v>13</v>
      </c>
      <c r="AK1313" t="n">
        <v>15</v>
      </c>
      <c r="AL1313" t="n">
        <v>4</v>
      </c>
      <c r="AM1313" t="n">
        <v>4</v>
      </c>
      <c r="AN1313" t="n">
        <v>0</v>
      </c>
      <c r="AO1313" t="n">
        <v>0</v>
      </c>
      <c r="AP1313" t="inlineStr">
        <is>
          <t>No</t>
        </is>
      </c>
      <c r="AQ1313" t="inlineStr">
        <is>
          <t>Yes</t>
        </is>
      </c>
      <c r="AR1313">
        <f>HYPERLINK("http://catalog.hathitrust.org/Record/001278093","HathiTrust Record")</f>
        <v/>
      </c>
      <c r="AS1313">
        <f>HYPERLINK("https://creighton-primo.hosted.exlibrisgroup.com/primo-explore/search?tab=default_tab&amp;search_scope=EVERYTHING&amp;vid=01CRU&amp;lang=en_US&amp;offset=0&amp;query=any,contains,991004239329702656","Catalog Record")</f>
        <v/>
      </c>
      <c r="AT1313">
        <f>HYPERLINK("http://www.worldcat.org/oclc/2780318","WorldCat Record")</f>
        <v/>
      </c>
      <c r="AU1313" t="inlineStr">
        <is>
          <t>1385104:eng</t>
        </is>
      </c>
      <c r="AV1313" t="inlineStr">
        <is>
          <t>2780318</t>
        </is>
      </c>
      <c r="AW1313" t="inlineStr">
        <is>
          <t>991004239329702656</t>
        </is>
      </c>
      <c r="AX1313" t="inlineStr">
        <is>
          <t>991004239329702656</t>
        </is>
      </c>
      <c r="AY1313" t="inlineStr">
        <is>
          <t>2263019370002656</t>
        </is>
      </c>
      <c r="AZ1313" t="inlineStr">
        <is>
          <t>BOOK</t>
        </is>
      </c>
      <c r="BB1313" t="inlineStr">
        <is>
          <t>9780671211691</t>
        </is>
      </c>
      <c r="BC1313" t="inlineStr">
        <is>
          <t>32285000396290</t>
        </is>
      </c>
      <c r="BD1313" t="inlineStr">
        <is>
          <t>893775799</t>
        </is>
      </c>
    </row>
    <row r="1314">
      <c r="A1314" t="inlineStr">
        <is>
          <t>No</t>
        </is>
      </c>
      <c r="B1314" t="inlineStr">
        <is>
          <t>GV1785.N6 N5713 1992</t>
        </is>
      </c>
      <c r="C1314" t="inlineStr">
        <is>
          <t>0                      GV 1785000N  6                  N  5713        1992</t>
        </is>
      </c>
      <c r="D1314" t="inlineStr">
        <is>
          <t>Bronislava Nijinska--early memoirs / translated and edited by Irina Nijinska and Jean Rawlinson ; with an introduction by and in consultation with Anna Kisselgoff.</t>
        </is>
      </c>
      <c r="F1314" t="inlineStr">
        <is>
          <t>No</t>
        </is>
      </c>
      <c r="G1314" t="inlineStr">
        <is>
          <t>1</t>
        </is>
      </c>
      <c r="H1314" t="inlineStr">
        <is>
          <t>No</t>
        </is>
      </c>
      <c r="I1314" t="inlineStr">
        <is>
          <t>No</t>
        </is>
      </c>
      <c r="J1314" t="inlineStr">
        <is>
          <t>0</t>
        </is>
      </c>
      <c r="K1314" t="inlineStr">
        <is>
          <t>Nijinska, Bronislava, 1891-1972.</t>
        </is>
      </c>
      <c r="L1314" t="inlineStr">
        <is>
          <t>Durham : Duke University Press, 1992.</t>
        </is>
      </c>
      <c r="M1314" t="inlineStr">
        <is>
          <t>1992</t>
        </is>
      </c>
      <c r="O1314" t="inlineStr">
        <is>
          <t>eng</t>
        </is>
      </c>
      <c r="P1314" t="inlineStr">
        <is>
          <t>ncu</t>
        </is>
      </c>
      <c r="R1314" t="inlineStr">
        <is>
          <t xml:space="preserve">GV </t>
        </is>
      </c>
      <c r="S1314" t="n">
        <v>1</v>
      </c>
      <c r="T1314" t="n">
        <v>1</v>
      </c>
      <c r="U1314" t="inlineStr">
        <is>
          <t>2002-10-02</t>
        </is>
      </c>
      <c r="V1314" t="inlineStr">
        <is>
          <t>2002-10-02</t>
        </is>
      </c>
      <c r="W1314" t="inlineStr">
        <is>
          <t>2002-09-12</t>
        </is>
      </c>
      <c r="X1314" t="inlineStr">
        <is>
          <t>2002-09-12</t>
        </is>
      </c>
      <c r="Y1314" t="n">
        <v>83</v>
      </c>
      <c r="Z1314" t="n">
        <v>59</v>
      </c>
      <c r="AA1314" t="n">
        <v>868</v>
      </c>
      <c r="AB1314" t="n">
        <v>1</v>
      </c>
      <c r="AC1314" t="n">
        <v>4</v>
      </c>
      <c r="AD1314" t="n">
        <v>2</v>
      </c>
      <c r="AE1314" t="n">
        <v>29</v>
      </c>
      <c r="AF1314" t="n">
        <v>1</v>
      </c>
      <c r="AG1314" t="n">
        <v>13</v>
      </c>
      <c r="AH1314" t="n">
        <v>1</v>
      </c>
      <c r="AI1314" t="n">
        <v>7</v>
      </c>
      <c r="AJ1314" t="n">
        <v>1</v>
      </c>
      <c r="AK1314" t="n">
        <v>15</v>
      </c>
      <c r="AL1314" t="n">
        <v>0</v>
      </c>
      <c r="AM1314" t="n">
        <v>3</v>
      </c>
      <c r="AN1314" t="n">
        <v>0</v>
      </c>
      <c r="AO1314" t="n">
        <v>0</v>
      </c>
      <c r="AP1314" t="inlineStr">
        <is>
          <t>No</t>
        </is>
      </c>
      <c r="AQ1314" t="inlineStr">
        <is>
          <t>No</t>
        </is>
      </c>
      <c r="AS1314">
        <f>HYPERLINK("https://creighton-primo.hosted.exlibrisgroup.com/primo-explore/search?tab=default_tab&amp;search_scope=EVERYTHING&amp;vid=01CRU&amp;lang=en_US&amp;offset=0&amp;query=any,contains,991003886109702656","Catalog Record")</f>
        <v/>
      </c>
      <c r="AT1314">
        <f>HYPERLINK("http://www.worldcat.org/oclc/25631444","WorldCat Record")</f>
        <v/>
      </c>
      <c r="AU1314" t="inlineStr">
        <is>
          <t>349864779:eng</t>
        </is>
      </c>
      <c r="AV1314" t="inlineStr">
        <is>
          <t>25631444</t>
        </is>
      </c>
      <c r="AW1314" t="inlineStr">
        <is>
          <t>991003886109702656</t>
        </is>
      </c>
      <c r="AX1314" t="inlineStr">
        <is>
          <t>991003886109702656</t>
        </is>
      </c>
      <c r="AY1314" t="inlineStr">
        <is>
          <t>2266543030002656</t>
        </is>
      </c>
      <c r="AZ1314" t="inlineStr">
        <is>
          <t>BOOK</t>
        </is>
      </c>
      <c r="BB1314" t="inlineStr">
        <is>
          <t>9780822312956</t>
        </is>
      </c>
      <c r="BC1314" t="inlineStr">
        <is>
          <t>32285004651492</t>
        </is>
      </c>
      <c r="BD1314" t="inlineStr">
        <is>
          <t>893324659</t>
        </is>
      </c>
    </row>
    <row r="1315">
      <c r="A1315" t="inlineStr">
        <is>
          <t>No</t>
        </is>
      </c>
      <c r="B1315" t="inlineStr">
        <is>
          <t>GV1785.N8 B58 1976</t>
        </is>
      </c>
      <c r="C1315" t="inlineStr">
        <is>
          <t>0                      GV 1785000N  8                  B  58          1976</t>
        </is>
      </c>
      <c r="D1315" t="inlineStr">
        <is>
          <t>The Nureyev image / Alexander Bland.</t>
        </is>
      </c>
      <c r="F1315" t="inlineStr">
        <is>
          <t>No</t>
        </is>
      </c>
      <c r="G1315" t="inlineStr">
        <is>
          <t>1</t>
        </is>
      </c>
      <c r="H1315" t="inlineStr">
        <is>
          <t>No</t>
        </is>
      </c>
      <c r="I1315" t="inlineStr">
        <is>
          <t>No</t>
        </is>
      </c>
      <c r="J1315" t="inlineStr">
        <is>
          <t>0</t>
        </is>
      </c>
      <c r="K1315" t="inlineStr">
        <is>
          <t>Bland, Alexander.</t>
        </is>
      </c>
      <c r="L1315" t="inlineStr">
        <is>
          <t>New York : Quadrangle/The New York Times Book Co., 1976.</t>
        </is>
      </c>
      <c r="M1315" t="inlineStr">
        <is>
          <t>1976</t>
        </is>
      </c>
      <c r="O1315" t="inlineStr">
        <is>
          <t>eng</t>
        </is>
      </c>
      <c r="P1315" t="inlineStr">
        <is>
          <t>nyu</t>
        </is>
      </c>
      <c r="R1315" t="inlineStr">
        <is>
          <t xml:space="preserve">GV </t>
        </is>
      </c>
      <c r="S1315" t="n">
        <v>1</v>
      </c>
      <c r="T1315" t="n">
        <v>1</v>
      </c>
      <c r="U1315" t="inlineStr">
        <is>
          <t>2002-12-10</t>
        </is>
      </c>
      <c r="V1315" t="inlineStr">
        <is>
          <t>2002-12-10</t>
        </is>
      </c>
      <c r="W1315" t="inlineStr">
        <is>
          <t>2002-12-10</t>
        </is>
      </c>
      <c r="X1315" t="inlineStr">
        <is>
          <t>2002-12-10</t>
        </is>
      </c>
      <c r="Y1315" t="n">
        <v>455</v>
      </c>
      <c r="Z1315" t="n">
        <v>439</v>
      </c>
      <c r="AA1315" t="n">
        <v>649</v>
      </c>
      <c r="AB1315" t="n">
        <v>2</v>
      </c>
      <c r="AC1315" t="n">
        <v>4</v>
      </c>
      <c r="AD1315" t="n">
        <v>9</v>
      </c>
      <c r="AE1315" t="n">
        <v>13</v>
      </c>
      <c r="AF1315" t="n">
        <v>3</v>
      </c>
      <c r="AG1315" t="n">
        <v>5</v>
      </c>
      <c r="AH1315" t="n">
        <v>3</v>
      </c>
      <c r="AI1315" t="n">
        <v>3</v>
      </c>
      <c r="AJ1315" t="n">
        <v>4</v>
      </c>
      <c r="AK1315" t="n">
        <v>6</v>
      </c>
      <c r="AL1315" t="n">
        <v>1</v>
      </c>
      <c r="AM1315" t="n">
        <v>2</v>
      </c>
      <c r="AN1315" t="n">
        <v>0</v>
      </c>
      <c r="AO1315" t="n">
        <v>0</v>
      </c>
      <c r="AP1315" t="inlineStr">
        <is>
          <t>No</t>
        </is>
      </c>
      <c r="AQ1315" t="inlineStr">
        <is>
          <t>No</t>
        </is>
      </c>
      <c r="AS1315">
        <f>HYPERLINK("https://creighton-primo.hosted.exlibrisgroup.com/primo-explore/search?tab=default_tab&amp;search_scope=EVERYTHING&amp;vid=01CRU&amp;lang=en_US&amp;offset=0&amp;query=any,contains,991003958739702656","Catalog Record")</f>
        <v/>
      </c>
      <c r="AT1315">
        <f>HYPERLINK("http://www.worldcat.org/oclc/2556551","WorldCat Record")</f>
        <v/>
      </c>
      <c r="AU1315" t="inlineStr">
        <is>
          <t>5195509:eng</t>
        </is>
      </c>
      <c r="AV1315" t="inlineStr">
        <is>
          <t>2556551</t>
        </is>
      </c>
      <c r="AW1315" t="inlineStr">
        <is>
          <t>991003958739702656</t>
        </is>
      </c>
      <c r="AX1315" t="inlineStr">
        <is>
          <t>991003958739702656</t>
        </is>
      </c>
      <c r="AY1315" t="inlineStr">
        <is>
          <t>2271200180002656</t>
        </is>
      </c>
      <c r="AZ1315" t="inlineStr">
        <is>
          <t>BOOK</t>
        </is>
      </c>
      <c r="BB1315" t="inlineStr">
        <is>
          <t>9780812906646</t>
        </is>
      </c>
      <c r="BC1315" t="inlineStr">
        <is>
          <t>32285004669387</t>
        </is>
      </c>
      <c r="BD1315" t="inlineStr">
        <is>
          <t>893775428</t>
        </is>
      </c>
    </row>
    <row r="1316">
      <c r="A1316" t="inlineStr">
        <is>
          <t>No</t>
        </is>
      </c>
      <c r="B1316" t="inlineStr">
        <is>
          <t>GV1785.P3 M66 1982</t>
        </is>
      </c>
      <c r="C1316" t="inlineStr">
        <is>
          <t>0                      GV 1785000P  3                  M  66          1982</t>
        </is>
      </c>
      <c r="D1316" t="inlineStr">
        <is>
          <t>Anna Pavlova, her life and art / Keith Money.</t>
        </is>
      </c>
      <c r="F1316" t="inlineStr">
        <is>
          <t>No</t>
        </is>
      </c>
      <c r="G1316" t="inlineStr">
        <is>
          <t>1</t>
        </is>
      </c>
      <c r="H1316" t="inlineStr">
        <is>
          <t>No</t>
        </is>
      </c>
      <c r="I1316" t="inlineStr">
        <is>
          <t>No</t>
        </is>
      </c>
      <c r="J1316" t="inlineStr">
        <is>
          <t>0</t>
        </is>
      </c>
      <c r="K1316" t="inlineStr">
        <is>
          <t>Money, Keith.</t>
        </is>
      </c>
      <c r="L1316" t="inlineStr">
        <is>
          <t>New York : Knopf : Distributed by Random House, 1982.</t>
        </is>
      </c>
      <c r="M1316" t="inlineStr">
        <is>
          <t>1982</t>
        </is>
      </c>
      <c r="N1316" t="inlineStr">
        <is>
          <t>1st ed.</t>
        </is>
      </c>
      <c r="O1316" t="inlineStr">
        <is>
          <t>eng</t>
        </is>
      </c>
      <c r="P1316" t="inlineStr">
        <is>
          <t>nyu</t>
        </is>
      </c>
      <c r="R1316" t="inlineStr">
        <is>
          <t xml:space="preserve">GV </t>
        </is>
      </c>
      <c r="S1316" t="n">
        <v>4</v>
      </c>
      <c r="T1316" t="n">
        <v>4</v>
      </c>
      <c r="U1316" t="inlineStr">
        <is>
          <t>1998-05-21</t>
        </is>
      </c>
      <c r="V1316" t="inlineStr">
        <is>
          <t>1998-05-21</t>
        </is>
      </c>
      <c r="W1316" t="inlineStr">
        <is>
          <t>1990-11-05</t>
        </is>
      </c>
      <c r="X1316" t="inlineStr">
        <is>
          <t>1990-11-05</t>
        </is>
      </c>
      <c r="Y1316" t="n">
        <v>712</v>
      </c>
      <c r="Z1316" t="n">
        <v>659</v>
      </c>
      <c r="AA1316" t="n">
        <v>676</v>
      </c>
      <c r="AB1316" t="n">
        <v>4</v>
      </c>
      <c r="AC1316" t="n">
        <v>4</v>
      </c>
      <c r="AD1316" t="n">
        <v>26</v>
      </c>
      <c r="AE1316" t="n">
        <v>26</v>
      </c>
      <c r="AF1316" t="n">
        <v>12</v>
      </c>
      <c r="AG1316" t="n">
        <v>12</v>
      </c>
      <c r="AH1316" t="n">
        <v>7</v>
      </c>
      <c r="AI1316" t="n">
        <v>7</v>
      </c>
      <c r="AJ1316" t="n">
        <v>10</v>
      </c>
      <c r="AK1316" t="n">
        <v>10</v>
      </c>
      <c r="AL1316" t="n">
        <v>3</v>
      </c>
      <c r="AM1316" t="n">
        <v>3</v>
      </c>
      <c r="AN1316" t="n">
        <v>0</v>
      </c>
      <c r="AO1316" t="n">
        <v>0</v>
      </c>
      <c r="AP1316" t="inlineStr">
        <is>
          <t>No</t>
        </is>
      </c>
      <c r="AQ1316" t="inlineStr">
        <is>
          <t>Yes</t>
        </is>
      </c>
      <c r="AR1316">
        <f>HYPERLINK("http://catalog.hathitrust.org/Record/007153922","HathiTrust Record")</f>
        <v/>
      </c>
      <c r="AS1316">
        <f>HYPERLINK("https://creighton-primo.hosted.exlibrisgroup.com/primo-explore/search?tab=default_tab&amp;search_scope=EVERYTHING&amp;vid=01CRU&amp;lang=en_US&amp;offset=0&amp;query=any,contains,991005144689702656","Catalog Record")</f>
        <v/>
      </c>
      <c r="AT1316">
        <f>HYPERLINK("http://www.worldcat.org/oclc/7653469","WorldCat Record")</f>
        <v/>
      </c>
      <c r="AU1316" t="inlineStr">
        <is>
          <t>28555503:eng</t>
        </is>
      </c>
      <c r="AV1316" t="inlineStr">
        <is>
          <t>7653469</t>
        </is>
      </c>
      <c r="AW1316" t="inlineStr">
        <is>
          <t>991005144689702656</t>
        </is>
      </c>
      <c r="AX1316" t="inlineStr">
        <is>
          <t>991005144689702656</t>
        </is>
      </c>
      <c r="AY1316" t="inlineStr">
        <is>
          <t>2258636110002656</t>
        </is>
      </c>
      <c r="AZ1316" t="inlineStr">
        <is>
          <t>BOOK</t>
        </is>
      </c>
      <c r="BB1316" t="inlineStr">
        <is>
          <t>9780394427867</t>
        </is>
      </c>
      <c r="BC1316" t="inlineStr">
        <is>
          <t>32285000385566</t>
        </is>
      </c>
      <c r="BD1316" t="inlineStr">
        <is>
          <t>893526984</t>
        </is>
      </c>
    </row>
    <row r="1317">
      <c r="A1317" t="inlineStr">
        <is>
          <t>No</t>
        </is>
      </c>
      <c r="B1317" t="inlineStr">
        <is>
          <t>GV1785.R25 A3 2006</t>
        </is>
      </c>
      <c r="C1317" t="inlineStr">
        <is>
          <t>0                      GV 1785000R  25                 A  3           2006</t>
        </is>
      </c>
      <c r="D1317" t="inlineStr">
        <is>
          <t>Feelings are facts : a life / Yvonne Rainer.</t>
        </is>
      </c>
      <c r="F1317" t="inlineStr">
        <is>
          <t>No</t>
        </is>
      </c>
      <c r="G1317" t="inlineStr">
        <is>
          <t>1</t>
        </is>
      </c>
      <c r="H1317" t="inlineStr">
        <is>
          <t>No</t>
        </is>
      </c>
      <c r="I1317" t="inlineStr">
        <is>
          <t>No</t>
        </is>
      </c>
      <c r="J1317" t="inlineStr">
        <is>
          <t>0</t>
        </is>
      </c>
      <c r="K1317" t="inlineStr">
        <is>
          <t>Rainer, Yvonne, 1934-</t>
        </is>
      </c>
      <c r="L1317" t="inlineStr">
        <is>
          <t>Cambridge, Mass. : MIT Press, c2006.</t>
        </is>
      </c>
      <c r="M1317" t="inlineStr">
        <is>
          <t>2006</t>
        </is>
      </c>
      <c r="O1317" t="inlineStr">
        <is>
          <t>eng</t>
        </is>
      </c>
      <c r="P1317" t="inlineStr">
        <is>
          <t>mau</t>
        </is>
      </c>
      <c r="Q1317" t="inlineStr">
        <is>
          <t>The MIT Press writing art series</t>
        </is>
      </c>
      <c r="R1317" t="inlineStr">
        <is>
          <t xml:space="preserve">GV </t>
        </is>
      </c>
      <c r="S1317" t="n">
        <v>1</v>
      </c>
      <c r="T1317" t="n">
        <v>1</v>
      </c>
      <c r="U1317" t="inlineStr">
        <is>
          <t>2006-11-06</t>
        </is>
      </c>
      <c r="V1317" t="inlineStr">
        <is>
          <t>2006-11-06</t>
        </is>
      </c>
      <c r="W1317" t="inlineStr">
        <is>
          <t>2006-11-06</t>
        </is>
      </c>
      <c r="X1317" t="inlineStr">
        <is>
          <t>2006-11-06</t>
        </is>
      </c>
      <c r="Y1317" t="n">
        <v>402</v>
      </c>
      <c r="Z1317" t="n">
        <v>313</v>
      </c>
      <c r="AA1317" t="n">
        <v>332</v>
      </c>
      <c r="AB1317" t="n">
        <v>2</v>
      </c>
      <c r="AC1317" t="n">
        <v>2</v>
      </c>
      <c r="AD1317" t="n">
        <v>7</v>
      </c>
      <c r="AE1317" t="n">
        <v>7</v>
      </c>
      <c r="AF1317" t="n">
        <v>2</v>
      </c>
      <c r="AG1317" t="n">
        <v>2</v>
      </c>
      <c r="AH1317" t="n">
        <v>2</v>
      </c>
      <c r="AI1317" t="n">
        <v>2</v>
      </c>
      <c r="AJ1317" t="n">
        <v>5</v>
      </c>
      <c r="AK1317" t="n">
        <v>5</v>
      </c>
      <c r="AL1317" t="n">
        <v>1</v>
      </c>
      <c r="AM1317" t="n">
        <v>1</v>
      </c>
      <c r="AN1317" t="n">
        <v>0</v>
      </c>
      <c r="AO1317" t="n">
        <v>0</v>
      </c>
      <c r="AP1317" t="inlineStr">
        <is>
          <t>No</t>
        </is>
      </c>
      <c r="AQ1317" t="inlineStr">
        <is>
          <t>Yes</t>
        </is>
      </c>
      <c r="AR1317">
        <f>HYPERLINK("http://catalog.hathitrust.org/Record/005264035","HathiTrust Record")</f>
        <v/>
      </c>
      <c r="AS1317">
        <f>HYPERLINK("https://creighton-primo.hosted.exlibrisgroup.com/primo-explore/search?tab=default_tab&amp;search_scope=EVERYTHING&amp;vid=01CRU&amp;lang=en_US&amp;offset=0&amp;query=any,contains,991004953939702656","Catalog Record")</f>
        <v/>
      </c>
      <c r="AT1317">
        <f>HYPERLINK("http://www.worldcat.org/oclc/61353153","WorldCat Record")</f>
        <v/>
      </c>
      <c r="AU1317" t="inlineStr">
        <is>
          <t>905544096:eng</t>
        </is>
      </c>
      <c r="AV1317" t="inlineStr">
        <is>
          <t>61353153</t>
        </is>
      </c>
      <c r="AW1317" t="inlineStr">
        <is>
          <t>991004953939702656</t>
        </is>
      </c>
      <c r="AX1317" t="inlineStr">
        <is>
          <t>991004953939702656</t>
        </is>
      </c>
      <c r="AY1317" t="inlineStr">
        <is>
          <t>2258691360002656</t>
        </is>
      </c>
      <c r="AZ1317" t="inlineStr">
        <is>
          <t>BOOK</t>
        </is>
      </c>
      <c r="BB1317" t="inlineStr">
        <is>
          <t>9780262182515</t>
        </is>
      </c>
      <c r="BC1317" t="inlineStr">
        <is>
          <t>32285005235725</t>
        </is>
      </c>
      <c r="BD1317" t="inlineStr">
        <is>
          <t>893713256</t>
        </is>
      </c>
    </row>
    <row r="1318">
      <c r="A1318" t="inlineStr">
        <is>
          <t>No</t>
        </is>
      </c>
      <c r="B1318" t="inlineStr">
        <is>
          <t>GV1785.R52 J69 2004</t>
        </is>
      </c>
      <c r="C1318" t="inlineStr">
        <is>
          <t>0                      GV 1785000R  52                 J  69          2004</t>
        </is>
      </c>
      <c r="D1318" t="inlineStr">
        <is>
          <t>Jerome Robbins : his life, his theater, his dance / Deborah Jowitt.</t>
        </is>
      </c>
      <c r="F1318" t="inlineStr">
        <is>
          <t>No</t>
        </is>
      </c>
      <c r="G1318" t="inlineStr">
        <is>
          <t>1</t>
        </is>
      </c>
      <c r="H1318" t="inlineStr">
        <is>
          <t>No</t>
        </is>
      </c>
      <c r="I1318" t="inlineStr">
        <is>
          <t>No</t>
        </is>
      </c>
      <c r="J1318" t="inlineStr">
        <is>
          <t>0</t>
        </is>
      </c>
      <c r="K1318" t="inlineStr">
        <is>
          <t>Jowitt, Deborah.</t>
        </is>
      </c>
      <c r="L1318" t="inlineStr">
        <is>
          <t>New York : Simon &amp; Schuster, c2004.</t>
        </is>
      </c>
      <c r="M1318" t="inlineStr">
        <is>
          <t>2004</t>
        </is>
      </c>
      <c r="O1318" t="inlineStr">
        <is>
          <t>eng</t>
        </is>
      </c>
      <c r="P1318" t="inlineStr">
        <is>
          <t>nyu</t>
        </is>
      </c>
      <c r="R1318" t="inlineStr">
        <is>
          <t xml:space="preserve">GV </t>
        </is>
      </c>
      <c r="S1318" t="n">
        <v>6</v>
      </c>
      <c r="T1318" t="n">
        <v>6</v>
      </c>
      <c r="U1318" t="inlineStr">
        <is>
          <t>2010-05-01</t>
        </is>
      </c>
      <c r="V1318" t="inlineStr">
        <is>
          <t>2010-05-01</t>
        </is>
      </c>
      <c r="W1318" t="inlineStr">
        <is>
          <t>2004-08-17</t>
        </is>
      </c>
      <c r="X1318" t="inlineStr">
        <is>
          <t>2004-08-17</t>
        </is>
      </c>
      <c r="Y1318" t="n">
        <v>1018</v>
      </c>
      <c r="Z1318" t="n">
        <v>953</v>
      </c>
      <c r="AA1318" t="n">
        <v>959</v>
      </c>
      <c r="AB1318" t="n">
        <v>5</v>
      </c>
      <c r="AC1318" t="n">
        <v>5</v>
      </c>
      <c r="AD1318" t="n">
        <v>30</v>
      </c>
      <c r="AE1318" t="n">
        <v>30</v>
      </c>
      <c r="AF1318" t="n">
        <v>14</v>
      </c>
      <c r="AG1318" t="n">
        <v>14</v>
      </c>
      <c r="AH1318" t="n">
        <v>6</v>
      </c>
      <c r="AI1318" t="n">
        <v>6</v>
      </c>
      <c r="AJ1318" t="n">
        <v>13</v>
      </c>
      <c r="AK1318" t="n">
        <v>13</v>
      </c>
      <c r="AL1318" t="n">
        <v>4</v>
      </c>
      <c r="AM1318" t="n">
        <v>4</v>
      </c>
      <c r="AN1318" t="n">
        <v>0</v>
      </c>
      <c r="AO1318" t="n">
        <v>0</v>
      </c>
      <c r="AP1318" t="inlineStr">
        <is>
          <t>No</t>
        </is>
      </c>
      <c r="AQ1318" t="inlineStr">
        <is>
          <t>No</t>
        </is>
      </c>
      <c r="AS1318">
        <f>HYPERLINK("https://creighton-primo.hosted.exlibrisgroup.com/primo-explore/search?tab=default_tab&amp;search_scope=EVERYTHING&amp;vid=01CRU&amp;lang=en_US&amp;offset=0&amp;query=any,contains,991004343399702656","Catalog Record")</f>
        <v/>
      </c>
      <c r="AT1318">
        <f>HYPERLINK("http://www.worldcat.org/oclc/55019467","WorldCat Record")</f>
        <v/>
      </c>
      <c r="AU1318" t="inlineStr">
        <is>
          <t>896009591:eng</t>
        </is>
      </c>
      <c r="AV1318" t="inlineStr">
        <is>
          <t>55019467</t>
        </is>
      </c>
      <c r="AW1318" t="inlineStr">
        <is>
          <t>991004343399702656</t>
        </is>
      </c>
      <c r="AX1318" t="inlineStr">
        <is>
          <t>991004343399702656</t>
        </is>
      </c>
      <c r="AY1318" t="inlineStr">
        <is>
          <t>2263196040002656</t>
        </is>
      </c>
      <c r="AZ1318" t="inlineStr">
        <is>
          <t>BOOK</t>
        </is>
      </c>
      <c r="BB1318" t="inlineStr">
        <is>
          <t>9780684869858</t>
        </is>
      </c>
      <c r="BC1318" t="inlineStr">
        <is>
          <t>32285004982301</t>
        </is>
      </c>
      <c r="BD1318" t="inlineStr">
        <is>
          <t>893693830</t>
        </is>
      </c>
    </row>
    <row r="1319">
      <c r="A1319" t="inlineStr">
        <is>
          <t>No</t>
        </is>
      </c>
      <c r="B1319" t="inlineStr">
        <is>
          <t>GV1785.R52 V35 2006</t>
        </is>
      </c>
      <c r="C1319" t="inlineStr">
        <is>
          <t>0                      GV 1785000R  52                 V  35          2006</t>
        </is>
      </c>
      <c r="D1319" t="inlineStr">
        <is>
          <t>Somewhere : the life of Jerome Robbins / Amanda Vaill.</t>
        </is>
      </c>
      <c r="F1319" t="inlineStr">
        <is>
          <t>No</t>
        </is>
      </c>
      <c r="G1319" t="inlineStr">
        <is>
          <t>1</t>
        </is>
      </c>
      <c r="H1319" t="inlineStr">
        <is>
          <t>No</t>
        </is>
      </c>
      <c r="I1319" t="inlineStr">
        <is>
          <t>No</t>
        </is>
      </c>
      <c r="J1319" t="inlineStr">
        <is>
          <t>0</t>
        </is>
      </c>
      <c r="K1319" t="inlineStr">
        <is>
          <t>Vaill, Amanda.</t>
        </is>
      </c>
      <c r="L1319" t="inlineStr">
        <is>
          <t>New York : Broadway Books, c2006.</t>
        </is>
      </c>
      <c r="M1319" t="inlineStr">
        <is>
          <t>2006</t>
        </is>
      </c>
      <c r="N1319" t="inlineStr">
        <is>
          <t>1st ed.</t>
        </is>
      </c>
      <c r="O1319" t="inlineStr">
        <is>
          <t>eng</t>
        </is>
      </c>
      <c r="P1319" t="inlineStr">
        <is>
          <t>nyu</t>
        </is>
      </c>
      <c r="R1319" t="inlineStr">
        <is>
          <t xml:space="preserve">GV </t>
        </is>
      </c>
      <c r="S1319" t="n">
        <v>5</v>
      </c>
      <c r="T1319" t="n">
        <v>5</v>
      </c>
      <c r="U1319" t="inlineStr">
        <is>
          <t>2010-05-01</t>
        </is>
      </c>
      <c r="V1319" t="inlineStr">
        <is>
          <t>2010-05-01</t>
        </is>
      </c>
      <c r="W1319" t="inlineStr">
        <is>
          <t>2006-12-07</t>
        </is>
      </c>
      <c r="X1319" t="inlineStr">
        <is>
          <t>2006-12-07</t>
        </is>
      </c>
      <c r="Y1319" t="n">
        <v>773</v>
      </c>
      <c r="Z1319" t="n">
        <v>732</v>
      </c>
      <c r="AA1319" t="n">
        <v>759</v>
      </c>
      <c r="AB1319" t="n">
        <v>4</v>
      </c>
      <c r="AC1319" t="n">
        <v>4</v>
      </c>
      <c r="AD1319" t="n">
        <v>24</v>
      </c>
      <c r="AE1319" t="n">
        <v>24</v>
      </c>
      <c r="AF1319" t="n">
        <v>11</v>
      </c>
      <c r="AG1319" t="n">
        <v>11</v>
      </c>
      <c r="AH1319" t="n">
        <v>6</v>
      </c>
      <c r="AI1319" t="n">
        <v>6</v>
      </c>
      <c r="AJ1319" t="n">
        <v>12</v>
      </c>
      <c r="AK1319" t="n">
        <v>12</v>
      </c>
      <c r="AL1319" t="n">
        <v>2</v>
      </c>
      <c r="AM1319" t="n">
        <v>2</v>
      </c>
      <c r="AN1319" t="n">
        <v>0</v>
      </c>
      <c r="AO1319" t="n">
        <v>0</v>
      </c>
      <c r="AP1319" t="inlineStr">
        <is>
          <t>No</t>
        </is>
      </c>
      <c r="AQ1319" t="inlineStr">
        <is>
          <t>Yes</t>
        </is>
      </c>
      <c r="AR1319">
        <f>HYPERLINK("http://catalog.hathitrust.org/Record/005403055","HathiTrust Record")</f>
        <v/>
      </c>
      <c r="AS1319">
        <f>HYPERLINK("https://creighton-primo.hosted.exlibrisgroup.com/primo-explore/search?tab=default_tab&amp;search_scope=EVERYTHING&amp;vid=01CRU&amp;lang=en_US&amp;offset=0&amp;query=any,contains,991004935789702656","Catalog Record")</f>
        <v/>
      </c>
      <c r="AT1319">
        <f>HYPERLINK("http://www.worldcat.org/oclc/70265635","WorldCat Record")</f>
        <v/>
      </c>
      <c r="AU1319" t="inlineStr">
        <is>
          <t>196008904:eng</t>
        </is>
      </c>
      <c r="AV1319" t="inlineStr">
        <is>
          <t>70265635</t>
        </is>
      </c>
      <c r="AW1319" t="inlineStr">
        <is>
          <t>991004935789702656</t>
        </is>
      </c>
      <c r="AX1319" t="inlineStr">
        <is>
          <t>991004935789702656</t>
        </is>
      </c>
      <c r="AY1319" t="inlineStr">
        <is>
          <t>2260644100002656</t>
        </is>
      </c>
      <c r="AZ1319" t="inlineStr">
        <is>
          <t>BOOK</t>
        </is>
      </c>
      <c r="BB1319" t="inlineStr">
        <is>
          <t>9780767904209</t>
        </is>
      </c>
      <c r="BC1319" t="inlineStr">
        <is>
          <t>32285005264857</t>
        </is>
      </c>
      <c r="BD1319" t="inlineStr">
        <is>
          <t>893424358</t>
        </is>
      </c>
    </row>
    <row r="1320">
      <c r="A1320" t="inlineStr">
        <is>
          <t>No</t>
        </is>
      </c>
      <c r="B1320" t="inlineStr">
        <is>
          <t>GV1785.T43 S54 2006</t>
        </is>
      </c>
      <c r="C1320" t="inlineStr">
        <is>
          <t>0                      GV 1785000T  43                 S  54          2006</t>
        </is>
      </c>
      <c r="D1320" t="inlineStr">
        <is>
          <t>Howling near heaven : Twyla Tharp and the reinvention of modern dance / Marcia B. Siegel.</t>
        </is>
      </c>
      <c r="F1320" t="inlineStr">
        <is>
          <t>No</t>
        </is>
      </c>
      <c r="G1320" t="inlineStr">
        <is>
          <t>1</t>
        </is>
      </c>
      <c r="H1320" t="inlineStr">
        <is>
          <t>No</t>
        </is>
      </c>
      <c r="I1320" t="inlineStr">
        <is>
          <t>No</t>
        </is>
      </c>
      <c r="J1320" t="inlineStr">
        <is>
          <t>0</t>
        </is>
      </c>
      <c r="K1320" t="inlineStr">
        <is>
          <t>Siegel, Marcia B.</t>
        </is>
      </c>
      <c r="L1320" t="inlineStr">
        <is>
          <t>New York : St. Martin's Press, 2006.</t>
        </is>
      </c>
      <c r="M1320" t="inlineStr">
        <is>
          <t>2006</t>
        </is>
      </c>
      <c r="N1320" t="inlineStr">
        <is>
          <t>1st ed.</t>
        </is>
      </c>
      <c r="O1320" t="inlineStr">
        <is>
          <t>eng</t>
        </is>
      </c>
      <c r="P1320" t="inlineStr">
        <is>
          <t>nyu</t>
        </is>
      </c>
      <c r="R1320" t="inlineStr">
        <is>
          <t xml:space="preserve">GV </t>
        </is>
      </c>
      <c r="S1320" t="n">
        <v>1</v>
      </c>
      <c r="T1320" t="n">
        <v>1</v>
      </c>
      <c r="U1320" t="inlineStr">
        <is>
          <t>2006-03-08</t>
        </is>
      </c>
      <c r="V1320" t="inlineStr">
        <is>
          <t>2006-03-08</t>
        </is>
      </c>
      <c r="W1320" t="inlineStr">
        <is>
          <t>2006-02-28</t>
        </is>
      </c>
      <c r="X1320" t="inlineStr">
        <is>
          <t>2006-02-28</t>
        </is>
      </c>
      <c r="Y1320" t="n">
        <v>907</v>
      </c>
      <c r="Z1320" t="n">
        <v>853</v>
      </c>
      <c r="AA1320" t="n">
        <v>882</v>
      </c>
      <c r="AB1320" t="n">
        <v>6</v>
      </c>
      <c r="AC1320" t="n">
        <v>6</v>
      </c>
      <c r="AD1320" t="n">
        <v>23</v>
      </c>
      <c r="AE1320" t="n">
        <v>23</v>
      </c>
      <c r="AF1320" t="n">
        <v>9</v>
      </c>
      <c r="AG1320" t="n">
        <v>9</v>
      </c>
      <c r="AH1320" t="n">
        <v>5</v>
      </c>
      <c r="AI1320" t="n">
        <v>5</v>
      </c>
      <c r="AJ1320" t="n">
        <v>10</v>
      </c>
      <c r="AK1320" t="n">
        <v>10</v>
      </c>
      <c r="AL1320" t="n">
        <v>5</v>
      </c>
      <c r="AM1320" t="n">
        <v>5</v>
      </c>
      <c r="AN1320" t="n">
        <v>0</v>
      </c>
      <c r="AO1320" t="n">
        <v>0</v>
      </c>
      <c r="AP1320" t="inlineStr">
        <is>
          <t>No</t>
        </is>
      </c>
      <c r="AQ1320" t="inlineStr">
        <is>
          <t>No</t>
        </is>
      </c>
      <c r="AS1320">
        <f>HYPERLINK("https://creighton-primo.hosted.exlibrisgroup.com/primo-explore/search?tab=default_tab&amp;search_scope=EVERYTHING&amp;vid=01CRU&amp;lang=en_US&amp;offset=0&amp;query=any,contains,991004753509702656","Catalog Record")</f>
        <v/>
      </c>
      <c r="AT1320">
        <f>HYPERLINK("http://www.worldcat.org/oclc/61821860","WorldCat Record")</f>
        <v/>
      </c>
      <c r="AU1320" t="inlineStr">
        <is>
          <t>815124904:eng</t>
        </is>
      </c>
      <c r="AV1320" t="inlineStr">
        <is>
          <t>61821860</t>
        </is>
      </c>
      <c r="AW1320" t="inlineStr">
        <is>
          <t>991004753509702656</t>
        </is>
      </c>
      <c r="AX1320" t="inlineStr">
        <is>
          <t>991004753509702656</t>
        </is>
      </c>
      <c r="AY1320" t="inlineStr">
        <is>
          <t>2272235240002656</t>
        </is>
      </c>
      <c r="AZ1320" t="inlineStr">
        <is>
          <t>BOOK</t>
        </is>
      </c>
      <c r="BB1320" t="inlineStr">
        <is>
          <t>9780312232948</t>
        </is>
      </c>
      <c r="BC1320" t="inlineStr">
        <is>
          <t>32285005163521</t>
        </is>
      </c>
      <c r="BD1320" t="inlineStr">
        <is>
          <t>893332001</t>
        </is>
      </c>
    </row>
    <row r="1321">
      <c r="A1321" t="inlineStr">
        <is>
          <t>No</t>
        </is>
      </c>
      <c r="B1321" t="inlineStr">
        <is>
          <t>GV1785.T86 A3 1997</t>
        </is>
      </c>
      <c r="C1321" t="inlineStr">
        <is>
          <t>0                      GV 1785000T  86                 A  3           1997</t>
        </is>
      </c>
      <c r="D1321" t="inlineStr">
        <is>
          <t>Footnotes : a memoir / Tommy Tune.</t>
        </is>
      </c>
      <c r="F1321" t="inlineStr">
        <is>
          <t>No</t>
        </is>
      </c>
      <c r="G1321" t="inlineStr">
        <is>
          <t>1</t>
        </is>
      </c>
      <c r="H1321" t="inlineStr">
        <is>
          <t>No</t>
        </is>
      </c>
      <c r="I1321" t="inlineStr">
        <is>
          <t>No</t>
        </is>
      </c>
      <c r="J1321" t="inlineStr">
        <is>
          <t>0</t>
        </is>
      </c>
      <c r="K1321" t="inlineStr">
        <is>
          <t>Tune, Tommy.</t>
        </is>
      </c>
      <c r="L1321" t="inlineStr">
        <is>
          <t>New York : Simon &amp; Schuster, c1997.</t>
        </is>
      </c>
      <c r="M1321" t="inlineStr">
        <is>
          <t>1997</t>
        </is>
      </c>
      <c r="O1321" t="inlineStr">
        <is>
          <t>eng</t>
        </is>
      </c>
      <c r="P1321" t="inlineStr">
        <is>
          <t>nyu</t>
        </is>
      </c>
      <c r="R1321" t="inlineStr">
        <is>
          <t xml:space="preserve">GV </t>
        </is>
      </c>
      <c r="S1321" t="n">
        <v>3</v>
      </c>
      <c r="T1321" t="n">
        <v>3</v>
      </c>
      <c r="U1321" t="inlineStr">
        <is>
          <t>1998-08-28</t>
        </is>
      </c>
      <c r="V1321" t="inlineStr">
        <is>
          <t>1998-08-28</t>
        </is>
      </c>
      <c r="W1321" t="inlineStr">
        <is>
          <t>1998-02-20</t>
        </is>
      </c>
      <c r="X1321" t="inlineStr">
        <is>
          <t>1998-02-20</t>
        </is>
      </c>
      <c r="Y1321" t="n">
        <v>626</v>
      </c>
      <c r="Z1321" t="n">
        <v>597</v>
      </c>
      <c r="AA1321" t="n">
        <v>603</v>
      </c>
      <c r="AB1321" t="n">
        <v>3</v>
      </c>
      <c r="AC1321" t="n">
        <v>3</v>
      </c>
      <c r="AD1321" t="n">
        <v>19</v>
      </c>
      <c r="AE1321" t="n">
        <v>19</v>
      </c>
      <c r="AF1321" t="n">
        <v>11</v>
      </c>
      <c r="AG1321" t="n">
        <v>11</v>
      </c>
      <c r="AH1321" t="n">
        <v>2</v>
      </c>
      <c r="AI1321" t="n">
        <v>2</v>
      </c>
      <c r="AJ1321" t="n">
        <v>9</v>
      </c>
      <c r="AK1321" t="n">
        <v>9</v>
      </c>
      <c r="AL1321" t="n">
        <v>2</v>
      </c>
      <c r="AM1321" t="n">
        <v>2</v>
      </c>
      <c r="AN1321" t="n">
        <v>0</v>
      </c>
      <c r="AO1321" t="n">
        <v>0</v>
      </c>
      <c r="AP1321" t="inlineStr">
        <is>
          <t>No</t>
        </is>
      </c>
      <c r="AQ1321" t="inlineStr">
        <is>
          <t>Yes</t>
        </is>
      </c>
      <c r="AR1321">
        <f>HYPERLINK("http://catalog.hathitrust.org/Record/003556717","HathiTrust Record")</f>
        <v/>
      </c>
      <c r="AS1321">
        <f>HYPERLINK("https://creighton-primo.hosted.exlibrisgroup.com/primo-explore/search?tab=default_tab&amp;search_scope=EVERYTHING&amp;vid=01CRU&amp;lang=en_US&amp;offset=0&amp;query=any,contains,991002819299702656","Catalog Record")</f>
        <v/>
      </c>
      <c r="AT1321">
        <f>HYPERLINK("http://www.worldcat.org/oclc/37037410","WorldCat Record")</f>
        <v/>
      </c>
      <c r="AU1321" t="inlineStr">
        <is>
          <t>477252058:eng</t>
        </is>
      </c>
      <c r="AV1321" t="inlineStr">
        <is>
          <t>37037410</t>
        </is>
      </c>
      <c r="AW1321" t="inlineStr">
        <is>
          <t>991002819299702656</t>
        </is>
      </c>
      <c r="AX1321" t="inlineStr">
        <is>
          <t>991002819299702656</t>
        </is>
      </c>
      <c r="AY1321" t="inlineStr">
        <is>
          <t>2259329130002656</t>
        </is>
      </c>
      <c r="AZ1321" t="inlineStr">
        <is>
          <t>BOOK</t>
        </is>
      </c>
      <c r="BB1321" t="inlineStr">
        <is>
          <t>9780684841823</t>
        </is>
      </c>
      <c r="BC1321" t="inlineStr">
        <is>
          <t>32285003314449</t>
        </is>
      </c>
      <c r="BD1321" t="inlineStr">
        <is>
          <t>893893041</t>
        </is>
      </c>
    </row>
    <row r="1322">
      <c r="A1322" t="inlineStr">
        <is>
          <t>No</t>
        </is>
      </c>
      <c r="B1322" t="inlineStr">
        <is>
          <t>GV1786.J82 B87 2006</t>
        </is>
      </c>
      <c r="C1322" t="inlineStr">
        <is>
          <t>0                      GV 1786000J  82                 B  87          2006</t>
        </is>
      </c>
      <c r="D1322" t="inlineStr">
        <is>
          <t>Judson Dance Theater : performative traces / Ramsay Burt.</t>
        </is>
      </c>
      <c r="F1322" t="inlineStr">
        <is>
          <t>No</t>
        </is>
      </c>
      <c r="G1322" t="inlineStr">
        <is>
          <t>1</t>
        </is>
      </c>
      <c r="H1322" t="inlineStr">
        <is>
          <t>No</t>
        </is>
      </c>
      <c r="I1322" t="inlineStr">
        <is>
          <t>No</t>
        </is>
      </c>
      <c r="J1322" t="inlineStr">
        <is>
          <t>0</t>
        </is>
      </c>
      <c r="K1322" t="inlineStr">
        <is>
          <t>Burt, Ramsay, 1953-</t>
        </is>
      </c>
      <c r="L1322" t="inlineStr">
        <is>
          <t>London ; New York : Routledge, 2006.</t>
        </is>
      </c>
      <c r="M1322" t="inlineStr">
        <is>
          <t>2006</t>
        </is>
      </c>
      <c r="O1322" t="inlineStr">
        <is>
          <t>eng</t>
        </is>
      </c>
      <c r="P1322" t="inlineStr">
        <is>
          <t>enk</t>
        </is>
      </c>
      <c r="R1322" t="inlineStr">
        <is>
          <t xml:space="preserve">GV </t>
        </is>
      </c>
      <c r="S1322" t="n">
        <v>1</v>
      </c>
      <c r="T1322" t="n">
        <v>1</v>
      </c>
      <c r="U1322" t="inlineStr">
        <is>
          <t>2007-04-30</t>
        </is>
      </c>
      <c r="V1322" t="inlineStr">
        <is>
          <t>2007-04-30</t>
        </is>
      </c>
      <c r="W1322" t="inlineStr">
        <is>
          <t>2007-04-30</t>
        </is>
      </c>
      <c r="X1322" t="inlineStr">
        <is>
          <t>2007-04-30</t>
        </is>
      </c>
      <c r="Y1322" t="n">
        <v>262</v>
      </c>
      <c r="Z1322" t="n">
        <v>188</v>
      </c>
      <c r="AA1322" t="n">
        <v>228</v>
      </c>
      <c r="AB1322" t="n">
        <v>2</v>
      </c>
      <c r="AC1322" t="n">
        <v>2</v>
      </c>
      <c r="AD1322" t="n">
        <v>6</v>
      </c>
      <c r="AE1322" t="n">
        <v>6</v>
      </c>
      <c r="AF1322" t="n">
        <v>4</v>
      </c>
      <c r="AG1322" t="n">
        <v>4</v>
      </c>
      <c r="AH1322" t="n">
        <v>2</v>
      </c>
      <c r="AI1322" t="n">
        <v>2</v>
      </c>
      <c r="AJ1322" t="n">
        <v>1</v>
      </c>
      <c r="AK1322" t="n">
        <v>1</v>
      </c>
      <c r="AL1322" t="n">
        <v>1</v>
      </c>
      <c r="AM1322" t="n">
        <v>1</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HYPERLINK("https://creighton-primo.hosted.exlibrisgroup.com/primo-explore/search?tab=default_tab&amp;search_scope=EVERYTHING&amp;vid=01CRU&amp;lang=en_US&amp;offset=0&amp;query=any,contains,991004953859702656","Catalog Record")</f>
        <v/>
      </c>
      <c r="AT1322">
        <f>HYPERLINK("http://www.worldcat.org/oclc/63679983","WorldCat Record")</f>
        <v/>
      </c>
      <c r="AU1322" t="inlineStr">
        <is>
          <t>800523825:eng</t>
        </is>
      </c>
      <c r="AV1322" t="inlineStr">
        <is>
          <t>63679983</t>
        </is>
      </c>
      <c r="AW1322" t="inlineStr">
        <is>
          <t>991004953859702656</t>
        </is>
      </c>
      <c r="AX1322" t="inlineStr">
        <is>
          <t>991004953859702656</t>
        </is>
      </c>
      <c r="AY1322" t="inlineStr">
        <is>
          <t>2270022520002656</t>
        </is>
      </c>
      <c r="AZ1322" t="inlineStr">
        <is>
          <t>BOOK</t>
        </is>
      </c>
      <c r="BB1322" t="inlineStr">
        <is>
          <t>9780415975735</t>
        </is>
      </c>
      <c r="BC1322" t="inlineStr">
        <is>
          <t>32285005310171</t>
        </is>
      </c>
      <c r="BD1322" t="inlineStr">
        <is>
          <t>893353615</t>
        </is>
      </c>
    </row>
    <row r="1323">
      <c r="A1323" t="inlineStr">
        <is>
          <t>No</t>
        </is>
      </c>
      <c r="B1323" t="inlineStr">
        <is>
          <t>GV1786.R6 M6 1967</t>
        </is>
      </c>
      <c r="C1323" t="inlineStr">
        <is>
          <t>0                      GV 1786000R  6                  M  6           1967</t>
        </is>
      </c>
      <c r="D1323" t="inlineStr">
        <is>
          <t>The art of the Royal Ballet / seen by Keith Money.</t>
        </is>
      </c>
      <c r="F1323" t="inlineStr">
        <is>
          <t>No</t>
        </is>
      </c>
      <c r="G1323" t="inlineStr">
        <is>
          <t>1</t>
        </is>
      </c>
      <c r="H1323" t="inlineStr">
        <is>
          <t>No</t>
        </is>
      </c>
      <c r="I1323" t="inlineStr">
        <is>
          <t>No</t>
        </is>
      </c>
      <c r="J1323" t="inlineStr">
        <is>
          <t>0</t>
        </is>
      </c>
      <c r="K1323" t="inlineStr">
        <is>
          <t>Money, Keith.</t>
        </is>
      </c>
      <c r="L1323" t="inlineStr">
        <is>
          <t>London : Harrap ; [Cleveland] : World Pub. Co., [c1967]</t>
        </is>
      </c>
      <c r="M1323" t="inlineStr">
        <is>
          <t>1967</t>
        </is>
      </c>
      <c r="N1323" t="inlineStr">
        <is>
          <t>[2d ed. rev.]</t>
        </is>
      </c>
      <c r="O1323" t="inlineStr">
        <is>
          <t>eng</t>
        </is>
      </c>
      <c r="P1323" t="inlineStr">
        <is>
          <t>enk</t>
        </is>
      </c>
      <c r="R1323" t="inlineStr">
        <is>
          <t xml:space="preserve">GV </t>
        </is>
      </c>
      <c r="S1323" t="n">
        <v>2</v>
      </c>
      <c r="T1323" t="n">
        <v>2</v>
      </c>
      <c r="U1323" t="inlineStr">
        <is>
          <t>2002-12-05</t>
        </is>
      </c>
      <c r="V1323" t="inlineStr">
        <is>
          <t>2002-12-05</t>
        </is>
      </c>
      <c r="W1323" t="inlineStr">
        <is>
          <t>2002-12-05</t>
        </is>
      </c>
      <c r="X1323" t="inlineStr">
        <is>
          <t>2002-12-05</t>
        </is>
      </c>
      <c r="Y1323" t="n">
        <v>33</v>
      </c>
      <c r="Z1323" t="n">
        <v>31</v>
      </c>
      <c r="AA1323" t="n">
        <v>266</v>
      </c>
      <c r="AB1323" t="n">
        <v>2</v>
      </c>
      <c r="AC1323" t="n">
        <v>2</v>
      </c>
      <c r="AD1323" t="n">
        <v>2</v>
      </c>
      <c r="AE1323" t="n">
        <v>8</v>
      </c>
      <c r="AF1323" t="n">
        <v>0</v>
      </c>
      <c r="AG1323" t="n">
        <v>1</v>
      </c>
      <c r="AH1323" t="n">
        <v>0</v>
      </c>
      <c r="AI1323" t="n">
        <v>2</v>
      </c>
      <c r="AJ1323" t="n">
        <v>1</v>
      </c>
      <c r="AK1323" t="n">
        <v>5</v>
      </c>
      <c r="AL1323" t="n">
        <v>1</v>
      </c>
      <c r="AM1323" t="n">
        <v>1</v>
      </c>
      <c r="AN1323" t="n">
        <v>0</v>
      </c>
      <c r="AO1323" t="n">
        <v>0</v>
      </c>
      <c r="AP1323" t="inlineStr">
        <is>
          <t>No</t>
        </is>
      </c>
      <c r="AQ1323" t="inlineStr">
        <is>
          <t>No</t>
        </is>
      </c>
      <c r="AS1323">
        <f>HYPERLINK("https://creighton-primo.hosted.exlibrisgroup.com/primo-explore/search?tab=default_tab&amp;search_scope=EVERYTHING&amp;vid=01CRU&amp;lang=en_US&amp;offset=0&amp;query=any,contains,991003956889702656","Catalog Record")</f>
        <v/>
      </c>
      <c r="AT1323">
        <f>HYPERLINK("http://www.worldcat.org/oclc/7388171","WorldCat Record")</f>
        <v/>
      </c>
      <c r="AU1323" t="inlineStr">
        <is>
          <t>1464538:eng</t>
        </is>
      </c>
      <c r="AV1323" t="inlineStr">
        <is>
          <t>7388171</t>
        </is>
      </c>
      <c r="AW1323" t="inlineStr">
        <is>
          <t>991003956889702656</t>
        </is>
      </c>
      <c r="AX1323" t="inlineStr">
        <is>
          <t>991003956889702656</t>
        </is>
      </c>
      <c r="AY1323" t="inlineStr">
        <is>
          <t>2262740200002656</t>
        </is>
      </c>
      <c r="AZ1323" t="inlineStr">
        <is>
          <t>BOOK</t>
        </is>
      </c>
      <c r="BC1323" t="inlineStr">
        <is>
          <t>32285004667878</t>
        </is>
      </c>
      <c r="BD1323" t="inlineStr">
        <is>
          <t>893881882</t>
        </is>
      </c>
    </row>
    <row r="1324">
      <c r="A1324" t="inlineStr">
        <is>
          <t>No</t>
        </is>
      </c>
      <c r="B1324" t="inlineStr">
        <is>
          <t>GV1787 .A79 2002</t>
        </is>
      </c>
      <c r="C1324" t="inlineStr">
        <is>
          <t>0                      GV 1787000A  79          2002</t>
        </is>
      </c>
      <c r="D1324" t="inlineStr">
        <is>
          <t>Ballet and modern dance / Susan Au ; introduction by Selma Jeanne Cohen.</t>
        </is>
      </c>
      <c r="F1324" t="inlineStr">
        <is>
          <t>No</t>
        </is>
      </c>
      <c r="G1324" t="inlineStr">
        <is>
          <t>1</t>
        </is>
      </c>
      <c r="H1324" t="inlineStr">
        <is>
          <t>No</t>
        </is>
      </c>
      <c r="I1324" t="inlineStr">
        <is>
          <t>No</t>
        </is>
      </c>
      <c r="J1324" t="inlineStr">
        <is>
          <t>0</t>
        </is>
      </c>
      <c r="K1324" t="inlineStr">
        <is>
          <t>Au, Susan.</t>
        </is>
      </c>
      <c r="L1324" t="inlineStr">
        <is>
          <t>New York : Thames &amp; Hudson, c2002.</t>
        </is>
      </c>
      <c r="M1324" t="inlineStr">
        <is>
          <t>2002</t>
        </is>
      </c>
      <c r="N1324" t="inlineStr">
        <is>
          <t>Rev. and expanded ed.</t>
        </is>
      </c>
      <c r="O1324" t="inlineStr">
        <is>
          <t>eng</t>
        </is>
      </c>
      <c r="P1324" t="inlineStr">
        <is>
          <t>nyu</t>
        </is>
      </c>
      <c r="Q1324" t="inlineStr">
        <is>
          <t>World of art</t>
        </is>
      </c>
      <c r="R1324" t="inlineStr">
        <is>
          <t xml:space="preserve">GV </t>
        </is>
      </c>
      <c r="S1324" t="n">
        <v>5</v>
      </c>
      <c r="T1324" t="n">
        <v>5</v>
      </c>
      <c r="U1324" t="inlineStr">
        <is>
          <t>2007-04-17</t>
        </is>
      </c>
      <c r="V1324" t="inlineStr">
        <is>
          <t>2007-04-17</t>
        </is>
      </c>
      <c r="W1324" t="inlineStr">
        <is>
          <t>2004-03-04</t>
        </is>
      </c>
      <c r="X1324" t="inlineStr">
        <is>
          <t>2004-03-04</t>
        </is>
      </c>
      <c r="Y1324" t="n">
        <v>641</v>
      </c>
      <c r="Z1324" t="n">
        <v>585</v>
      </c>
      <c r="AA1324" t="n">
        <v>932</v>
      </c>
      <c r="AB1324" t="n">
        <v>3</v>
      </c>
      <c r="AC1324" t="n">
        <v>7</v>
      </c>
      <c r="AD1324" t="n">
        <v>13</v>
      </c>
      <c r="AE1324" t="n">
        <v>25</v>
      </c>
      <c r="AF1324" t="n">
        <v>7</v>
      </c>
      <c r="AG1324" t="n">
        <v>11</v>
      </c>
      <c r="AH1324" t="n">
        <v>2</v>
      </c>
      <c r="AI1324" t="n">
        <v>6</v>
      </c>
      <c r="AJ1324" t="n">
        <v>4</v>
      </c>
      <c r="AK1324" t="n">
        <v>11</v>
      </c>
      <c r="AL1324" t="n">
        <v>2</v>
      </c>
      <c r="AM1324" t="n">
        <v>5</v>
      </c>
      <c r="AN1324" t="n">
        <v>0</v>
      </c>
      <c r="AO1324" t="n">
        <v>0</v>
      </c>
      <c r="AP1324" t="inlineStr">
        <is>
          <t>No</t>
        </is>
      </c>
      <c r="AQ1324" t="inlineStr">
        <is>
          <t>No</t>
        </is>
      </c>
      <c r="AS1324">
        <f>HYPERLINK("https://creighton-primo.hosted.exlibrisgroup.com/primo-explore/search?tab=default_tab&amp;search_scope=EVERYTHING&amp;vid=01CRU&amp;lang=en_US&amp;offset=0&amp;query=any,contains,991004224349702656","Catalog Record")</f>
        <v/>
      </c>
      <c r="AT1324">
        <f>HYPERLINK("http://www.worldcat.org/oclc/49531690","WorldCat Record")</f>
        <v/>
      </c>
      <c r="AU1324" t="inlineStr">
        <is>
          <t>37728255:eng</t>
        </is>
      </c>
      <c r="AV1324" t="inlineStr">
        <is>
          <t>49531690</t>
        </is>
      </c>
      <c r="AW1324" t="inlineStr">
        <is>
          <t>991004224349702656</t>
        </is>
      </c>
      <c r="AX1324" t="inlineStr">
        <is>
          <t>991004224349702656</t>
        </is>
      </c>
      <c r="AY1324" t="inlineStr">
        <is>
          <t>2268547490002656</t>
        </is>
      </c>
      <c r="AZ1324" t="inlineStr">
        <is>
          <t>BOOK</t>
        </is>
      </c>
      <c r="BB1324" t="inlineStr">
        <is>
          <t>9780500203521</t>
        </is>
      </c>
      <c r="BC1324" t="inlineStr">
        <is>
          <t>32285004892328</t>
        </is>
      </c>
      <c r="BD1324" t="inlineStr">
        <is>
          <t>893235222</t>
        </is>
      </c>
    </row>
    <row r="1325">
      <c r="A1325" t="inlineStr">
        <is>
          <t>No</t>
        </is>
      </c>
      <c r="B1325" t="inlineStr">
        <is>
          <t>GV1787 .B245 1974</t>
        </is>
      </c>
      <c r="C1325" t="inlineStr">
        <is>
          <t>0                      GV 1787000B  245         1974</t>
        </is>
      </c>
      <c r="D1325" t="inlineStr">
        <is>
          <t>Ballet &amp; modern dance / with contributions by leading choreographers, dancers and critics.</t>
        </is>
      </c>
      <c r="F1325" t="inlineStr">
        <is>
          <t>No</t>
        </is>
      </c>
      <c r="G1325" t="inlineStr">
        <is>
          <t>1</t>
        </is>
      </c>
      <c r="H1325" t="inlineStr">
        <is>
          <t>No</t>
        </is>
      </c>
      <c r="I1325" t="inlineStr">
        <is>
          <t>No</t>
        </is>
      </c>
      <c r="J1325" t="inlineStr">
        <is>
          <t>0</t>
        </is>
      </c>
      <c r="L1325" t="inlineStr">
        <is>
          <t>London : Octopus Books, 1974.</t>
        </is>
      </c>
      <c r="M1325" t="inlineStr">
        <is>
          <t>1974</t>
        </is>
      </c>
      <c r="O1325" t="inlineStr">
        <is>
          <t>eng</t>
        </is>
      </c>
      <c r="P1325" t="inlineStr">
        <is>
          <t>enk</t>
        </is>
      </c>
      <c r="R1325" t="inlineStr">
        <is>
          <t xml:space="preserve">GV </t>
        </is>
      </c>
      <c r="S1325" t="n">
        <v>1</v>
      </c>
      <c r="T1325" t="n">
        <v>1</v>
      </c>
      <c r="U1325" t="inlineStr">
        <is>
          <t>2009-04-14</t>
        </is>
      </c>
      <c r="V1325" t="inlineStr">
        <is>
          <t>2009-04-14</t>
        </is>
      </c>
      <c r="W1325" t="inlineStr">
        <is>
          <t>2009-04-14</t>
        </is>
      </c>
      <c r="X1325" t="inlineStr">
        <is>
          <t>2009-04-14</t>
        </is>
      </c>
      <c r="Y1325" t="n">
        <v>477</v>
      </c>
      <c r="Z1325" t="n">
        <v>389</v>
      </c>
      <c r="AA1325" t="n">
        <v>399</v>
      </c>
      <c r="AB1325" t="n">
        <v>1</v>
      </c>
      <c r="AC1325" t="n">
        <v>1</v>
      </c>
      <c r="AD1325" t="n">
        <v>6</v>
      </c>
      <c r="AE1325" t="n">
        <v>6</v>
      </c>
      <c r="AF1325" t="n">
        <v>4</v>
      </c>
      <c r="AG1325" t="n">
        <v>4</v>
      </c>
      <c r="AH1325" t="n">
        <v>1</v>
      </c>
      <c r="AI1325" t="n">
        <v>1</v>
      </c>
      <c r="AJ1325" t="n">
        <v>4</v>
      </c>
      <c r="AK1325" t="n">
        <v>4</v>
      </c>
      <c r="AL1325" t="n">
        <v>0</v>
      </c>
      <c r="AM1325" t="n">
        <v>0</v>
      </c>
      <c r="AN1325" t="n">
        <v>0</v>
      </c>
      <c r="AO1325" t="n">
        <v>0</v>
      </c>
      <c r="AP1325" t="inlineStr">
        <is>
          <t>No</t>
        </is>
      </c>
      <c r="AQ1325" t="inlineStr">
        <is>
          <t>No</t>
        </is>
      </c>
      <c r="AS1325">
        <f>HYPERLINK("https://creighton-primo.hosted.exlibrisgroup.com/primo-explore/search?tab=default_tab&amp;search_scope=EVERYTHING&amp;vid=01CRU&amp;lang=en_US&amp;offset=0&amp;query=any,contains,991005300939702656","Catalog Record")</f>
        <v/>
      </c>
      <c r="AT1325">
        <f>HYPERLINK("http://www.worldcat.org/oclc/1092002","WorldCat Record")</f>
        <v/>
      </c>
      <c r="AU1325" t="inlineStr">
        <is>
          <t>15959146:eng</t>
        </is>
      </c>
      <c r="AV1325" t="inlineStr">
        <is>
          <t>1092002</t>
        </is>
      </c>
      <c r="AW1325" t="inlineStr">
        <is>
          <t>991005300939702656</t>
        </is>
      </c>
      <c r="AX1325" t="inlineStr">
        <is>
          <t>991005300939702656</t>
        </is>
      </c>
      <c r="AY1325" t="inlineStr">
        <is>
          <t>2264296780002656</t>
        </is>
      </c>
      <c r="AZ1325" t="inlineStr">
        <is>
          <t>BOOK</t>
        </is>
      </c>
      <c r="BB1325" t="inlineStr">
        <is>
          <t>9780706403220</t>
        </is>
      </c>
      <c r="BC1325" t="inlineStr">
        <is>
          <t>32285005515332</t>
        </is>
      </c>
      <c r="BD1325" t="inlineStr">
        <is>
          <t>893802092</t>
        </is>
      </c>
    </row>
    <row r="1326">
      <c r="A1326" t="inlineStr">
        <is>
          <t>No</t>
        </is>
      </c>
      <c r="B1326" t="inlineStr">
        <is>
          <t>GV1787 .B35 1938</t>
        </is>
      </c>
      <c r="C1326" t="inlineStr">
        <is>
          <t>0                      GV 1787000B  35          1938</t>
        </is>
      </c>
      <c r="D1326" t="inlineStr">
        <is>
          <t>Complete book of ballets : a guide to the principal ballets of the nineteenth and twentieth centuries / by Cyril W. Beaumont.</t>
        </is>
      </c>
      <c r="F1326" t="inlineStr">
        <is>
          <t>No</t>
        </is>
      </c>
      <c r="G1326" t="inlineStr">
        <is>
          <t>1</t>
        </is>
      </c>
      <c r="H1326" t="inlineStr">
        <is>
          <t>No</t>
        </is>
      </c>
      <c r="I1326" t="inlineStr">
        <is>
          <t>No</t>
        </is>
      </c>
      <c r="J1326" t="inlineStr">
        <is>
          <t>0</t>
        </is>
      </c>
      <c r="K1326" t="inlineStr">
        <is>
          <t>Beaumont, Cyril W. (Cyril William), 1891-1976.</t>
        </is>
      </c>
      <c r="L1326" t="inlineStr">
        <is>
          <t>New York : G.P. Putnam's Sons, 1938.</t>
        </is>
      </c>
      <c r="M1326" t="inlineStr">
        <is>
          <t>1938</t>
        </is>
      </c>
      <c r="O1326" t="inlineStr">
        <is>
          <t>eng</t>
        </is>
      </c>
      <c r="P1326" t="inlineStr">
        <is>
          <t>nyu</t>
        </is>
      </c>
      <c r="R1326" t="inlineStr">
        <is>
          <t xml:space="preserve">GV </t>
        </is>
      </c>
      <c r="S1326" t="n">
        <v>3</v>
      </c>
      <c r="T1326" t="n">
        <v>3</v>
      </c>
      <c r="U1326" t="inlineStr">
        <is>
          <t>2007-05-02</t>
        </is>
      </c>
      <c r="V1326" t="inlineStr">
        <is>
          <t>2007-05-02</t>
        </is>
      </c>
      <c r="W1326" t="inlineStr">
        <is>
          <t>2002-12-09</t>
        </is>
      </c>
      <c r="X1326" t="inlineStr">
        <is>
          <t>2002-12-09</t>
        </is>
      </c>
      <c r="Y1326" t="n">
        <v>324</v>
      </c>
      <c r="Z1326" t="n">
        <v>303</v>
      </c>
      <c r="AA1326" t="n">
        <v>724</v>
      </c>
      <c r="AB1326" t="n">
        <v>4</v>
      </c>
      <c r="AC1326" t="n">
        <v>6</v>
      </c>
      <c r="AD1326" t="n">
        <v>14</v>
      </c>
      <c r="AE1326" t="n">
        <v>24</v>
      </c>
      <c r="AF1326" t="n">
        <v>8</v>
      </c>
      <c r="AG1326" t="n">
        <v>13</v>
      </c>
      <c r="AH1326" t="n">
        <v>3</v>
      </c>
      <c r="AI1326" t="n">
        <v>5</v>
      </c>
      <c r="AJ1326" t="n">
        <v>6</v>
      </c>
      <c r="AK1326" t="n">
        <v>8</v>
      </c>
      <c r="AL1326" t="n">
        <v>3</v>
      </c>
      <c r="AM1326" t="n">
        <v>4</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HYPERLINK("https://creighton-primo.hosted.exlibrisgroup.com/primo-explore/search?tab=default_tab&amp;search_scope=EVERYTHING&amp;vid=01CRU&amp;lang=en_US&amp;offset=0&amp;query=any,contains,991003957469702656","Catalog Record")</f>
        <v/>
      </c>
      <c r="AT1326">
        <f>HYPERLINK("http://www.worldcat.org/oclc/1353877","WorldCat Record")</f>
        <v/>
      </c>
      <c r="AU1326" t="inlineStr">
        <is>
          <t>1486145:eng</t>
        </is>
      </c>
      <c r="AV1326" t="inlineStr">
        <is>
          <t>1353877</t>
        </is>
      </c>
      <c r="AW1326" t="inlineStr">
        <is>
          <t>991003957469702656</t>
        </is>
      </c>
      <c r="AX1326" t="inlineStr">
        <is>
          <t>991003957469702656</t>
        </is>
      </c>
      <c r="AY1326" t="inlineStr">
        <is>
          <t>2262624680002656</t>
        </is>
      </c>
      <c r="AZ1326" t="inlineStr">
        <is>
          <t>BOOK</t>
        </is>
      </c>
      <c r="BC1326" t="inlineStr">
        <is>
          <t>32285004669585</t>
        </is>
      </c>
      <c r="BD1326" t="inlineStr">
        <is>
          <t>893531812</t>
        </is>
      </c>
    </row>
    <row r="1327">
      <c r="A1327" t="inlineStr">
        <is>
          <t>No</t>
        </is>
      </c>
      <c r="B1327" t="inlineStr">
        <is>
          <t>GV1787 .B8713 1963</t>
        </is>
      </c>
      <c r="C1327" t="inlineStr">
        <is>
          <t>0                      GV 1787000B  8713        1963</t>
        </is>
      </c>
      <c r="D1327" t="inlineStr">
        <is>
          <t>The story of world ballet / K.V. Burian.</t>
        </is>
      </c>
      <c r="F1327" t="inlineStr">
        <is>
          <t>No</t>
        </is>
      </c>
      <c r="G1327" t="inlineStr">
        <is>
          <t>1</t>
        </is>
      </c>
      <c r="H1327" t="inlineStr">
        <is>
          <t>No</t>
        </is>
      </c>
      <c r="I1327" t="inlineStr">
        <is>
          <t>No</t>
        </is>
      </c>
      <c r="J1327" t="inlineStr">
        <is>
          <t>0</t>
        </is>
      </c>
      <c r="K1327" t="inlineStr">
        <is>
          <t>Burian, Karel Vladimír.</t>
        </is>
      </c>
      <c r="L1327" t="inlineStr">
        <is>
          <t>London : Allan Wingate, 1963.</t>
        </is>
      </c>
      <c r="M1327" t="inlineStr">
        <is>
          <t>1963</t>
        </is>
      </c>
      <c r="O1327" t="inlineStr">
        <is>
          <t>eng</t>
        </is>
      </c>
      <c r="P1327" t="inlineStr">
        <is>
          <t>enk</t>
        </is>
      </c>
      <c r="R1327" t="inlineStr">
        <is>
          <t xml:space="preserve">GV </t>
        </is>
      </c>
      <c r="S1327" t="n">
        <v>2</v>
      </c>
      <c r="T1327" t="n">
        <v>2</v>
      </c>
      <c r="U1327" t="inlineStr">
        <is>
          <t>2002-12-10</t>
        </is>
      </c>
      <c r="V1327" t="inlineStr">
        <is>
          <t>2002-12-10</t>
        </is>
      </c>
      <c r="W1327" t="inlineStr">
        <is>
          <t>2002-12-10</t>
        </is>
      </c>
      <c r="X1327" t="inlineStr">
        <is>
          <t>2002-12-10</t>
        </is>
      </c>
      <c r="Y1327" t="n">
        <v>172</v>
      </c>
      <c r="Z1327" t="n">
        <v>139</v>
      </c>
      <c r="AA1327" t="n">
        <v>141</v>
      </c>
      <c r="AB1327" t="n">
        <v>1</v>
      </c>
      <c r="AC1327" t="n">
        <v>1</v>
      </c>
      <c r="AD1327" t="n">
        <v>3</v>
      </c>
      <c r="AE1327" t="n">
        <v>3</v>
      </c>
      <c r="AF1327" t="n">
        <v>2</v>
      </c>
      <c r="AG1327" t="n">
        <v>2</v>
      </c>
      <c r="AH1327" t="n">
        <v>1</v>
      </c>
      <c r="AI1327" t="n">
        <v>1</v>
      </c>
      <c r="AJ1327" t="n">
        <v>2</v>
      </c>
      <c r="AK1327" t="n">
        <v>2</v>
      </c>
      <c r="AL1327" t="n">
        <v>0</v>
      </c>
      <c r="AM1327" t="n">
        <v>0</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HYPERLINK("https://creighton-primo.hosted.exlibrisgroup.com/primo-explore/search?tab=default_tab&amp;search_scope=EVERYTHING&amp;vid=01CRU&amp;lang=en_US&amp;offset=0&amp;query=any,contains,991003958679702656","Catalog Record")</f>
        <v/>
      </c>
      <c r="AT1327">
        <f>HYPERLINK("http://www.worldcat.org/oclc/20470718","WorldCat Record")</f>
        <v/>
      </c>
      <c r="AU1327" t="inlineStr">
        <is>
          <t>19663489:eng</t>
        </is>
      </c>
      <c r="AV1327" t="inlineStr">
        <is>
          <t>20470718</t>
        </is>
      </c>
      <c r="AW1327" t="inlineStr">
        <is>
          <t>991003958679702656</t>
        </is>
      </c>
      <c r="AX1327" t="inlineStr">
        <is>
          <t>991003958679702656</t>
        </is>
      </c>
      <c r="AY1327" t="inlineStr">
        <is>
          <t>2264307210002656</t>
        </is>
      </c>
      <c r="AZ1327" t="inlineStr">
        <is>
          <t>BOOK</t>
        </is>
      </c>
      <c r="BC1327" t="inlineStr">
        <is>
          <t>32285004669445</t>
        </is>
      </c>
      <c r="BD1327" t="inlineStr">
        <is>
          <t>893417047</t>
        </is>
      </c>
    </row>
    <row r="1328">
      <c r="A1328" t="inlineStr">
        <is>
          <t>No</t>
        </is>
      </c>
      <c r="B1328" t="inlineStr">
        <is>
          <t>GV1787 .C42 1992</t>
        </is>
      </c>
      <c r="C1328" t="inlineStr">
        <is>
          <t>0                      GV 1787000C  42          1992</t>
        </is>
      </c>
      <c r="D1328" t="inlineStr">
        <is>
          <t>Ballet : an illustrated history / Mary Clarke and Clement Crisp.</t>
        </is>
      </c>
      <c r="F1328" t="inlineStr">
        <is>
          <t>No</t>
        </is>
      </c>
      <c r="G1328" t="inlineStr">
        <is>
          <t>1</t>
        </is>
      </c>
      <c r="H1328" t="inlineStr">
        <is>
          <t>No</t>
        </is>
      </c>
      <c r="I1328" t="inlineStr">
        <is>
          <t>Yes</t>
        </is>
      </c>
      <c r="J1328" t="inlineStr">
        <is>
          <t>0</t>
        </is>
      </c>
      <c r="K1328" t="inlineStr">
        <is>
          <t>Clarke, Mary, 1923-2015.</t>
        </is>
      </c>
      <c r="L1328" t="inlineStr">
        <is>
          <t>London : H. Hamilton, 1992.</t>
        </is>
      </c>
      <c r="M1328" t="inlineStr">
        <is>
          <t>1992</t>
        </is>
      </c>
      <c r="N1328" t="inlineStr">
        <is>
          <t>Rev. ed.</t>
        </is>
      </c>
      <c r="O1328" t="inlineStr">
        <is>
          <t>eng</t>
        </is>
      </c>
      <c r="P1328" t="inlineStr">
        <is>
          <t>enk</t>
        </is>
      </c>
      <c r="R1328" t="inlineStr">
        <is>
          <t xml:space="preserve">GV </t>
        </is>
      </c>
      <c r="S1328" t="n">
        <v>25</v>
      </c>
      <c r="T1328" t="n">
        <v>25</v>
      </c>
      <c r="U1328" t="inlineStr">
        <is>
          <t>2007-04-19</t>
        </is>
      </c>
      <c r="V1328" t="inlineStr">
        <is>
          <t>2007-04-19</t>
        </is>
      </c>
      <c r="W1328" t="inlineStr">
        <is>
          <t>1993-07-14</t>
        </is>
      </c>
      <c r="X1328" t="inlineStr">
        <is>
          <t>1993-07-14</t>
        </is>
      </c>
      <c r="Y1328" t="n">
        <v>290</v>
      </c>
      <c r="Z1328" t="n">
        <v>206</v>
      </c>
      <c r="AA1328" t="n">
        <v>761</v>
      </c>
      <c r="AB1328" t="n">
        <v>3</v>
      </c>
      <c r="AC1328" t="n">
        <v>6</v>
      </c>
      <c r="AD1328" t="n">
        <v>10</v>
      </c>
      <c r="AE1328" t="n">
        <v>25</v>
      </c>
      <c r="AF1328" t="n">
        <v>4</v>
      </c>
      <c r="AG1328" t="n">
        <v>10</v>
      </c>
      <c r="AH1328" t="n">
        <v>3</v>
      </c>
      <c r="AI1328" t="n">
        <v>6</v>
      </c>
      <c r="AJ1328" t="n">
        <v>6</v>
      </c>
      <c r="AK1328" t="n">
        <v>12</v>
      </c>
      <c r="AL1328" t="n">
        <v>2</v>
      </c>
      <c r="AM1328" t="n">
        <v>5</v>
      </c>
      <c r="AN1328" t="n">
        <v>0</v>
      </c>
      <c r="AO1328" t="n">
        <v>0</v>
      </c>
      <c r="AP1328" t="inlineStr">
        <is>
          <t>No</t>
        </is>
      </c>
      <c r="AQ1328" t="inlineStr">
        <is>
          <t>Yes</t>
        </is>
      </c>
      <c r="AR1328">
        <f>HYPERLINK("http://catalog.hathitrust.org/Record/002602929","HathiTrust Record")</f>
        <v/>
      </c>
      <c r="AS1328">
        <f>HYPERLINK("https://creighton-primo.hosted.exlibrisgroup.com/primo-explore/search?tab=default_tab&amp;search_scope=EVERYTHING&amp;vid=01CRU&amp;lang=en_US&amp;offset=0&amp;query=any,contains,991002100749702656","Catalog Record")</f>
        <v/>
      </c>
      <c r="AT1328">
        <f>HYPERLINK("http://www.worldcat.org/oclc/30111801","WorldCat Record")</f>
        <v/>
      </c>
      <c r="AU1328" t="inlineStr">
        <is>
          <t>347187391:eng</t>
        </is>
      </c>
      <c r="AV1328" t="inlineStr">
        <is>
          <t>30111801</t>
        </is>
      </c>
      <c r="AW1328" t="inlineStr">
        <is>
          <t>991002100749702656</t>
        </is>
      </c>
      <c r="AX1328" t="inlineStr">
        <is>
          <t>991002100749702656</t>
        </is>
      </c>
      <c r="AY1328" t="inlineStr">
        <is>
          <t>2260404450002656</t>
        </is>
      </c>
      <c r="AZ1328" t="inlineStr">
        <is>
          <t>BOOK</t>
        </is>
      </c>
      <c r="BB1328" t="inlineStr">
        <is>
          <t>9780241130681</t>
        </is>
      </c>
      <c r="BC1328" t="inlineStr">
        <is>
          <t>32285001702892</t>
        </is>
      </c>
      <c r="BD1328" t="inlineStr">
        <is>
          <t>893590921</t>
        </is>
      </c>
    </row>
    <row r="1329">
      <c r="A1329" t="inlineStr">
        <is>
          <t>No</t>
        </is>
      </c>
      <c r="B1329" t="inlineStr">
        <is>
          <t>GV1787 .C562</t>
        </is>
      </c>
      <c r="C1329" t="inlineStr">
        <is>
          <t>0                      GV 1787000C  562</t>
        </is>
      </c>
      <c r="D1329" t="inlineStr">
        <is>
          <t>Ballet : an illustrated history / [by] Mary Clarke and Clement Crisp. --</t>
        </is>
      </c>
      <c r="F1329" t="inlineStr">
        <is>
          <t>No</t>
        </is>
      </c>
      <c r="G1329" t="inlineStr">
        <is>
          <t>1</t>
        </is>
      </c>
      <c r="H1329" t="inlineStr">
        <is>
          <t>No</t>
        </is>
      </c>
      <c r="I1329" t="inlineStr">
        <is>
          <t>Yes</t>
        </is>
      </c>
      <c r="J1329" t="inlineStr">
        <is>
          <t>0</t>
        </is>
      </c>
      <c r="K1329" t="inlineStr">
        <is>
          <t>Clarke, Mary, 1923-2015.</t>
        </is>
      </c>
      <c r="L1329" t="inlineStr">
        <is>
          <t>New York : Universe Books, [1973], 1978 printing.</t>
        </is>
      </c>
      <c r="M1329" t="inlineStr">
        <is>
          <t>1973</t>
        </is>
      </c>
      <c r="O1329" t="inlineStr">
        <is>
          <t>eng</t>
        </is>
      </c>
      <c r="P1329" t="inlineStr">
        <is>
          <t>nyu</t>
        </is>
      </c>
      <c r="R1329" t="inlineStr">
        <is>
          <t xml:space="preserve">GV </t>
        </is>
      </c>
      <c r="S1329" t="n">
        <v>19</v>
      </c>
      <c r="T1329" t="n">
        <v>19</v>
      </c>
      <c r="U1329" t="inlineStr">
        <is>
          <t>2007-03-28</t>
        </is>
      </c>
      <c r="V1329" t="inlineStr">
        <is>
          <t>2007-03-28</t>
        </is>
      </c>
      <c r="W1329" t="inlineStr">
        <is>
          <t>1990-08-03</t>
        </is>
      </c>
      <c r="X1329" t="inlineStr">
        <is>
          <t>1990-08-03</t>
        </is>
      </c>
      <c r="Y1329" t="n">
        <v>595</v>
      </c>
      <c r="Z1329" t="n">
        <v>558</v>
      </c>
      <c r="AA1329" t="n">
        <v>761</v>
      </c>
      <c r="AB1329" t="n">
        <v>4</v>
      </c>
      <c r="AC1329" t="n">
        <v>6</v>
      </c>
      <c r="AD1329" t="n">
        <v>18</v>
      </c>
      <c r="AE1329" t="n">
        <v>25</v>
      </c>
      <c r="AF1329" t="n">
        <v>6</v>
      </c>
      <c r="AG1329" t="n">
        <v>10</v>
      </c>
      <c r="AH1329" t="n">
        <v>5</v>
      </c>
      <c r="AI1329" t="n">
        <v>6</v>
      </c>
      <c r="AJ1329" t="n">
        <v>8</v>
      </c>
      <c r="AK1329" t="n">
        <v>12</v>
      </c>
      <c r="AL1329" t="n">
        <v>3</v>
      </c>
      <c r="AM1329" t="n">
        <v>5</v>
      </c>
      <c r="AN1329" t="n">
        <v>0</v>
      </c>
      <c r="AO1329" t="n">
        <v>0</v>
      </c>
      <c r="AP1329" t="inlineStr">
        <is>
          <t>No</t>
        </is>
      </c>
      <c r="AQ1329" t="inlineStr">
        <is>
          <t>Yes</t>
        </is>
      </c>
      <c r="AR1329">
        <f>HYPERLINK("http://catalog.hathitrust.org/Record/001881777","HathiTrust Record")</f>
        <v/>
      </c>
      <c r="AS1329">
        <f>HYPERLINK("https://creighton-primo.hosted.exlibrisgroup.com/primo-explore/search?tab=default_tab&amp;search_scope=EVERYTHING&amp;vid=01CRU&amp;lang=en_US&amp;offset=0&amp;query=any,contains,991003226459702656","Catalog Record")</f>
        <v/>
      </c>
      <c r="AT1329">
        <f>HYPERLINK("http://www.worldcat.org/oclc/750899","WorldCat Record")</f>
        <v/>
      </c>
      <c r="AU1329" t="inlineStr">
        <is>
          <t>347187391:eng</t>
        </is>
      </c>
      <c r="AV1329" t="inlineStr">
        <is>
          <t>750899</t>
        </is>
      </c>
      <c r="AW1329" t="inlineStr">
        <is>
          <t>991003226459702656</t>
        </is>
      </c>
      <c r="AX1329" t="inlineStr">
        <is>
          <t>991003226459702656</t>
        </is>
      </c>
      <c r="AY1329" t="inlineStr">
        <is>
          <t>2265383230002656</t>
        </is>
      </c>
      <c r="AZ1329" t="inlineStr">
        <is>
          <t>BOOK</t>
        </is>
      </c>
      <c r="BB1329" t="inlineStr">
        <is>
          <t>9780876631942</t>
        </is>
      </c>
      <c r="BC1329" t="inlineStr">
        <is>
          <t>32285000266329</t>
        </is>
      </c>
      <c r="BD1329" t="inlineStr">
        <is>
          <t>893874550</t>
        </is>
      </c>
    </row>
    <row r="1330">
      <c r="A1330" t="inlineStr">
        <is>
          <t>No</t>
        </is>
      </c>
      <c r="B1330" t="inlineStr">
        <is>
          <t>GV1787 .D513</t>
        </is>
      </c>
      <c r="C1330" t="inlineStr">
        <is>
          <t>0                      GV 1787000D  513</t>
        </is>
      </c>
      <c r="D1330" t="inlineStr">
        <is>
          <t>Dictionary of modern ballet. General editors: Francis Gadan and Robert Maillard. American editor: Selma Jeanne Cohen. Introd. by John Martin. [Translated from the French by John Montague and Peggie Cochrane]</t>
        </is>
      </c>
      <c r="F1330" t="inlineStr">
        <is>
          <t>No</t>
        </is>
      </c>
      <c r="G1330" t="inlineStr">
        <is>
          <t>1</t>
        </is>
      </c>
      <c r="H1330" t="inlineStr">
        <is>
          <t>No</t>
        </is>
      </c>
      <c r="I1330" t="inlineStr">
        <is>
          <t>No</t>
        </is>
      </c>
      <c r="J1330" t="inlineStr">
        <is>
          <t>0</t>
        </is>
      </c>
      <c r="L1330" t="inlineStr">
        <is>
          <t>New York, Tudor Pub. Co. [1959]</t>
        </is>
      </c>
      <c r="M1330" t="inlineStr">
        <is>
          <t>1959</t>
        </is>
      </c>
      <c r="O1330" t="inlineStr">
        <is>
          <t>eng</t>
        </is>
      </c>
      <c r="P1330" t="inlineStr">
        <is>
          <t>nyu</t>
        </is>
      </c>
      <c r="R1330" t="inlineStr">
        <is>
          <t xml:space="preserve">GV </t>
        </is>
      </c>
      <c r="S1330" t="n">
        <v>7</v>
      </c>
      <c r="T1330" t="n">
        <v>7</v>
      </c>
      <c r="U1330" t="inlineStr">
        <is>
          <t>2000-05-02</t>
        </is>
      </c>
      <c r="V1330" t="inlineStr">
        <is>
          <t>2000-05-02</t>
        </is>
      </c>
      <c r="W1330" t="inlineStr">
        <is>
          <t>1997-06-02</t>
        </is>
      </c>
      <c r="X1330" t="inlineStr">
        <is>
          <t>1997-06-02</t>
        </is>
      </c>
      <c r="Y1330" t="n">
        <v>551</v>
      </c>
      <c r="Z1330" t="n">
        <v>531</v>
      </c>
      <c r="AA1330" t="n">
        <v>608</v>
      </c>
      <c r="AB1330" t="n">
        <v>4</v>
      </c>
      <c r="AC1330" t="n">
        <v>4</v>
      </c>
      <c r="AD1330" t="n">
        <v>14</v>
      </c>
      <c r="AE1330" t="n">
        <v>19</v>
      </c>
      <c r="AF1330" t="n">
        <v>6</v>
      </c>
      <c r="AG1330" t="n">
        <v>7</v>
      </c>
      <c r="AH1330" t="n">
        <v>2</v>
      </c>
      <c r="AI1330" t="n">
        <v>3</v>
      </c>
      <c r="AJ1330" t="n">
        <v>7</v>
      </c>
      <c r="AK1330" t="n">
        <v>11</v>
      </c>
      <c r="AL1330" t="n">
        <v>2</v>
      </c>
      <c r="AM1330" t="n">
        <v>2</v>
      </c>
      <c r="AN1330" t="n">
        <v>0</v>
      </c>
      <c r="AO1330" t="n">
        <v>0</v>
      </c>
      <c r="AP1330" t="inlineStr">
        <is>
          <t>No</t>
        </is>
      </c>
      <c r="AQ1330" t="inlineStr">
        <is>
          <t>Yes</t>
        </is>
      </c>
      <c r="AR1330">
        <f>HYPERLINK("http://catalog.hathitrust.org/Record/001116923","HathiTrust Record")</f>
        <v/>
      </c>
      <c r="AS1330">
        <f>HYPERLINK("https://creighton-primo.hosted.exlibrisgroup.com/primo-explore/search?tab=default_tab&amp;search_scope=EVERYTHING&amp;vid=01CRU&amp;lang=en_US&amp;offset=0&amp;query=any,contains,991005353999702656","Catalog Record")</f>
        <v/>
      </c>
      <c r="AT1330">
        <f>HYPERLINK("http://www.worldcat.org/oclc/249874","WorldCat Record")</f>
        <v/>
      </c>
      <c r="AU1330" t="inlineStr">
        <is>
          <t>375699416:eng</t>
        </is>
      </c>
      <c r="AV1330" t="inlineStr">
        <is>
          <t>249874</t>
        </is>
      </c>
      <c r="AW1330" t="inlineStr">
        <is>
          <t>991005353999702656</t>
        </is>
      </c>
      <c r="AX1330" t="inlineStr">
        <is>
          <t>991005353999702656</t>
        </is>
      </c>
      <c r="AY1330" t="inlineStr">
        <is>
          <t>2258506920002656</t>
        </is>
      </c>
      <c r="AZ1330" t="inlineStr">
        <is>
          <t>BOOK</t>
        </is>
      </c>
      <c r="BC1330" t="inlineStr">
        <is>
          <t>32285002701273</t>
        </is>
      </c>
      <c r="BD1330" t="inlineStr">
        <is>
          <t>893236699</t>
        </is>
      </c>
    </row>
    <row r="1331">
      <c r="A1331" t="inlineStr">
        <is>
          <t>No</t>
        </is>
      </c>
      <c r="B1331" t="inlineStr">
        <is>
          <t>GV1787 .D63 1977</t>
        </is>
      </c>
      <c r="C1331" t="inlineStr">
        <is>
          <t>0                      GV 1787000D  63          1977</t>
        </is>
      </c>
      <c r="D1331" t="inlineStr">
        <is>
          <t>Ballet and dance / Linda Doeser.</t>
        </is>
      </c>
      <c r="F1331" t="inlineStr">
        <is>
          <t>No</t>
        </is>
      </c>
      <c r="G1331" t="inlineStr">
        <is>
          <t>1</t>
        </is>
      </c>
      <c r="H1331" t="inlineStr">
        <is>
          <t>No</t>
        </is>
      </c>
      <c r="I1331" t="inlineStr">
        <is>
          <t>No</t>
        </is>
      </c>
      <c r="J1331" t="inlineStr">
        <is>
          <t>0</t>
        </is>
      </c>
      <c r="K1331" t="inlineStr">
        <is>
          <t>Doeser, Linda.</t>
        </is>
      </c>
      <c r="L1331" t="inlineStr">
        <is>
          <t>New York : St. Martin's Press, 1977.</t>
        </is>
      </c>
      <c r="M1331" t="inlineStr">
        <is>
          <t>1977</t>
        </is>
      </c>
      <c r="O1331" t="inlineStr">
        <is>
          <t>eng</t>
        </is>
      </c>
      <c r="P1331" t="inlineStr">
        <is>
          <t>nyu</t>
        </is>
      </c>
      <c r="R1331" t="inlineStr">
        <is>
          <t xml:space="preserve">GV </t>
        </is>
      </c>
      <c r="S1331" t="n">
        <v>10</v>
      </c>
      <c r="T1331" t="n">
        <v>10</v>
      </c>
      <c r="U1331" t="inlineStr">
        <is>
          <t>2007-03-28</t>
        </is>
      </c>
      <c r="V1331" t="inlineStr">
        <is>
          <t>2007-03-28</t>
        </is>
      </c>
      <c r="W1331" t="inlineStr">
        <is>
          <t>1990-02-20</t>
        </is>
      </c>
      <c r="X1331" t="inlineStr">
        <is>
          <t>1990-02-20</t>
        </is>
      </c>
      <c r="Y1331" t="n">
        <v>527</v>
      </c>
      <c r="Z1331" t="n">
        <v>491</v>
      </c>
      <c r="AA1331" t="n">
        <v>574</v>
      </c>
      <c r="AB1331" t="n">
        <v>2</v>
      </c>
      <c r="AC1331" t="n">
        <v>2</v>
      </c>
      <c r="AD1331" t="n">
        <v>9</v>
      </c>
      <c r="AE1331" t="n">
        <v>9</v>
      </c>
      <c r="AF1331" t="n">
        <v>6</v>
      </c>
      <c r="AG1331" t="n">
        <v>6</v>
      </c>
      <c r="AH1331" t="n">
        <v>1</v>
      </c>
      <c r="AI1331" t="n">
        <v>1</v>
      </c>
      <c r="AJ1331" t="n">
        <v>4</v>
      </c>
      <c r="AK1331" t="n">
        <v>4</v>
      </c>
      <c r="AL1331" t="n">
        <v>1</v>
      </c>
      <c r="AM1331" t="n">
        <v>1</v>
      </c>
      <c r="AN1331" t="n">
        <v>0</v>
      </c>
      <c r="AO1331" t="n">
        <v>0</v>
      </c>
      <c r="AP1331" t="inlineStr">
        <is>
          <t>No</t>
        </is>
      </c>
      <c r="AQ1331" t="inlineStr">
        <is>
          <t>No</t>
        </is>
      </c>
      <c r="AS1331">
        <f>HYPERLINK("https://creighton-primo.hosted.exlibrisgroup.com/primo-explore/search?tab=default_tab&amp;search_scope=EVERYTHING&amp;vid=01CRU&amp;lang=en_US&amp;offset=0&amp;query=any,contains,991004271009702656","Catalog Record")</f>
        <v/>
      </c>
      <c r="AT1331">
        <f>HYPERLINK("http://www.worldcat.org/oclc/2875917","WorldCat Record")</f>
        <v/>
      </c>
      <c r="AU1331" t="inlineStr">
        <is>
          <t>6422105:eng</t>
        </is>
      </c>
      <c r="AV1331" t="inlineStr">
        <is>
          <t>2875917</t>
        </is>
      </c>
      <c r="AW1331" t="inlineStr">
        <is>
          <t>991004271009702656</t>
        </is>
      </c>
      <c r="AX1331" t="inlineStr">
        <is>
          <t>991004271009702656</t>
        </is>
      </c>
      <c r="AY1331" t="inlineStr">
        <is>
          <t>2258111620002656</t>
        </is>
      </c>
      <c r="AZ1331" t="inlineStr">
        <is>
          <t>BOOK</t>
        </is>
      </c>
      <c r="BB1331" t="inlineStr">
        <is>
          <t>9780312065997</t>
        </is>
      </c>
      <c r="BC1331" t="inlineStr">
        <is>
          <t>32285000053099</t>
        </is>
      </c>
      <c r="BD1331" t="inlineStr">
        <is>
          <t>893417420</t>
        </is>
      </c>
    </row>
    <row r="1332">
      <c r="A1332" t="inlineStr">
        <is>
          <t>No</t>
        </is>
      </c>
      <c r="B1332" t="inlineStr">
        <is>
          <t>GV1787 .G62 1983</t>
        </is>
      </c>
      <c r="C1332" t="inlineStr">
        <is>
          <t>0                      GV 1787000G  62          1983</t>
        </is>
      </c>
      <c r="D1332" t="inlineStr">
        <is>
          <t>Off balance : the real world of ballet / by Suzanne Gordon ; with photographs by Earl Dotter.</t>
        </is>
      </c>
      <c r="F1332" t="inlineStr">
        <is>
          <t>No</t>
        </is>
      </c>
      <c r="G1332" t="inlineStr">
        <is>
          <t>1</t>
        </is>
      </c>
      <c r="H1332" t="inlineStr">
        <is>
          <t>No</t>
        </is>
      </c>
      <c r="I1332" t="inlineStr">
        <is>
          <t>No</t>
        </is>
      </c>
      <c r="J1332" t="inlineStr">
        <is>
          <t>0</t>
        </is>
      </c>
      <c r="K1332" t="inlineStr">
        <is>
          <t>Gordon, Suzanne, 1945-</t>
        </is>
      </c>
      <c r="L1332" t="inlineStr">
        <is>
          <t>New York : Pantheon, c1983.</t>
        </is>
      </c>
      <c r="M1332" t="inlineStr">
        <is>
          <t>1983</t>
        </is>
      </c>
      <c r="O1332" t="inlineStr">
        <is>
          <t>eng</t>
        </is>
      </c>
      <c r="P1332" t="inlineStr">
        <is>
          <t>nyu</t>
        </is>
      </c>
      <c r="R1332" t="inlineStr">
        <is>
          <t xml:space="preserve">GV </t>
        </is>
      </c>
      <c r="S1332" t="n">
        <v>12</v>
      </c>
      <c r="T1332" t="n">
        <v>12</v>
      </c>
      <c r="U1332" t="inlineStr">
        <is>
          <t>2008-04-09</t>
        </is>
      </c>
      <c r="V1332" t="inlineStr">
        <is>
          <t>2008-04-09</t>
        </is>
      </c>
      <c r="W1332" t="inlineStr">
        <is>
          <t>1990-03-28</t>
        </is>
      </c>
      <c r="X1332" t="inlineStr">
        <is>
          <t>1990-03-28</t>
        </is>
      </c>
      <c r="Y1332" t="n">
        <v>817</v>
      </c>
      <c r="Z1332" t="n">
        <v>769</v>
      </c>
      <c r="AA1332" t="n">
        <v>818</v>
      </c>
      <c r="AB1332" t="n">
        <v>3</v>
      </c>
      <c r="AC1332" t="n">
        <v>3</v>
      </c>
      <c r="AD1332" t="n">
        <v>14</v>
      </c>
      <c r="AE1332" t="n">
        <v>14</v>
      </c>
      <c r="AF1332" t="n">
        <v>8</v>
      </c>
      <c r="AG1332" t="n">
        <v>8</v>
      </c>
      <c r="AH1332" t="n">
        <v>2</v>
      </c>
      <c r="AI1332" t="n">
        <v>2</v>
      </c>
      <c r="AJ1332" t="n">
        <v>6</v>
      </c>
      <c r="AK1332" t="n">
        <v>6</v>
      </c>
      <c r="AL1332" t="n">
        <v>2</v>
      </c>
      <c r="AM1332" t="n">
        <v>2</v>
      </c>
      <c r="AN1332" t="n">
        <v>0</v>
      </c>
      <c r="AO1332" t="n">
        <v>0</v>
      </c>
      <c r="AP1332" t="inlineStr">
        <is>
          <t>No</t>
        </is>
      </c>
      <c r="AQ1332" t="inlineStr">
        <is>
          <t>No</t>
        </is>
      </c>
      <c r="AS1332">
        <f>HYPERLINK("https://creighton-primo.hosted.exlibrisgroup.com/primo-explore/search?tab=default_tab&amp;search_scope=EVERYTHING&amp;vid=01CRU&amp;lang=en_US&amp;offset=0&amp;query=any,contains,991000084059702656","Catalog Record")</f>
        <v/>
      </c>
      <c r="AT1332">
        <f>HYPERLINK("http://www.worldcat.org/oclc/8846708","WorldCat Record")</f>
        <v/>
      </c>
      <c r="AU1332" t="inlineStr">
        <is>
          <t>3617481:eng</t>
        </is>
      </c>
      <c r="AV1332" t="inlineStr">
        <is>
          <t>8846708</t>
        </is>
      </c>
      <c r="AW1332" t="inlineStr">
        <is>
          <t>991000084059702656</t>
        </is>
      </c>
      <c r="AX1332" t="inlineStr">
        <is>
          <t>991000084059702656</t>
        </is>
      </c>
      <c r="AY1332" t="inlineStr">
        <is>
          <t>2256228730002656</t>
        </is>
      </c>
      <c r="AZ1332" t="inlineStr">
        <is>
          <t>BOOK</t>
        </is>
      </c>
      <c r="BB1332" t="inlineStr">
        <is>
          <t>9780394519852</t>
        </is>
      </c>
      <c r="BC1332" t="inlineStr">
        <is>
          <t>32285000099720</t>
        </is>
      </c>
      <c r="BD1332" t="inlineStr">
        <is>
          <t>893339253</t>
        </is>
      </c>
    </row>
    <row r="1333">
      <c r="A1333" t="inlineStr">
        <is>
          <t>No</t>
        </is>
      </c>
      <c r="B1333" t="inlineStr">
        <is>
          <t>GV1787 .G74 1998</t>
        </is>
      </c>
      <c r="C1333" t="inlineStr">
        <is>
          <t>0                      GV 1787000G  74          1998</t>
        </is>
      </c>
      <c r="D1333" t="inlineStr">
        <is>
          <t>Ballet 101 : a complete guide to learning and loving the ballet / Robert Greskovic.</t>
        </is>
      </c>
      <c r="F1333" t="inlineStr">
        <is>
          <t>No</t>
        </is>
      </c>
      <c r="G1333" t="inlineStr">
        <is>
          <t>1</t>
        </is>
      </c>
      <c r="H1333" t="inlineStr">
        <is>
          <t>No</t>
        </is>
      </c>
      <c r="I1333" t="inlineStr">
        <is>
          <t>No</t>
        </is>
      </c>
      <c r="J1333" t="inlineStr">
        <is>
          <t>0</t>
        </is>
      </c>
      <c r="K1333" t="inlineStr">
        <is>
          <t>Greskovic, Robert.</t>
        </is>
      </c>
      <c r="L1333" t="inlineStr">
        <is>
          <t>New York : Hyperion, c1998.</t>
        </is>
      </c>
      <c r="M1333" t="inlineStr">
        <is>
          <t>1998</t>
        </is>
      </c>
      <c r="N1333" t="inlineStr">
        <is>
          <t>1st ed.</t>
        </is>
      </c>
      <c r="O1333" t="inlineStr">
        <is>
          <t>eng</t>
        </is>
      </c>
      <c r="P1333" t="inlineStr">
        <is>
          <t>nyu</t>
        </is>
      </c>
      <c r="R1333" t="inlineStr">
        <is>
          <t xml:space="preserve">GV </t>
        </is>
      </c>
      <c r="S1333" t="n">
        <v>15</v>
      </c>
      <c r="T1333" t="n">
        <v>15</v>
      </c>
      <c r="U1333" t="inlineStr">
        <is>
          <t>2007-04-17</t>
        </is>
      </c>
      <c r="V1333" t="inlineStr">
        <is>
          <t>2007-04-17</t>
        </is>
      </c>
      <c r="W1333" t="inlineStr">
        <is>
          <t>1998-07-08</t>
        </is>
      </c>
      <c r="X1333" t="inlineStr">
        <is>
          <t>1998-07-08</t>
        </is>
      </c>
      <c r="Y1333" t="n">
        <v>830</v>
      </c>
      <c r="Z1333" t="n">
        <v>779</v>
      </c>
      <c r="AA1333" t="n">
        <v>914</v>
      </c>
      <c r="AB1333" t="n">
        <v>3</v>
      </c>
      <c r="AC1333" t="n">
        <v>3</v>
      </c>
      <c r="AD1333" t="n">
        <v>20</v>
      </c>
      <c r="AE1333" t="n">
        <v>23</v>
      </c>
      <c r="AF1333" t="n">
        <v>10</v>
      </c>
      <c r="AG1333" t="n">
        <v>12</v>
      </c>
      <c r="AH1333" t="n">
        <v>4</v>
      </c>
      <c r="AI1333" t="n">
        <v>4</v>
      </c>
      <c r="AJ1333" t="n">
        <v>11</v>
      </c>
      <c r="AK1333" t="n">
        <v>13</v>
      </c>
      <c r="AL1333" t="n">
        <v>1</v>
      </c>
      <c r="AM1333" t="n">
        <v>1</v>
      </c>
      <c r="AN1333" t="n">
        <v>0</v>
      </c>
      <c r="AO1333" t="n">
        <v>0</v>
      </c>
      <c r="AP1333" t="inlineStr">
        <is>
          <t>No</t>
        </is>
      </c>
      <c r="AQ1333" t="inlineStr">
        <is>
          <t>Yes</t>
        </is>
      </c>
      <c r="AR1333">
        <f>HYPERLINK("http://catalog.hathitrust.org/Record/008320680","HathiTrust Record")</f>
        <v/>
      </c>
      <c r="AS1333">
        <f>HYPERLINK("https://creighton-primo.hosted.exlibrisgroup.com/primo-explore/search?tab=default_tab&amp;search_scope=EVERYTHING&amp;vid=01CRU&amp;lang=en_US&amp;offset=0&amp;query=any,contains,991002851049702656","Catalog Record")</f>
        <v/>
      </c>
      <c r="AT1333">
        <f>HYPERLINK("http://www.worldcat.org/oclc/37567270","WorldCat Record")</f>
        <v/>
      </c>
      <c r="AU1333" t="inlineStr">
        <is>
          <t>26606760:eng</t>
        </is>
      </c>
      <c r="AV1333" t="inlineStr">
        <is>
          <t>37567270</t>
        </is>
      </c>
      <c r="AW1333" t="inlineStr">
        <is>
          <t>991002851049702656</t>
        </is>
      </c>
      <c r="AX1333" t="inlineStr">
        <is>
          <t>991002851049702656</t>
        </is>
      </c>
      <c r="AY1333" t="inlineStr">
        <is>
          <t>2270143520002656</t>
        </is>
      </c>
      <c r="AZ1333" t="inlineStr">
        <is>
          <t>BOOK</t>
        </is>
      </c>
      <c r="BB1333" t="inlineStr">
        <is>
          <t>9780786881550</t>
        </is>
      </c>
      <c r="BC1333" t="inlineStr">
        <is>
          <t>32285003430542</t>
        </is>
      </c>
      <c r="BD1333" t="inlineStr">
        <is>
          <t>893899325</t>
        </is>
      </c>
    </row>
    <row r="1334">
      <c r="A1334" t="inlineStr">
        <is>
          <t>No</t>
        </is>
      </c>
      <c r="B1334" t="inlineStr">
        <is>
          <t>GV1787 .G78 1988</t>
        </is>
      </c>
      <c r="C1334" t="inlineStr">
        <is>
          <t>0                      GV 1787000G  78          1988</t>
        </is>
      </c>
      <c r="D1334" t="inlineStr">
        <is>
          <t>The dancer's heritage : a short history of ballet / by Ivor Guest ; with a foreword by Margot Fonteyn and thirty-three illustrations.</t>
        </is>
      </c>
      <c r="F1334" t="inlineStr">
        <is>
          <t>No</t>
        </is>
      </c>
      <c r="G1334" t="inlineStr">
        <is>
          <t>1</t>
        </is>
      </c>
      <c r="H1334" t="inlineStr">
        <is>
          <t>No</t>
        </is>
      </c>
      <c r="I1334" t="inlineStr">
        <is>
          <t>No</t>
        </is>
      </c>
      <c r="J1334" t="inlineStr">
        <is>
          <t>0</t>
        </is>
      </c>
      <c r="K1334" t="inlineStr">
        <is>
          <t>Guest, Ivor, 1920-2018.</t>
        </is>
      </c>
      <c r="L1334" t="inlineStr">
        <is>
          <t>London : Dancing Times, 1988.</t>
        </is>
      </c>
      <c r="M1334" t="inlineStr">
        <is>
          <t>1988</t>
        </is>
      </c>
      <c r="N1334" t="inlineStr">
        <is>
          <t>6th ed.</t>
        </is>
      </c>
      <c r="O1334" t="inlineStr">
        <is>
          <t>eng</t>
        </is>
      </c>
      <c r="P1334" t="inlineStr">
        <is>
          <t>enk</t>
        </is>
      </c>
      <c r="R1334" t="inlineStr">
        <is>
          <t xml:space="preserve">GV </t>
        </is>
      </c>
      <c r="S1334" t="n">
        <v>5</v>
      </c>
      <c r="T1334" t="n">
        <v>5</v>
      </c>
      <c r="U1334" t="inlineStr">
        <is>
          <t>2006-04-05</t>
        </is>
      </c>
      <c r="V1334" t="inlineStr">
        <is>
          <t>2006-04-05</t>
        </is>
      </c>
      <c r="W1334" t="inlineStr">
        <is>
          <t>2004-03-04</t>
        </is>
      </c>
      <c r="X1334" t="inlineStr">
        <is>
          <t>2004-03-04</t>
        </is>
      </c>
      <c r="Y1334" t="n">
        <v>37</v>
      </c>
      <c r="Z1334" t="n">
        <v>28</v>
      </c>
      <c r="AA1334" t="n">
        <v>315</v>
      </c>
      <c r="AB1334" t="n">
        <v>1</v>
      </c>
      <c r="AC1334" t="n">
        <v>2</v>
      </c>
      <c r="AD1334" t="n">
        <v>1</v>
      </c>
      <c r="AE1334" t="n">
        <v>7</v>
      </c>
      <c r="AF1334" t="n">
        <v>1</v>
      </c>
      <c r="AG1334" t="n">
        <v>5</v>
      </c>
      <c r="AH1334" t="n">
        <v>0</v>
      </c>
      <c r="AI1334" t="n">
        <v>1</v>
      </c>
      <c r="AJ1334" t="n">
        <v>0</v>
      </c>
      <c r="AK1334" t="n">
        <v>3</v>
      </c>
      <c r="AL1334" t="n">
        <v>0</v>
      </c>
      <c r="AM1334" t="n">
        <v>1</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HYPERLINK("https://creighton-primo.hosted.exlibrisgroup.com/primo-explore/search?tab=default_tab&amp;search_scope=EVERYTHING&amp;vid=01CRU&amp;lang=en_US&amp;offset=0&amp;query=any,contains,991004224539702656","Catalog Record")</f>
        <v/>
      </c>
      <c r="AT1334">
        <f>HYPERLINK("http://www.worldcat.org/oclc/19174879","WorldCat Record")</f>
        <v/>
      </c>
      <c r="AU1334" t="inlineStr">
        <is>
          <t>1582067:eng</t>
        </is>
      </c>
      <c r="AV1334" t="inlineStr">
        <is>
          <t>19174879</t>
        </is>
      </c>
      <c r="AW1334" t="inlineStr">
        <is>
          <t>991004224539702656</t>
        </is>
      </c>
      <c r="AX1334" t="inlineStr">
        <is>
          <t>991004224539702656</t>
        </is>
      </c>
      <c r="AY1334" t="inlineStr">
        <is>
          <t>2272298540002656</t>
        </is>
      </c>
      <c r="AZ1334" t="inlineStr">
        <is>
          <t>BOOK</t>
        </is>
      </c>
      <c r="BC1334" t="inlineStr">
        <is>
          <t>32285004892252</t>
        </is>
      </c>
      <c r="BD1334" t="inlineStr">
        <is>
          <t>893259475</t>
        </is>
      </c>
    </row>
    <row r="1335">
      <c r="A1335" t="inlineStr">
        <is>
          <t>No</t>
        </is>
      </c>
      <c r="B1335" t="inlineStr">
        <is>
          <t>GV1787 .H227</t>
        </is>
      </c>
      <c r="C1335" t="inlineStr">
        <is>
          <t>0                      GV 1787000H  227</t>
        </is>
      </c>
      <c r="D1335" t="inlineStr">
        <is>
          <t>Ballet chronicle [by] B. H. Haggin.</t>
        </is>
      </c>
      <c r="F1335" t="inlineStr">
        <is>
          <t>No</t>
        </is>
      </c>
      <c r="G1335" t="inlineStr">
        <is>
          <t>1</t>
        </is>
      </c>
      <c r="H1335" t="inlineStr">
        <is>
          <t>No</t>
        </is>
      </c>
      <c r="I1335" t="inlineStr">
        <is>
          <t>No</t>
        </is>
      </c>
      <c r="J1335" t="inlineStr">
        <is>
          <t>0</t>
        </is>
      </c>
      <c r="K1335" t="inlineStr">
        <is>
          <t>Haggin, B. H. (Bernard H.), 1900-1987.</t>
        </is>
      </c>
      <c r="L1335" t="inlineStr">
        <is>
          <t>New York, Horizon Press [1971, c1970]</t>
        </is>
      </c>
      <c r="M1335" t="inlineStr">
        <is>
          <t>1971</t>
        </is>
      </c>
      <c r="O1335" t="inlineStr">
        <is>
          <t>eng</t>
        </is>
      </c>
      <c r="P1335" t="inlineStr">
        <is>
          <t>nyu</t>
        </is>
      </c>
      <c r="R1335" t="inlineStr">
        <is>
          <t xml:space="preserve">GV </t>
        </is>
      </c>
      <c r="S1335" t="n">
        <v>6</v>
      </c>
      <c r="T1335" t="n">
        <v>6</v>
      </c>
      <c r="U1335" t="inlineStr">
        <is>
          <t>2007-03-28</t>
        </is>
      </c>
      <c r="V1335" t="inlineStr">
        <is>
          <t>2007-03-28</t>
        </is>
      </c>
      <c r="W1335" t="inlineStr">
        <is>
          <t>1997-06-02</t>
        </is>
      </c>
      <c r="X1335" t="inlineStr">
        <is>
          <t>1997-06-02</t>
        </is>
      </c>
      <c r="Y1335" t="n">
        <v>434</v>
      </c>
      <c r="Z1335" t="n">
        <v>406</v>
      </c>
      <c r="AA1335" t="n">
        <v>422</v>
      </c>
      <c r="AB1335" t="n">
        <v>4</v>
      </c>
      <c r="AC1335" t="n">
        <v>4</v>
      </c>
      <c r="AD1335" t="n">
        <v>12</v>
      </c>
      <c r="AE1335" t="n">
        <v>12</v>
      </c>
      <c r="AF1335" t="n">
        <v>2</v>
      </c>
      <c r="AG1335" t="n">
        <v>2</v>
      </c>
      <c r="AH1335" t="n">
        <v>3</v>
      </c>
      <c r="AI1335" t="n">
        <v>3</v>
      </c>
      <c r="AJ1335" t="n">
        <v>7</v>
      </c>
      <c r="AK1335" t="n">
        <v>7</v>
      </c>
      <c r="AL1335" t="n">
        <v>3</v>
      </c>
      <c r="AM1335" t="n">
        <v>3</v>
      </c>
      <c r="AN1335" t="n">
        <v>0</v>
      </c>
      <c r="AO1335" t="n">
        <v>0</v>
      </c>
      <c r="AP1335" t="inlineStr">
        <is>
          <t>No</t>
        </is>
      </c>
      <c r="AQ1335" t="inlineStr">
        <is>
          <t>Yes</t>
        </is>
      </c>
      <c r="AR1335">
        <f>HYPERLINK("http://catalog.hathitrust.org/Record/001278167","HathiTrust Record")</f>
        <v/>
      </c>
      <c r="AS1335">
        <f>HYPERLINK("https://creighton-primo.hosted.exlibrisgroup.com/primo-explore/search?tab=default_tab&amp;search_scope=EVERYTHING&amp;vid=01CRU&amp;lang=en_US&amp;offset=0&amp;query=any,contains,991000657209702656","Catalog Record")</f>
        <v/>
      </c>
      <c r="AT1335">
        <f>HYPERLINK("http://www.worldcat.org/oclc/116009","WorldCat Record")</f>
        <v/>
      </c>
      <c r="AU1335" t="inlineStr">
        <is>
          <t>139043398:eng</t>
        </is>
      </c>
      <c r="AV1335" t="inlineStr">
        <is>
          <t>116009</t>
        </is>
      </c>
      <c r="AW1335" t="inlineStr">
        <is>
          <t>991000657209702656</t>
        </is>
      </c>
      <c r="AX1335" t="inlineStr">
        <is>
          <t>991000657209702656</t>
        </is>
      </c>
      <c r="AY1335" t="inlineStr">
        <is>
          <t>2260501820002656</t>
        </is>
      </c>
      <c r="AZ1335" t="inlineStr">
        <is>
          <t>BOOK</t>
        </is>
      </c>
      <c r="BB1335" t="inlineStr">
        <is>
          <t>9780818004025</t>
        </is>
      </c>
      <c r="BC1335" t="inlineStr">
        <is>
          <t>32285002701281</t>
        </is>
      </c>
      <c r="BD1335" t="inlineStr">
        <is>
          <t>893608147</t>
        </is>
      </c>
    </row>
    <row r="1336">
      <c r="A1336" t="inlineStr">
        <is>
          <t>No</t>
        </is>
      </c>
      <c r="B1336" t="inlineStr">
        <is>
          <t>GV1787 .H372 1983</t>
        </is>
      </c>
      <c r="C1336" t="inlineStr">
        <is>
          <t>0                      GV 1787000H  372         1983</t>
        </is>
      </c>
      <c r="D1336" t="inlineStr">
        <is>
          <t>Choreographer and composer / Baird Hastings.</t>
        </is>
      </c>
      <c r="F1336" t="inlineStr">
        <is>
          <t>No</t>
        </is>
      </c>
      <c r="G1336" t="inlineStr">
        <is>
          <t>1</t>
        </is>
      </c>
      <c r="H1336" t="inlineStr">
        <is>
          <t>No</t>
        </is>
      </c>
      <c r="I1336" t="inlineStr">
        <is>
          <t>No</t>
        </is>
      </c>
      <c r="J1336" t="inlineStr">
        <is>
          <t>0</t>
        </is>
      </c>
      <c r="K1336" t="inlineStr">
        <is>
          <t>Hastings, Baird.</t>
        </is>
      </c>
      <c r="L1336" t="inlineStr">
        <is>
          <t>Boston, Mass. : Twayne Publishers, 1983.</t>
        </is>
      </c>
      <c r="M1336" t="inlineStr">
        <is>
          <t>1983</t>
        </is>
      </c>
      <c r="O1336" t="inlineStr">
        <is>
          <t>eng</t>
        </is>
      </c>
      <c r="P1336" t="inlineStr">
        <is>
          <t>mau</t>
        </is>
      </c>
      <c r="Q1336" t="inlineStr">
        <is>
          <t>Twayne's dance series</t>
        </is>
      </c>
      <c r="R1336" t="inlineStr">
        <is>
          <t xml:space="preserve">GV </t>
        </is>
      </c>
      <c r="S1336" t="n">
        <v>12</v>
      </c>
      <c r="T1336" t="n">
        <v>12</v>
      </c>
      <c r="U1336" t="inlineStr">
        <is>
          <t>2007-05-02</t>
        </is>
      </c>
      <c r="V1336" t="inlineStr">
        <is>
          <t>2007-05-02</t>
        </is>
      </c>
      <c r="W1336" t="inlineStr">
        <is>
          <t>1990-08-03</t>
        </is>
      </c>
      <c r="X1336" t="inlineStr">
        <is>
          <t>1990-08-03</t>
        </is>
      </c>
      <c r="Y1336" t="n">
        <v>608</v>
      </c>
      <c r="Z1336" t="n">
        <v>551</v>
      </c>
      <c r="AA1336" t="n">
        <v>559</v>
      </c>
      <c r="AB1336" t="n">
        <v>5</v>
      </c>
      <c r="AC1336" t="n">
        <v>5</v>
      </c>
      <c r="AD1336" t="n">
        <v>17</v>
      </c>
      <c r="AE1336" t="n">
        <v>17</v>
      </c>
      <c r="AF1336" t="n">
        <v>8</v>
      </c>
      <c r="AG1336" t="n">
        <v>8</v>
      </c>
      <c r="AH1336" t="n">
        <v>4</v>
      </c>
      <c r="AI1336" t="n">
        <v>4</v>
      </c>
      <c r="AJ1336" t="n">
        <v>5</v>
      </c>
      <c r="AK1336" t="n">
        <v>5</v>
      </c>
      <c r="AL1336" t="n">
        <v>4</v>
      </c>
      <c r="AM1336" t="n">
        <v>4</v>
      </c>
      <c r="AN1336" t="n">
        <v>0</v>
      </c>
      <c r="AO1336" t="n">
        <v>0</v>
      </c>
      <c r="AP1336" t="inlineStr">
        <is>
          <t>No</t>
        </is>
      </c>
      <c r="AQ1336" t="inlineStr">
        <is>
          <t>Yes</t>
        </is>
      </c>
      <c r="AR1336">
        <f>HYPERLINK("http://catalog.hathitrust.org/Record/007479525","HathiTrust Record")</f>
        <v/>
      </c>
      <c r="AS1336">
        <f>HYPERLINK("https://creighton-primo.hosted.exlibrisgroup.com/primo-explore/search?tab=default_tab&amp;search_scope=EVERYTHING&amp;vid=01CRU&amp;lang=en_US&amp;offset=0&amp;query=any,contains,991000394589702656","Catalog Record")</f>
        <v/>
      </c>
      <c r="AT1336">
        <f>HYPERLINK("http://www.worldcat.org/oclc/10560991","WorldCat Record")</f>
        <v/>
      </c>
      <c r="AU1336" t="inlineStr">
        <is>
          <t>2970880:eng</t>
        </is>
      </c>
      <c r="AV1336" t="inlineStr">
        <is>
          <t>10560991</t>
        </is>
      </c>
      <c r="AW1336" t="inlineStr">
        <is>
          <t>991000394589702656</t>
        </is>
      </c>
      <c r="AX1336" t="inlineStr">
        <is>
          <t>991000394589702656</t>
        </is>
      </c>
      <c r="AY1336" t="inlineStr">
        <is>
          <t>2264670860002656</t>
        </is>
      </c>
      <c r="AZ1336" t="inlineStr">
        <is>
          <t>BOOK</t>
        </is>
      </c>
      <c r="BB1336" t="inlineStr">
        <is>
          <t>9780805796001</t>
        </is>
      </c>
      <c r="BC1336" t="inlineStr">
        <is>
          <t>32285000266345</t>
        </is>
      </c>
      <c r="BD1336" t="inlineStr">
        <is>
          <t>893425656</t>
        </is>
      </c>
    </row>
    <row r="1337">
      <c r="A1337" t="inlineStr">
        <is>
          <t>No</t>
        </is>
      </c>
      <c r="B1337" t="inlineStr">
        <is>
          <t>GV1787 .K37 1970b</t>
        </is>
      </c>
      <c r="C1337" t="inlineStr">
        <is>
          <t>0                      GV 1787000K  37          1970b</t>
        </is>
      </c>
      <c r="D1337" t="inlineStr">
        <is>
          <t>The world of ballet.</t>
        </is>
      </c>
      <c r="F1337" t="inlineStr">
        <is>
          <t>No</t>
        </is>
      </c>
      <c r="G1337" t="inlineStr">
        <is>
          <t>1</t>
        </is>
      </c>
      <c r="H1337" t="inlineStr">
        <is>
          <t>No</t>
        </is>
      </c>
      <c r="I1337" t="inlineStr">
        <is>
          <t>No</t>
        </is>
      </c>
      <c r="J1337" t="inlineStr">
        <is>
          <t>0</t>
        </is>
      </c>
      <c r="K1337" t="inlineStr">
        <is>
          <t>Kerensky, Oleg, 1930-1993.</t>
        </is>
      </c>
      <c r="L1337" t="inlineStr">
        <is>
          <t>New York : Coward-McCann, [1970]</t>
        </is>
      </c>
      <c r="M1337" t="inlineStr">
        <is>
          <t>1970</t>
        </is>
      </c>
      <c r="N1337" t="inlineStr">
        <is>
          <t>[1st American ed.]</t>
        </is>
      </c>
      <c r="O1337" t="inlineStr">
        <is>
          <t>eng</t>
        </is>
      </c>
      <c r="P1337" t="inlineStr">
        <is>
          <t>nyu</t>
        </is>
      </c>
      <c r="R1337" t="inlineStr">
        <is>
          <t xml:space="preserve">GV </t>
        </is>
      </c>
      <c r="S1337" t="n">
        <v>16</v>
      </c>
      <c r="T1337" t="n">
        <v>16</v>
      </c>
      <c r="U1337" t="inlineStr">
        <is>
          <t>2007-05-02</t>
        </is>
      </c>
      <c r="V1337" t="inlineStr">
        <is>
          <t>2007-05-02</t>
        </is>
      </c>
      <c r="W1337" t="inlineStr">
        <is>
          <t>1990-11-30</t>
        </is>
      </c>
      <c r="X1337" t="inlineStr">
        <is>
          <t>1990-11-30</t>
        </is>
      </c>
      <c r="Y1337" t="n">
        <v>485</v>
      </c>
      <c r="Z1337" t="n">
        <v>455</v>
      </c>
      <c r="AA1337" t="n">
        <v>461</v>
      </c>
      <c r="AB1337" t="n">
        <v>4</v>
      </c>
      <c r="AC1337" t="n">
        <v>4</v>
      </c>
      <c r="AD1337" t="n">
        <v>13</v>
      </c>
      <c r="AE1337" t="n">
        <v>13</v>
      </c>
      <c r="AF1337" t="n">
        <v>5</v>
      </c>
      <c r="AG1337" t="n">
        <v>5</v>
      </c>
      <c r="AH1337" t="n">
        <v>5</v>
      </c>
      <c r="AI1337" t="n">
        <v>5</v>
      </c>
      <c r="AJ1337" t="n">
        <v>3</v>
      </c>
      <c r="AK1337" t="n">
        <v>3</v>
      </c>
      <c r="AL1337" t="n">
        <v>3</v>
      </c>
      <c r="AM1337" t="n">
        <v>3</v>
      </c>
      <c r="AN1337" t="n">
        <v>0</v>
      </c>
      <c r="AO1337" t="n">
        <v>0</v>
      </c>
      <c r="AP1337" t="inlineStr">
        <is>
          <t>No</t>
        </is>
      </c>
      <c r="AQ1337" t="inlineStr">
        <is>
          <t>Yes</t>
        </is>
      </c>
      <c r="AR1337">
        <f>HYPERLINK("http://catalog.hathitrust.org/Record/001881796","HathiTrust Record")</f>
        <v/>
      </c>
      <c r="AS1337">
        <f>HYPERLINK("https://creighton-primo.hosted.exlibrisgroup.com/primo-explore/search?tab=default_tab&amp;search_scope=EVERYTHING&amp;vid=01CRU&amp;lang=en_US&amp;offset=0&amp;query=any,contains,991000651149702656","Catalog Record")</f>
        <v/>
      </c>
      <c r="AT1337">
        <f>HYPERLINK("http://www.worldcat.org/oclc/113333","WorldCat Record")</f>
        <v/>
      </c>
      <c r="AU1337" t="inlineStr">
        <is>
          <t>3768391091:eng</t>
        </is>
      </c>
      <c r="AV1337" t="inlineStr">
        <is>
          <t>113333</t>
        </is>
      </c>
      <c r="AW1337" t="inlineStr">
        <is>
          <t>991000651149702656</t>
        </is>
      </c>
      <c r="AX1337" t="inlineStr">
        <is>
          <t>991000651149702656</t>
        </is>
      </c>
      <c r="AY1337" t="inlineStr">
        <is>
          <t>2265447000002656</t>
        </is>
      </c>
      <c r="AZ1337" t="inlineStr">
        <is>
          <t>BOOK</t>
        </is>
      </c>
      <c r="BC1337" t="inlineStr">
        <is>
          <t>32285000410240</t>
        </is>
      </c>
      <c r="BD1337" t="inlineStr">
        <is>
          <t>893808769</t>
        </is>
      </c>
    </row>
    <row r="1338">
      <c r="A1338" t="inlineStr">
        <is>
          <t>No</t>
        </is>
      </c>
      <c r="B1338" t="inlineStr">
        <is>
          <t>GV1787 .L3197 2002</t>
        </is>
      </c>
      <c r="C1338" t="inlineStr">
        <is>
          <t>0                      GV 1787000L  3197        2002</t>
        </is>
      </c>
      <c r="D1338" t="inlineStr">
        <is>
          <t>Ballet in western culture : a history of its origins and evolution / Carol Lee.</t>
        </is>
      </c>
      <c r="F1338" t="inlineStr">
        <is>
          <t>No</t>
        </is>
      </c>
      <c r="G1338" t="inlineStr">
        <is>
          <t>1</t>
        </is>
      </c>
      <c r="H1338" t="inlineStr">
        <is>
          <t>No</t>
        </is>
      </c>
      <c r="I1338" t="inlineStr">
        <is>
          <t>No</t>
        </is>
      </c>
      <c r="J1338" t="inlineStr">
        <is>
          <t>0</t>
        </is>
      </c>
      <c r="K1338" t="inlineStr">
        <is>
          <t>Lee, Carol, 1936-</t>
        </is>
      </c>
      <c r="L1338" t="inlineStr">
        <is>
          <t>New York : Routledge, 2002.</t>
        </is>
      </c>
      <c r="M1338" t="inlineStr">
        <is>
          <t>2002</t>
        </is>
      </c>
      <c r="O1338" t="inlineStr">
        <is>
          <t>eng</t>
        </is>
      </c>
      <c r="P1338" t="inlineStr">
        <is>
          <t>nyu</t>
        </is>
      </c>
      <c r="R1338" t="inlineStr">
        <is>
          <t xml:space="preserve">GV </t>
        </is>
      </c>
      <c r="S1338" t="n">
        <v>4</v>
      </c>
      <c r="T1338" t="n">
        <v>4</v>
      </c>
      <c r="U1338" t="inlineStr">
        <is>
          <t>2007-03-28</t>
        </is>
      </c>
      <c r="V1338" t="inlineStr">
        <is>
          <t>2007-03-28</t>
        </is>
      </c>
      <c r="W1338" t="inlineStr">
        <is>
          <t>2002-12-09</t>
        </is>
      </c>
      <c r="X1338" t="inlineStr">
        <is>
          <t>2002-12-09</t>
        </is>
      </c>
      <c r="Y1338" t="n">
        <v>289</v>
      </c>
      <c r="Z1338" t="n">
        <v>215</v>
      </c>
      <c r="AA1338" t="n">
        <v>368</v>
      </c>
      <c r="AB1338" t="n">
        <v>1</v>
      </c>
      <c r="AC1338" t="n">
        <v>3</v>
      </c>
      <c r="AD1338" t="n">
        <v>6</v>
      </c>
      <c r="AE1338" t="n">
        <v>13</v>
      </c>
      <c r="AF1338" t="n">
        <v>2</v>
      </c>
      <c r="AG1338" t="n">
        <v>6</v>
      </c>
      <c r="AH1338" t="n">
        <v>3</v>
      </c>
      <c r="AI1338" t="n">
        <v>6</v>
      </c>
      <c r="AJ1338" t="n">
        <v>1</v>
      </c>
      <c r="AK1338" t="n">
        <v>3</v>
      </c>
      <c r="AL1338" t="n">
        <v>0</v>
      </c>
      <c r="AM1338" t="n">
        <v>2</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HYPERLINK("https://creighton-primo.hosted.exlibrisgroup.com/primo-explore/search?tab=default_tab&amp;search_scope=EVERYTHING&amp;vid=01CRU&amp;lang=en_US&amp;offset=0&amp;query=any,contains,991003901969702656","Catalog Record")</f>
        <v/>
      </c>
      <c r="AT1338">
        <f>HYPERLINK("http://www.worldcat.org/oclc/50644518","WorldCat Record")</f>
        <v/>
      </c>
      <c r="AU1338" t="inlineStr">
        <is>
          <t>1016142:eng</t>
        </is>
      </c>
      <c r="AV1338" t="inlineStr">
        <is>
          <t>50644518</t>
        </is>
      </c>
      <c r="AW1338" t="inlineStr">
        <is>
          <t>991003901969702656</t>
        </is>
      </c>
      <c r="AX1338" t="inlineStr">
        <is>
          <t>991003901969702656</t>
        </is>
      </c>
      <c r="AY1338" t="inlineStr">
        <is>
          <t>2259441980002656</t>
        </is>
      </c>
      <c r="AZ1338" t="inlineStr">
        <is>
          <t>BOOK</t>
        </is>
      </c>
      <c r="BB1338" t="inlineStr">
        <is>
          <t>9780415942560</t>
        </is>
      </c>
      <c r="BC1338" t="inlineStr">
        <is>
          <t>32285004668975</t>
        </is>
      </c>
      <c r="BD1338" t="inlineStr">
        <is>
          <t>893263011</t>
        </is>
      </c>
    </row>
    <row r="1339">
      <c r="A1339" t="inlineStr">
        <is>
          <t>No</t>
        </is>
      </c>
      <c r="B1339" t="inlineStr">
        <is>
          <t>GV1787 .M54</t>
        </is>
      </c>
      <c r="C1339" t="inlineStr">
        <is>
          <t>0                      GV 1787000M  54</t>
        </is>
      </c>
      <c r="D1339" t="inlineStr">
        <is>
          <t>The Gail Grant dictionary of classical ballet in labanotation / by Allan Miles.</t>
        </is>
      </c>
      <c r="F1339" t="inlineStr">
        <is>
          <t>No</t>
        </is>
      </c>
      <c r="G1339" t="inlineStr">
        <is>
          <t>1</t>
        </is>
      </c>
      <c r="H1339" t="inlineStr">
        <is>
          <t>No</t>
        </is>
      </c>
      <c r="I1339" t="inlineStr">
        <is>
          <t>No</t>
        </is>
      </c>
      <c r="J1339" t="inlineStr">
        <is>
          <t>0</t>
        </is>
      </c>
      <c r="K1339" t="inlineStr">
        <is>
          <t>Miles, Allan.</t>
        </is>
      </c>
      <c r="L1339" t="inlineStr">
        <is>
          <t>New York : Dance Notation Bureau, 1976.</t>
        </is>
      </c>
      <c r="M1339" t="inlineStr">
        <is>
          <t>1976</t>
        </is>
      </c>
      <c r="O1339" t="inlineStr">
        <is>
          <t>eng</t>
        </is>
      </c>
      <c r="P1339" t="inlineStr">
        <is>
          <t xml:space="preserve">xx </t>
        </is>
      </c>
      <c r="R1339" t="inlineStr">
        <is>
          <t xml:space="preserve">GV </t>
        </is>
      </c>
      <c r="S1339" t="n">
        <v>1</v>
      </c>
      <c r="T1339" t="n">
        <v>1</v>
      </c>
      <c r="U1339" t="inlineStr">
        <is>
          <t>1996-11-18</t>
        </is>
      </c>
      <c r="V1339" t="inlineStr">
        <is>
          <t>1996-11-18</t>
        </is>
      </c>
      <c r="W1339" t="inlineStr">
        <is>
          <t>1990-08-03</t>
        </is>
      </c>
      <c r="X1339" t="inlineStr">
        <is>
          <t>1990-08-03</t>
        </is>
      </c>
      <c r="Y1339" t="n">
        <v>112</v>
      </c>
      <c r="Z1339" t="n">
        <v>103</v>
      </c>
      <c r="AA1339" t="n">
        <v>104</v>
      </c>
      <c r="AB1339" t="n">
        <v>1</v>
      </c>
      <c r="AC1339" t="n">
        <v>1</v>
      </c>
      <c r="AD1339" t="n">
        <v>2</v>
      </c>
      <c r="AE1339" t="n">
        <v>2</v>
      </c>
      <c r="AF1339" t="n">
        <v>2</v>
      </c>
      <c r="AG1339" t="n">
        <v>2</v>
      </c>
      <c r="AH1339" t="n">
        <v>1</v>
      </c>
      <c r="AI1339" t="n">
        <v>1</v>
      </c>
      <c r="AJ1339" t="n">
        <v>1</v>
      </c>
      <c r="AK1339" t="n">
        <v>1</v>
      </c>
      <c r="AL1339" t="n">
        <v>0</v>
      </c>
      <c r="AM1339" t="n">
        <v>0</v>
      </c>
      <c r="AN1339" t="n">
        <v>0</v>
      </c>
      <c r="AO1339" t="n">
        <v>0</v>
      </c>
      <c r="AP1339" t="inlineStr">
        <is>
          <t>No</t>
        </is>
      </c>
      <c r="AQ1339" t="inlineStr">
        <is>
          <t>Yes</t>
        </is>
      </c>
      <c r="AR1339">
        <f>HYPERLINK("http://catalog.hathitrust.org/Record/003085168","HathiTrust Record")</f>
        <v/>
      </c>
      <c r="AS1339">
        <f>HYPERLINK("https://creighton-primo.hosted.exlibrisgroup.com/primo-explore/search?tab=default_tab&amp;search_scope=EVERYTHING&amp;vid=01CRU&amp;lang=en_US&amp;offset=0&amp;query=any,contains,991004457759702656","Catalog Record")</f>
        <v/>
      </c>
      <c r="AT1339">
        <f>HYPERLINK("http://www.worldcat.org/oclc/3536532","WorldCat Record")</f>
        <v/>
      </c>
      <c r="AU1339" t="inlineStr">
        <is>
          <t>11206560:eng</t>
        </is>
      </c>
      <c r="AV1339" t="inlineStr">
        <is>
          <t>3536532</t>
        </is>
      </c>
      <c r="AW1339" t="inlineStr">
        <is>
          <t>991004457759702656</t>
        </is>
      </c>
      <c r="AX1339" t="inlineStr">
        <is>
          <t>991004457759702656</t>
        </is>
      </c>
      <c r="AY1339" t="inlineStr">
        <is>
          <t>2263639400002656</t>
        </is>
      </c>
      <c r="AZ1339" t="inlineStr">
        <is>
          <t>BOOK</t>
        </is>
      </c>
      <c r="BC1339" t="inlineStr">
        <is>
          <t>32285000266352</t>
        </is>
      </c>
      <c r="BD1339" t="inlineStr">
        <is>
          <t>893722440</t>
        </is>
      </c>
    </row>
    <row r="1340">
      <c r="A1340" t="inlineStr">
        <is>
          <t>No</t>
        </is>
      </c>
      <c r="B1340" t="inlineStr">
        <is>
          <t>GV1787 .N35 1982</t>
        </is>
      </c>
      <c r="C1340" t="inlineStr">
        <is>
          <t>0                      GV 1787000N  35          1982</t>
        </is>
      </c>
      <c r="D1340" t="inlineStr">
        <is>
          <t>Ballet life behind the scenes : from classes, rehearsals, and performances to the company and home lives of the dancers / by Wendy Neale ; photographs by Steven Caras.</t>
        </is>
      </c>
      <c r="F1340" t="inlineStr">
        <is>
          <t>No</t>
        </is>
      </c>
      <c r="G1340" t="inlineStr">
        <is>
          <t>1</t>
        </is>
      </c>
      <c r="H1340" t="inlineStr">
        <is>
          <t>No</t>
        </is>
      </c>
      <c r="I1340" t="inlineStr">
        <is>
          <t>No</t>
        </is>
      </c>
      <c r="J1340" t="inlineStr">
        <is>
          <t>0</t>
        </is>
      </c>
      <c r="K1340" t="inlineStr">
        <is>
          <t>Neale, Wendy.</t>
        </is>
      </c>
      <c r="L1340" t="inlineStr">
        <is>
          <t>New York : Crown, c1982.</t>
        </is>
      </c>
      <c r="M1340" t="inlineStr">
        <is>
          <t>1982</t>
        </is>
      </c>
      <c r="N1340" t="inlineStr">
        <is>
          <t>1st ed.</t>
        </is>
      </c>
      <c r="O1340" t="inlineStr">
        <is>
          <t>eng</t>
        </is>
      </c>
      <c r="P1340" t="inlineStr">
        <is>
          <t>nyu</t>
        </is>
      </c>
      <c r="R1340" t="inlineStr">
        <is>
          <t xml:space="preserve">GV </t>
        </is>
      </c>
      <c r="S1340" t="n">
        <v>1</v>
      </c>
      <c r="T1340" t="n">
        <v>1</v>
      </c>
      <c r="U1340" t="inlineStr">
        <is>
          <t>2002-12-09</t>
        </is>
      </c>
      <c r="V1340" t="inlineStr">
        <is>
          <t>2002-12-09</t>
        </is>
      </c>
      <c r="W1340" t="inlineStr">
        <is>
          <t>2002-12-09</t>
        </is>
      </c>
      <c r="X1340" t="inlineStr">
        <is>
          <t>2002-12-09</t>
        </is>
      </c>
      <c r="Y1340" t="n">
        <v>266</v>
      </c>
      <c r="Z1340" t="n">
        <v>255</v>
      </c>
      <c r="AA1340" t="n">
        <v>261</v>
      </c>
      <c r="AB1340" t="n">
        <v>2</v>
      </c>
      <c r="AC1340" t="n">
        <v>2</v>
      </c>
      <c r="AD1340" t="n">
        <v>6</v>
      </c>
      <c r="AE1340" t="n">
        <v>6</v>
      </c>
      <c r="AF1340" t="n">
        <v>1</v>
      </c>
      <c r="AG1340" t="n">
        <v>1</v>
      </c>
      <c r="AH1340" t="n">
        <v>1</v>
      </c>
      <c r="AI1340" t="n">
        <v>1</v>
      </c>
      <c r="AJ1340" t="n">
        <v>3</v>
      </c>
      <c r="AK1340" t="n">
        <v>3</v>
      </c>
      <c r="AL1340" t="n">
        <v>1</v>
      </c>
      <c r="AM1340" t="n">
        <v>1</v>
      </c>
      <c r="AN1340" t="n">
        <v>0</v>
      </c>
      <c r="AO1340" t="n">
        <v>0</v>
      </c>
      <c r="AP1340" t="inlineStr">
        <is>
          <t>No</t>
        </is>
      </c>
      <c r="AQ1340" t="inlineStr">
        <is>
          <t>Yes</t>
        </is>
      </c>
      <c r="AR1340">
        <f>HYPERLINK("http://catalog.hathitrust.org/Record/007117319","HathiTrust Record")</f>
        <v/>
      </c>
      <c r="AS1340">
        <f>HYPERLINK("https://creighton-primo.hosted.exlibrisgroup.com/primo-explore/search?tab=default_tab&amp;search_scope=EVERYTHING&amp;vid=01CRU&amp;lang=en_US&amp;offset=0&amp;query=any,contains,991003957739702656","Catalog Record")</f>
        <v/>
      </c>
      <c r="AT1340">
        <f>HYPERLINK("http://www.worldcat.org/oclc/8564317","WorldCat Record")</f>
        <v/>
      </c>
      <c r="AU1340" t="inlineStr">
        <is>
          <t>32369643:eng</t>
        </is>
      </c>
      <c r="AV1340" t="inlineStr">
        <is>
          <t>8564317</t>
        </is>
      </c>
      <c r="AW1340" t="inlineStr">
        <is>
          <t>991003957739702656</t>
        </is>
      </c>
      <c r="AX1340" t="inlineStr">
        <is>
          <t>991003957739702656</t>
        </is>
      </c>
      <c r="AY1340" t="inlineStr">
        <is>
          <t>2257717760002656</t>
        </is>
      </c>
      <c r="AZ1340" t="inlineStr">
        <is>
          <t>BOOK</t>
        </is>
      </c>
      <c r="BB1340" t="inlineStr">
        <is>
          <t>9780517541746</t>
        </is>
      </c>
      <c r="BC1340" t="inlineStr">
        <is>
          <t>32285004669304</t>
        </is>
      </c>
      <c r="BD1340" t="inlineStr">
        <is>
          <t>893343298</t>
        </is>
      </c>
    </row>
    <row r="1341">
      <c r="A1341" t="inlineStr">
        <is>
          <t>No</t>
        </is>
      </c>
      <c r="B1341" t="inlineStr">
        <is>
          <t>GV1787 .P365 1992</t>
        </is>
      </c>
      <c r="C1341" t="inlineStr">
        <is>
          <t>0                      GV 1787000P  365         1992</t>
        </is>
      </c>
      <c r="D1341" t="inlineStr">
        <is>
          <t>Both sides of the mirror : the science and art of ballet / Anna Paskevska.</t>
        </is>
      </c>
      <c r="F1341" t="inlineStr">
        <is>
          <t>No</t>
        </is>
      </c>
      <c r="G1341" t="inlineStr">
        <is>
          <t>1</t>
        </is>
      </c>
      <c r="H1341" t="inlineStr">
        <is>
          <t>No</t>
        </is>
      </c>
      <c r="I1341" t="inlineStr">
        <is>
          <t>No</t>
        </is>
      </c>
      <c r="J1341" t="inlineStr">
        <is>
          <t>0</t>
        </is>
      </c>
      <c r="K1341" t="inlineStr">
        <is>
          <t>Paskevska, Anna.</t>
        </is>
      </c>
      <c r="L1341" t="inlineStr">
        <is>
          <t>Pennington, NJ : Princeton Book Co., c1992.</t>
        </is>
      </c>
      <c r="M1341" t="inlineStr">
        <is>
          <t>1992</t>
        </is>
      </c>
      <c r="N1341" t="inlineStr">
        <is>
          <t>2nd ed.</t>
        </is>
      </c>
      <c r="O1341" t="inlineStr">
        <is>
          <t>eng</t>
        </is>
      </c>
      <c r="P1341" t="inlineStr">
        <is>
          <t>nju</t>
        </is>
      </c>
      <c r="R1341" t="inlineStr">
        <is>
          <t xml:space="preserve">GV </t>
        </is>
      </c>
      <c r="S1341" t="n">
        <v>6</v>
      </c>
      <c r="T1341" t="n">
        <v>6</v>
      </c>
      <c r="U1341" t="inlineStr">
        <is>
          <t>2004-09-09</t>
        </is>
      </c>
      <c r="V1341" t="inlineStr">
        <is>
          <t>2004-09-09</t>
        </is>
      </c>
      <c r="W1341" t="inlineStr">
        <is>
          <t>2002-12-05</t>
        </is>
      </c>
      <c r="X1341" t="inlineStr">
        <is>
          <t>2002-12-05</t>
        </is>
      </c>
      <c r="Y1341" t="n">
        <v>288</v>
      </c>
      <c r="Z1341" t="n">
        <v>259</v>
      </c>
      <c r="AA1341" t="n">
        <v>1119</v>
      </c>
      <c r="AB1341" t="n">
        <v>2</v>
      </c>
      <c r="AC1341" t="n">
        <v>31</v>
      </c>
      <c r="AD1341" t="n">
        <v>4</v>
      </c>
      <c r="AE1341" t="n">
        <v>40</v>
      </c>
      <c r="AF1341" t="n">
        <v>3</v>
      </c>
      <c r="AG1341" t="n">
        <v>14</v>
      </c>
      <c r="AH1341" t="n">
        <v>1</v>
      </c>
      <c r="AI1341" t="n">
        <v>7</v>
      </c>
      <c r="AJ1341" t="n">
        <v>2</v>
      </c>
      <c r="AK1341" t="n">
        <v>10</v>
      </c>
      <c r="AL1341" t="n">
        <v>1</v>
      </c>
      <c r="AM1341" t="n">
        <v>12</v>
      </c>
      <c r="AN1341" t="n">
        <v>0</v>
      </c>
      <c r="AO1341" t="n">
        <v>2</v>
      </c>
      <c r="AP1341" t="inlineStr">
        <is>
          <t>No</t>
        </is>
      </c>
      <c r="AQ1341" t="inlineStr">
        <is>
          <t>Yes</t>
        </is>
      </c>
      <c r="AR1341">
        <f>HYPERLINK("http://catalog.hathitrust.org/Record/008320681","HathiTrust Record")</f>
        <v/>
      </c>
      <c r="AS1341">
        <f>HYPERLINK("https://creighton-primo.hosted.exlibrisgroup.com/primo-explore/search?tab=default_tab&amp;search_scope=EVERYTHING&amp;vid=01CRU&amp;lang=en_US&amp;offset=0&amp;query=any,contains,991003956549702656","Catalog Record")</f>
        <v/>
      </c>
      <c r="AT1341">
        <f>HYPERLINK("http://www.worldcat.org/oclc/25916711","WorldCat Record")</f>
        <v/>
      </c>
      <c r="AU1341" t="inlineStr">
        <is>
          <t>793936716:eng</t>
        </is>
      </c>
      <c r="AV1341" t="inlineStr">
        <is>
          <t>25916711</t>
        </is>
      </c>
      <c r="AW1341" t="inlineStr">
        <is>
          <t>991003956549702656</t>
        </is>
      </c>
      <c r="AX1341" t="inlineStr">
        <is>
          <t>991003956549702656</t>
        </is>
      </c>
      <c r="AY1341" t="inlineStr">
        <is>
          <t>2271444320002656</t>
        </is>
      </c>
      <c r="AZ1341" t="inlineStr">
        <is>
          <t>BOOK</t>
        </is>
      </c>
      <c r="BB1341" t="inlineStr">
        <is>
          <t>9780871271808</t>
        </is>
      </c>
      <c r="BC1341" t="inlineStr">
        <is>
          <t>32285004667985</t>
        </is>
      </c>
      <c r="BD1341" t="inlineStr">
        <is>
          <t>893324761</t>
        </is>
      </c>
    </row>
    <row r="1342">
      <c r="A1342" t="inlineStr">
        <is>
          <t>No</t>
        </is>
      </c>
      <c r="B1342" t="inlineStr">
        <is>
          <t>GV1787 .R413 1965</t>
        </is>
      </c>
      <c r="C1342" t="inlineStr">
        <is>
          <t>0                      GV 1787000R  413         1965</t>
        </is>
      </c>
      <c r="D1342" t="inlineStr">
        <is>
          <t>A concise history of ballet / Ferdinando Reyna ; [translated from the French by Pat Wardroper]</t>
        </is>
      </c>
      <c r="F1342" t="inlineStr">
        <is>
          <t>No</t>
        </is>
      </c>
      <c r="G1342" t="inlineStr">
        <is>
          <t>1</t>
        </is>
      </c>
      <c r="H1342" t="inlineStr">
        <is>
          <t>No</t>
        </is>
      </c>
      <c r="I1342" t="inlineStr">
        <is>
          <t>No</t>
        </is>
      </c>
      <c r="J1342" t="inlineStr">
        <is>
          <t>0</t>
        </is>
      </c>
      <c r="K1342" t="inlineStr">
        <is>
          <t>Reyna, Ferdinando.</t>
        </is>
      </c>
      <c r="L1342" t="inlineStr">
        <is>
          <t>New York : Grosset &amp; Dunlap, [1965]</t>
        </is>
      </c>
      <c r="M1342" t="inlineStr">
        <is>
          <t>1965</t>
        </is>
      </c>
      <c r="O1342" t="inlineStr">
        <is>
          <t>eng</t>
        </is>
      </c>
      <c r="P1342" t="inlineStr">
        <is>
          <t>nyu</t>
        </is>
      </c>
      <c r="R1342" t="inlineStr">
        <is>
          <t xml:space="preserve">GV </t>
        </is>
      </c>
      <c r="S1342" t="n">
        <v>4</v>
      </c>
      <c r="T1342" t="n">
        <v>4</v>
      </c>
      <c r="U1342" t="inlineStr">
        <is>
          <t>2007-05-02</t>
        </is>
      </c>
      <c r="V1342" t="inlineStr">
        <is>
          <t>2007-05-02</t>
        </is>
      </c>
      <c r="W1342" t="inlineStr">
        <is>
          <t>2002-12-09</t>
        </is>
      </c>
      <c r="X1342" t="inlineStr">
        <is>
          <t>2002-12-09</t>
        </is>
      </c>
      <c r="Y1342" t="n">
        <v>452</v>
      </c>
      <c r="Z1342" t="n">
        <v>418</v>
      </c>
      <c r="AA1342" t="n">
        <v>443</v>
      </c>
      <c r="AB1342" t="n">
        <v>2</v>
      </c>
      <c r="AC1342" t="n">
        <v>2</v>
      </c>
      <c r="AD1342" t="n">
        <v>10</v>
      </c>
      <c r="AE1342" t="n">
        <v>10</v>
      </c>
      <c r="AF1342" t="n">
        <v>6</v>
      </c>
      <c r="AG1342" t="n">
        <v>6</v>
      </c>
      <c r="AH1342" t="n">
        <v>3</v>
      </c>
      <c r="AI1342" t="n">
        <v>3</v>
      </c>
      <c r="AJ1342" t="n">
        <v>2</v>
      </c>
      <c r="AK1342" t="n">
        <v>2</v>
      </c>
      <c r="AL1342" t="n">
        <v>1</v>
      </c>
      <c r="AM1342" t="n">
        <v>1</v>
      </c>
      <c r="AN1342" t="n">
        <v>0</v>
      </c>
      <c r="AO1342" t="n">
        <v>0</v>
      </c>
      <c r="AP1342" t="inlineStr">
        <is>
          <t>No</t>
        </is>
      </c>
      <c r="AQ1342" t="inlineStr">
        <is>
          <t>No</t>
        </is>
      </c>
      <c r="AS1342">
        <f>HYPERLINK("https://creighton-primo.hosted.exlibrisgroup.com/primo-explore/search?tab=default_tab&amp;search_scope=EVERYTHING&amp;vid=01CRU&amp;lang=en_US&amp;offset=0&amp;query=any,contains,991003957979702656","Catalog Record")</f>
        <v/>
      </c>
      <c r="AT1342">
        <f>HYPERLINK("http://www.worldcat.org/oclc/1352276","WorldCat Record")</f>
        <v/>
      </c>
      <c r="AU1342" t="inlineStr">
        <is>
          <t>2556709784:eng</t>
        </is>
      </c>
      <c r="AV1342" t="inlineStr">
        <is>
          <t>1352276</t>
        </is>
      </c>
      <c r="AW1342" t="inlineStr">
        <is>
          <t>991003957979702656</t>
        </is>
      </c>
      <c r="AX1342" t="inlineStr">
        <is>
          <t>991003957979702656</t>
        </is>
      </c>
      <c r="AY1342" t="inlineStr">
        <is>
          <t>2265671980002656</t>
        </is>
      </c>
      <c r="AZ1342" t="inlineStr">
        <is>
          <t>BOOK</t>
        </is>
      </c>
      <c r="BC1342" t="inlineStr">
        <is>
          <t>32285004669502</t>
        </is>
      </c>
      <c r="BD1342" t="inlineStr">
        <is>
          <t>893531813</t>
        </is>
      </c>
    </row>
    <row r="1343">
      <c r="A1343" t="inlineStr">
        <is>
          <t>No</t>
        </is>
      </c>
      <c r="B1343" t="inlineStr">
        <is>
          <t>GV1787 .S635 2003</t>
        </is>
      </c>
      <c r="C1343" t="inlineStr">
        <is>
          <t>0                      GV 1787000S  635         2003</t>
        </is>
      </c>
      <c r="D1343" t="inlineStr">
        <is>
          <t>Ballet for dummies / by Scott Speck and Evelyn Cisneros.</t>
        </is>
      </c>
      <c r="F1343" t="inlineStr">
        <is>
          <t>No</t>
        </is>
      </c>
      <c r="G1343" t="inlineStr">
        <is>
          <t>1</t>
        </is>
      </c>
      <c r="H1343" t="inlineStr">
        <is>
          <t>No</t>
        </is>
      </c>
      <c r="I1343" t="inlineStr">
        <is>
          <t>No</t>
        </is>
      </c>
      <c r="J1343" t="inlineStr">
        <is>
          <t>0</t>
        </is>
      </c>
      <c r="K1343" t="inlineStr">
        <is>
          <t>Speck, Scott.</t>
        </is>
      </c>
      <c r="L1343" t="inlineStr">
        <is>
          <t>Hoboken, NJ : Wiley Pub., c2003.</t>
        </is>
      </c>
      <c r="M1343" t="inlineStr">
        <is>
          <t>2003</t>
        </is>
      </c>
      <c r="O1343" t="inlineStr">
        <is>
          <t>eng</t>
        </is>
      </c>
      <c r="P1343" t="inlineStr">
        <is>
          <t>nju</t>
        </is>
      </c>
      <c r="Q1343" t="inlineStr">
        <is>
          <t>--For dummies</t>
        </is>
      </c>
      <c r="R1343" t="inlineStr">
        <is>
          <t xml:space="preserve">GV </t>
        </is>
      </c>
      <c r="S1343" t="n">
        <v>8</v>
      </c>
      <c r="T1343" t="n">
        <v>8</v>
      </c>
      <c r="U1343" t="inlineStr">
        <is>
          <t>2009-09-02</t>
        </is>
      </c>
      <c r="V1343" t="inlineStr">
        <is>
          <t>2009-09-02</t>
        </is>
      </c>
      <c r="W1343" t="inlineStr">
        <is>
          <t>2004-12-13</t>
        </is>
      </c>
      <c r="X1343" t="inlineStr">
        <is>
          <t>2004-12-13</t>
        </is>
      </c>
      <c r="Y1343" t="n">
        <v>357</v>
      </c>
      <c r="Z1343" t="n">
        <v>277</v>
      </c>
      <c r="AA1343" t="n">
        <v>379</v>
      </c>
      <c r="AB1343" t="n">
        <v>3</v>
      </c>
      <c r="AC1343" t="n">
        <v>5</v>
      </c>
      <c r="AD1343" t="n">
        <v>0</v>
      </c>
      <c r="AE1343" t="n">
        <v>1</v>
      </c>
      <c r="AF1343" t="n">
        <v>0</v>
      </c>
      <c r="AG1343" t="n">
        <v>0</v>
      </c>
      <c r="AH1343" t="n">
        <v>0</v>
      </c>
      <c r="AI1343" t="n">
        <v>0</v>
      </c>
      <c r="AJ1343" t="n">
        <v>0</v>
      </c>
      <c r="AK1343" t="n">
        <v>0</v>
      </c>
      <c r="AL1343" t="n">
        <v>0</v>
      </c>
      <c r="AM1343" t="n">
        <v>1</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HYPERLINK("https://creighton-primo.hosted.exlibrisgroup.com/primo-explore/search?tab=default_tab&amp;search_scope=EVERYTHING&amp;vid=01CRU&amp;lang=en_US&amp;offset=0&amp;query=any,contains,991004424849702656","Catalog Record")</f>
        <v/>
      </c>
      <c r="AT1343">
        <f>HYPERLINK("http://www.worldcat.org/oclc/53846272","WorldCat Record")</f>
        <v/>
      </c>
      <c r="AU1343" t="inlineStr">
        <is>
          <t>759891:eng</t>
        </is>
      </c>
      <c r="AV1343" t="inlineStr">
        <is>
          <t>53846272</t>
        </is>
      </c>
      <c r="AW1343" t="inlineStr">
        <is>
          <t>991004424849702656</t>
        </is>
      </c>
      <c r="AX1343" t="inlineStr">
        <is>
          <t>991004424849702656</t>
        </is>
      </c>
      <c r="AY1343" t="inlineStr">
        <is>
          <t>2258098730002656</t>
        </is>
      </c>
      <c r="AZ1343" t="inlineStr">
        <is>
          <t>BOOK</t>
        </is>
      </c>
      <c r="BB1343" t="inlineStr">
        <is>
          <t>9780764525681</t>
        </is>
      </c>
      <c r="BC1343" t="inlineStr">
        <is>
          <t>32285005016570</t>
        </is>
      </c>
      <c r="BD1343" t="inlineStr">
        <is>
          <t>893319209</t>
        </is>
      </c>
    </row>
    <row r="1344">
      <c r="A1344" t="inlineStr">
        <is>
          <t>No</t>
        </is>
      </c>
      <c r="B1344" t="inlineStr">
        <is>
          <t>GV1787 .S674 2007</t>
        </is>
      </c>
      <c r="C1344" t="inlineStr">
        <is>
          <t>0                      GV 1787000S  674         2007</t>
        </is>
      </c>
      <c r="D1344" t="inlineStr">
        <is>
          <t>A queer history of the ballet / Peter Stoneley.</t>
        </is>
      </c>
      <c r="F1344" t="inlineStr">
        <is>
          <t>No</t>
        </is>
      </c>
      <c r="G1344" t="inlineStr">
        <is>
          <t>1</t>
        </is>
      </c>
      <c r="H1344" t="inlineStr">
        <is>
          <t>No</t>
        </is>
      </c>
      <c r="I1344" t="inlineStr">
        <is>
          <t>No</t>
        </is>
      </c>
      <c r="J1344" t="inlineStr">
        <is>
          <t>0</t>
        </is>
      </c>
      <c r="K1344" t="inlineStr">
        <is>
          <t>Stoneley, Peter.</t>
        </is>
      </c>
      <c r="L1344" t="inlineStr">
        <is>
          <t>London ; New York : Routledge, 2007.</t>
        </is>
      </c>
      <c r="M1344" t="inlineStr">
        <is>
          <t>2007</t>
        </is>
      </c>
      <c r="O1344" t="inlineStr">
        <is>
          <t>eng</t>
        </is>
      </c>
      <c r="P1344" t="inlineStr">
        <is>
          <t>enk</t>
        </is>
      </c>
      <c r="R1344" t="inlineStr">
        <is>
          <t xml:space="preserve">GV </t>
        </is>
      </c>
      <c r="S1344" t="n">
        <v>1</v>
      </c>
      <c r="T1344" t="n">
        <v>1</v>
      </c>
      <c r="U1344" t="inlineStr">
        <is>
          <t>2009-10-14</t>
        </is>
      </c>
      <c r="V1344" t="inlineStr">
        <is>
          <t>2009-10-14</t>
        </is>
      </c>
      <c r="W1344" t="inlineStr">
        <is>
          <t>2009-10-14</t>
        </is>
      </c>
      <c r="X1344" t="inlineStr">
        <is>
          <t>2009-10-14</t>
        </is>
      </c>
      <c r="Y1344" t="n">
        <v>363</v>
      </c>
      <c r="Z1344" t="n">
        <v>282</v>
      </c>
      <c r="AA1344" t="n">
        <v>555</v>
      </c>
      <c r="AB1344" t="n">
        <v>2</v>
      </c>
      <c r="AC1344" t="n">
        <v>12</v>
      </c>
      <c r="AD1344" t="n">
        <v>10</v>
      </c>
      <c r="AE1344" t="n">
        <v>19</v>
      </c>
      <c r="AF1344" t="n">
        <v>3</v>
      </c>
      <c r="AG1344" t="n">
        <v>4</v>
      </c>
      <c r="AH1344" t="n">
        <v>5</v>
      </c>
      <c r="AI1344" t="n">
        <v>5</v>
      </c>
      <c r="AJ1344" t="n">
        <v>5</v>
      </c>
      <c r="AK1344" t="n">
        <v>5</v>
      </c>
      <c r="AL1344" t="n">
        <v>1</v>
      </c>
      <c r="AM1344" t="n">
        <v>9</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HYPERLINK("https://creighton-primo.hosted.exlibrisgroup.com/primo-explore/search?tab=default_tab&amp;search_scope=EVERYTHING&amp;vid=01CRU&amp;lang=en_US&amp;offset=0&amp;query=any,contains,991005336379702656","Catalog Record")</f>
        <v/>
      </c>
      <c r="AT1344">
        <f>HYPERLINK("http://www.worldcat.org/oclc/66527041","WorldCat Record")</f>
        <v/>
      </c>
      <c r="AU1344" t="inlineStr">
        <is>
          <t>50134922:eng</t>
        </is>
      </c>
      <c r="AV1344" t="inlineStr">
        <is>
          <t>66527041</t>
        </is>
      </c>
      <c r="AW1344" t="inlineStr">
        <is>
          <t>991005336379702656</t>
        </is>
      </c>
      <c r="AX1344" t="inlineStr">
        <is>
          <t>991005336379702656</t>
        </is>
      </c>
      <c r="AY1344" t="inlineStr">
        <is>
          <t>2269694800002656</t>
        </is>
      </c>
      <c r="AZ1344" t="inlineStr">
        <is>
          <t>BOOK</t>
        </is>
      </c>
      <c r="BB1344" t="inlineStr">
        <is>
          <t>9780415972796</t>
        </is>
      </c>
      <c r="BC1344" t="inlineStr">
        <is>
          <t>32285005547954</t>
        </is>
      </c>
      <c r="BD1344" t="inlineStr">
        <is>
          <t>893254831</t>
        </is>
      </c>
    </row>
    <row r="1345">
      <c r="A1345" t="inlineStr">
        <is>
          <t>No</t>
        </is>
      </c>
      <c r="B1345" t="inlineStr">
        <is>
          <t>GV1787 .T32</t>
        </is>
      </c>
      <c r="C1345" t="inlineStr">
        <is>
          <t>0                      GV 1787000T  32</t>
        </is>
      </c>
      <c r="D1345" t="inlineStr">
        <is>
          <t>Ballet, a new guide to the liveliest art.</t>
        </is>
      </c>
      <c r="F1345" t="inlineStr">
        <is>
          <t>No</t>
        </is>
      </c>
      <c r="G1345" t="inlineStr">
        <is>
          <t>1</t>
        </is>
      </c>
      <c r="H1345" t="inlineStr">
        <is>
          <t>No</t>
        </is>
      </c>
      <c r="I1345" t="inlineStr">
        <is>
          <t>No</t>
        </is>
      </c>
      <c r="J1345" t="inlineStr">
        <is>
          <t>0</t>
        </is>
      </c>
      <c r="K1345" t="inlineStr">
        <is>
          <t>Terry, Walter.</t>
        </is>
      </c>
      <c r="L1345" t="inlineStr">
        <is>
          <t>[New York, Dell Pub. Co., 1959]</t>
        </is>
      </c>
      <c r="M1345" t="inlineStr">
        <is>
          <t>1959</t>
        </is>
      </c>
      <c r="O1345" t="inlineStr">
        <is>
          <t>eng</t>
        </is>
      </c>
      <c r="P1345" t="inlineStr">
        <is>
          <t>nyu</t>
        </is>
      </c>
      <c r="Q1345" t="inlineStr">
        <is>
          <t>A Laurel edition, LX112</t>
        </is>
      </c>
      <c r="R1345" t="inlineStr">
        <is>
          <t xml:space="preserve">GV </t>
        </is>
      </c>
      <c r="S1345" t="n">
        <v>3</v>
      </c>
      <c r="T1345" t="n">
        <v>3</v>
      </c>
      <c r="U1345" t="inlineStr">
        <is>
          <t>2007-03-28</t>
        </is>
      </c>
      <c r="V1345" t="inlineStr">
        <is>
          <t>2007-03-28</t>
        </is>
      </c>
      <c r="W1345" t="inlineStr">
        <is>
          <t>1997-06-02</t>
        </is>
      </c>
      <c r="X1345" t="inlineStr">
        <is>
          <t>1997-06-02</t>
        </is>
      </c>
      <c r="Y1345" t="n">
        <v>79</v>
      </c>
      <c r="Z1345" t="n">
        <v>68</v>
      </c>
      <c r="AA1345" t="n">
        <v>69</v>
      </c>
      <c r="AB1345" t="n">
        <v>2</v>
      </c>
      <c r="AC1345" t="n">
        <v>2</v>
      </c>
      <c r="AD1345" t="n">
        <v>1</v>
      </c>
      <c r="AE1345" t="n">
        <v>1</v>
      </c>
      <c r="AF1345" t="n">
        <v>0</v>
      </c>
      <c r="AG1345" t="n">
        <v>0</v>
      </c>
      <c r="AH1345" t="n">
        <v>0</v>
      </c>
      <c r="AI1345" t="n">
        <v>0</v>
      </c>
      <c r="AJ1345" t="n">
        <v>0</v>
      </c>
      <c r="AK1345" t="n">
        <v>0</v>
      </c>
      <c r="AL1345" t="n">
        <v>1</v>
      </c>
      <c r="AM1345" t="n">
        <v>1</v>
      </c>
      <c r="AN1345" t="n">
        <v>0</v>
      </c>
      <c r="AO1345" t="n">
        <v>0</v>
      </c>
      <c r="AP1345" t="inlineStr">
        <is>
          <t>No</t>
        </is>
      </c>
      <c r="AQ1345" t="inlineStr">
        <is>
          <t>Yes</t>
        </is>
      </c>
      <c r="AR1345">
        <f>HYPERLINK("http://catalog.hathitrust.org/Record/100923848","HathiTrust Record")</f>
        <v/>
      </c>
      <c r="AS1345">
        <f>HYPERLINK("https://creighton-primo.hosted.exlibrisgroup.com/primo-explore/search?tab=default_tab&amp;search_scope=EVERYTHING&amp;vid=01CRU&amp;lang=en_US&amp;offset=0&amp;query=any,contains,991003716139702656","Catalog Record")</f>
        <v/>
      </c>
      <c r="AT1345">
        <f>HYPERLINK("http://www.worldcat.org/oclc/1361418","WorldCat Record")</f>
        <v/>
      </c>
      <c r="AU1345" t="inlineStr">
        <is>
          <t>2264149:eng</t>
        </is>
      </c>
      <c r="AV1345" t="inlineStr">
        <is>
          <t>1361418</t>
        </is>
      </c>
      <c r="AW1345" t="inlineStr">
        <is>
          <t>991003716139702656</t>
        </is>
      </c>
      <c r="AX1345" t="inlineStr">
        <is>
          <t>991003716139702656</t>
        </is>
      </c>
      <c r="AY1345" t="inlineStr">
        <is>
          <t>2256385970002656</t>
        </is>
      </c>
      <c r="AZ1345" t="inlineStr">
        <is>
          <t>BOOK</t>
        </is>
      </c>
      <c r="BC1345" t="inlineStr">
        <is>
          <t>32285002701331</t>
        </is>
      </c>
      <c r="BD1345" t="inlineStr">
        <is>
          <t>893887796</t>
        </is>
      </c>
    </row>
    <row r="1346">
      <c r="A1346" t="inlineStr">
        <is>
          <t>No</t>
        </is>
      </c>
      <c r="B1346" t="inlineStr">
        <is>
          <t>GV1788 .B37 2004</t>
        </is>
      </c>
      <c r="C1346" t="inlineStr">
        <is>
          <t>0                      GV 1788000B  37          2004</t>
        </is>
      </c>
      <c r="D1346" t="inlineStr">
        <is>
          <t>The pointe book : shoes, training &amp; technique / Janice Barringer, Sarah Schlesinger.</t>
        </is>
      </c>
      <c r="F1346" t="inlineStr">
        <is>
          <t>No</t>
        </is>
      </c>
      <c r="G1346" t="inlineStr">
        <is>
          <t>1</t>
        </is>
      </c>
      <c r="H1346" t="inlineStr">
        <is>
          <t>No</t>
        </is>
      </c>
      <c r="I1346" t="inlineStr">
        <is>
          <t>No</t>
        </is>
      </c>
      <c r="J1346" t="inlineStr">
        <is>
          <t>0</t>
        </is>
      </c>
      <c r="K1346" t="inlineStr">
        <is>
          <t>Barringer, Janice.</t>
        </is>
      </c>
      <c r="L1346" t="inlineStr">
        <is>
          <t>Hightstown, NJ : Princeton Book Co., 2004.</t>
        </is>
      </c>
      <c r="M1346" t="inlineStr">
        <is>
          <t>2004</t>
        </is>
      </c>
      <c r="N1346" t="inlineStr">
        <is>
          <t>2nd ed.</t>
        </is>
      </c>
      <c r="O1346" t="inlineStr">
        <is>
          <t>eng</t>
        </is>
      </c>
      <c r="P1346" t="inlineStr">
        <is>
          <t>nju</t>
        </is>
      </c>
      <c r="R1346" t="inlineStr">
        <is>
          <t xml:space="preserve">GV </t>
        </is>
      </c>
      <c r="S1346" t="n">
        <v>2</v>
      </c>
      <c r="T1346" t="n">
        <v>2</v>
      </c>
      <c r="U1346" t="inlineStr">
        <is>
          <t>2004-11-08</t>
        </is>
      </c>
      <c r="V1346" t="inlineStr">
        <is>
          <t>2004-11-08</t>
        </is>
      </c>
      <c r="W1346" t="inlineStr">
        <is>
          <t>2004-11-08</t>
        </is>
      </c>
      <c r="X1346" t="inlineStr">
        <is>
          <t>2004-11-08</t>
        </is>
      </c>
      <c r="Y1346" t="n">
        <v>359</v>
      </c>
      <c r="Z1346" t="n">
        <v>323</v>
      </c>
      <c r="AA1346" t="n">
        <v>642</v>
      </c>
      <c r="AB1346" t="n">
        <v>3</v>
      </c>
      <c r="AC1346" t="n">
        <v>4</v>
      </c>
      <c r="AD1346" t="n">
        <v>8</v>
      </c>
      <c r="AE1346" t="n">
        <v>13</v>
      </c>
      <c r="AF1346" t="n">
        <v>4</v>
      </c>
      <c r="AG1346" t="n">
        <v>6</v>
      </c>
      <c r="AH1346" t="n">
        <v>3</v>
      </c>
      <c r="AI1346" t="n">
        <v>3</v>
      </c>
      <c r="AJ1346" t="n">
        <v>2</v>
      </c>
      <c r="AK1346" t="n">
        <v>5</v>
      </c>
      <c r="AL1346" t="n">
        <v>2</v>
      </c>
      <c r="AM1346" t="n">
        <v>3</v>
      </c>
      <c r="AN1346" t="n">
        <v>0</v>
      </c>
      <c r="AO1346" t="n">
        <v>0</v>
      </c>
      <c r="AP1346" t="inlineStr">
        <is>
          <t>No</t>
        </is>
      </c>
      <c r="AQ1346" t="inlineStr">
        <is>
          <t>Yes</t>
        </is>
      </c>
      <c r="AR1346">
        <f>HYPERLINK("http://catalog.hathitrust.org/Record/007145900","HathiTrust Record")</f>
        <v/>
      </c>
      <c r="AS1346">
        <f>HYPERLINK("https://creighton-primo.hosted.exlibrisgroup.com/primo-explore/search?tab=default_tab&amp;search_scope=EVERYTHING&amp;vid=01CRU&amp;lang=en_US&amp;offset=0&amp;query=any,contains,991004396589702656","Catalog Record")</f>
        <v/>
      </c>
      <c r="AT1346">
        <f>HYPERLINK("http://www.worldcat.org/oclc/55095812","WorldCat Record")</f>
        <v/>
      </c>
      <c r="AU1346" t="inlineStr">
        <is>
          <t>14433694:eng</t>
        </is>
      </c>
      <c r="AV1346" t="inlineStr">
        <is>
          <t>55095812</t>
        </is>
      </c>
      <c r="AW1346" t="inlineStr">
        <is>
          <t>991004396589702656</t>
        </is>
      </c>
      <c r="AX1346" t="inlineStr">
        <is>
          <t>991004396589702656</t>
        </is>
      </c>
      <c r="AY1346" t="inlineStr">
        <is>
          <t>2255625120002656</t>
        </is>
      </c>
      <c r="AZ1346" t="inlineStr">
        <is>
          <t>BOOK</t>
        </is>
      </c>
      <c r="BB1346" t="inlineStr">
        <is>
          <t>9780871272614</t>
        </is>
      </c>
      <c r="BC1346" t="inlineStr">
        <is>
          <t>32285005009450</t>
        </is>
      </c>
      <c r="BD1346" t="inlineStr">
        <is>
          <t>893229313</t>
        </is>
      </c>
    </row>
    <row r="1347">
      <c r="A1347" t="inlineStr">
        <is>
          <t>No</t>
        </is>
      </c>
      <c r="B1347" t="inlineStr">
        <is>
          <t>GV1788 .C6 1964</t>
        </is>
      </c>
      <c r="C1347" t="inlineStr">
        <is>
          <t>0                      GV 1788000C  6           1964</t>
        </is>
      </c>
      <c r="D1347" t="inlineStr">
        <is>
          <t>Raoul Gelabert's Anatomy for the dancer : with exercises to improve technique and prevent injuries / as told to William Como.</t>
        </is>
      </c>
      <c r="E1347" t="inlineStr">
        <is>
          <t>V. 1</t>
        </is>
      </c>
      <c r="F1347" t="inlineStr">
        <is>
          <t>Yes</t>
        </is>
      </c>
      <c r="G1347" t="inlineStr">
        <is>
          <t>1</t>
        </is>
      </c>
      <c r="H1347" t="inlineStr">
        <is>
          <t>No</t>
        </is>
      </c>
      <c r="I1347" t="inlineStr">
        <is>
          <t>No</t>
        </is>
      </c>
      <c r="J1347" t="inlineStr">
        <is>
          <t>0</t>
        </is>
      </c>
      <c r="K1347" t="inlineStr">
        <is>
          <t>Como, William, editor.</t>
        </is>
      </c>
      <c r="L1347" t="inlineStr">
        <is>
          <t>New York : Danad Publishing Company, c1964-1966.</t>
        </is>
      </c>
      <c r="M1347" t="inlineStr">
        <is>
          <t>1964</t>
        </is>
      </c>
      <c r="O1347" t="inlineStr">
        <is>
          <t>eng</t>
        </is>
      </c>
      <c r="P1347" t="inlineStr">
        <is>
          <t>nyu</t>
        </is>
      </c>
      <c r="R1347" t="inlineStr">
        <is>
          <t xml:space="preserve">GV </t>
        </is>
      </c>
      <c r="S1347" t="n">
        <v>1</v>
      </c>
      <c r="T1347" t="n">
        <v>2</v>
      </c>
      <c r="U1347" t="inlineStr">
        <is>
          <t>2009-03-24</t>
        </is>
      </c>
      <c r="V1347" t="inlineStr">
        <is>
          <t>2009-03-24</t>
        </is>
      </c>
      <c r="W1347" t="inlineStr">
        <is>
          <t>2009-03-24</t>
        </is>
      </c>
      <c r="X1347" t="inlineStr">
        <is>
          <t>2009-03-24</t>
        </is>
      </c>
      <c r="Y1347" t="n">
        <v>202</v>
      </c>
      <c r="Z1347" t="n">
        <v>176</v>
      </c>
      <c r="AA1347" t="n">
        <v>247</v>
      </c>
      <c r="AB1347" t="n">
        <v>2</v>
      </c>
      <c r="AC1347" t="n">
        <v>2</v>
      </c>
      <c r="AD1347" t="n">
        <v>5</v>
      </c>
      <c r="AE1347" t="n">
        <v>5</v>
      </c>
      <c r="AF1347" t="n">
        <v>2</v>
      </c>
      <c r="AG1347" t="n">
        <v>2</v>
      </c>
      <c r="AH1347" t="n">
        <v>1</v>
      </c>
      <c r="AI1347" t="n">
        <v>1</v>
      </c>
      <c r="AJ1347" t="n">
        <v>1</v>
      </c>
      <c r="AK1347" t="n">
        <v>1</v>
      </c>
      <c r="AL1347" t="n">
        <v>1</v>
      </c>
      <c r="AM1347" t="n">
        <v>1</v>
      </c>
      <c r="AN1347" t="n">
        <v>0</v>
      </c>
      <c r="AO1347" t="n">
        <v>0</v>
      </c>
      <c r="AP1347" t="inlineStr">
        <is>
          <t>No</t>
        </is>
      </c>
      <c r="AQ1347" t="inlineStr">
        <is>
          <t>Yes</t>
        </is>
      </c>
      <c r="AR1347">
        <f>HYPERLINK("http://catalog.hathitrust.org/Record/001278213","HathiTrust Record")</f>
        <v/>
      </c>
      <c r="AS1347">
        <f>HYPERLINK("https://creighton-primo.hosted.exlibrisgroup.com/primo-explore/search?tab=default_tab&amp;search_scope=EVERYTHING&amp;vid=01CRU&amp;lang=en_US&amp;offset=0&amp;query=any,contains,991005300959702656","Catalog Record")</f>
        <v/>
      </c>
      <c r="AT1347">
        <f>HYPERLINK("http://www.worldcat.org/oclc/333248","WorldCat Record")</f>
        <v/>
      </c>
      <c r="AU1347" t="inlineStr">
        <is>
          <t>1441065:eng</t>
        </is>
      </c>
      <c r="AV1347" t="inlineStr">
        <is>
          <t>333248</t>
        </is>
      </c>
      <c r="AW1347" t="inlineStr">
        <is>
          <t>991005300959702656</t>
        </is>
      </c>
      <c r="AX1347" t="inlineStr">
        <is>
          <t>991005300959702656</t>
        </is>
      </c>
      <c r="AY1347" t="inlineStr">
        <is>
          <t>2257948330002656</t>
        </is>
      </c>
      <c r="AZ1347" t="inlineStr">
        <is>
          <t>BOOK</t>
        </is>
      </c>
      <c r="BC1347" t="inlineStr">
        <is>
          <t>32285005509756</t>
        </is>
      </c>
      <c r="BD1347" t="inlineStr">
        <is>
          <t>893527260</t>
        </is>
      </c>
    </row>
    <row r="1348">
      <c r="A1348" t="inlineStr">
        <is>
          <t>No</t>
        </is>
      </c>
      <c r="B1348" t="inlineStr">
        <is>
          <t>GV1788 .C6 1964</t>
        </is>
      </c>
      <c r="C1348" t="inlineStr">
        <is>
          <t>0                      GV 1788000C  6           1964</t>
        </is>
      </c>
      <c r="D1348" t="inlineStr">
        <is>
          <t>Raoul Gelabert's Anatomy for the dancer : with exercises to improve technique and prevent injuries / as told to William Como.</t>
        </is>
      </c>
      <c r="E1348" t="inlineStr">
        <is>
          <t>V. 2</t>
        </is>
      </c>
      <c r="F1348" t="inlineStr">
        <is>
          <t>Yes</t>
        </is>
      </c>
      <c r="G1348" t="inlineStr">
        <is>
          <t>1</t>
        </is>
      </c>
      <c r="H1348" t="inlineStr">
        <is>
          <t>No</t>
        </is>
      </c>
      <c r="I1348" t="inlineStr">
        <is>
          <t>No</t>
        </is>
      </c>
      <c r="J1348" t="inlineStr">
        <is>
          <t>0</t>
        </is>
      </c>
      <c r="K1348" t="inlineStr">
        <is>
          <t>Como, William, editor.</t>
        </is>
      </c>
      <c r="L1348" t="inlineStr">
        <is>
          <t>New York : Danad Publishing Company, c1964-1966.</t>
        </is>
      </c>
      <c r="M1348" t="inlineStr">
        <is>
          <t>1964</t>
        </is>
      </c>
      <c r="O1348" t="inlineStr">
        <is>
          <t>eng</t>
        </is>
      </c>
      <c r="P1348" t="inlineStr">
        <is>
          <t>nyu</t>
        </is>
      </c>
      <c r="R1348" t="inlineStr">
        <is>
          <t xml:space="preserve">GV </t>
        </is>
      </c>
      <c r="S1348" t="n">
        <v>1</v>
      </c>
      <c r="T1348" t="n">
        <v>2</v>
      </c>
      <c r="U1348" t="inlineStr">
        <is>
          <t>2009-03-24</t>
        </is>
      </c>
      <c r="V1348" t="inlineStr">
        <is>
          <t>2009-03-24</t>
        </is>
      </c>
      <c r="W1348" t="inlineStr">
        <is>
          <t>2009-03-24</t>
        </is>
      </c>
      <c r="X1348" t="inlineStr">
        <is>
          <t>2009-03-24</t>
        </is>
      </c>
      <c r="Y1348" t="n">
        <v>202</v>
      </c>
      <c r="Z1348" t="n">
        <v>176</v>
      </c>
      <c r="AA1348" t="n">
        <v>247</v>
      </c>
      <c r="AB1348" t="n">
        <v>2</v>
      </c>
      <c r="AC1348" t="n">
        <v>2</v>
      </c>
      <c r="AD1348" t="n">
        <v>5</v>
      </c>
      <c r="AE1348" t="n">
        <v>5</v>
      </c>
      <c r="AF1348" t="n">
        <v>2</v>
      </c>
      <c r="AG1348" t="n">
        <v>2</v>
      </c>
      <c r="AH1348" t="n">
        <v>1</v>
      </c>
      <c r="AI1348" t="n">
        <v>1</v>
      </c>
      <c r="AJ1348" t="n">
        <v>1</v>
      </c>
      <c r="AK1348" t="n">
        <v>1</v>
      </c>
      <c r="AL1348" t="n">
        <v>1</v>
      </c>
      <c r="AM1348" t="n">
        <v>1</v>
      </c>
      <c r="AN1348" t="n">
        <v>0</v>
      </c>
      <c r="AO1348" t="n">
        <v>0</v>
      </c>
      <c r="AP1348" t="inlineStr">
        <is>
          <t>No</t>
        </is>
      </c>
      <c r="AQ1348" t="inlineStr">
        <is>
          <t>Yes</t>
        </is>
      </c>
      <c r="AR1348">
        <f>HYPERLINK("http://catalog.hathitrust.org/Record/001278213","HathiTrust Record")</f>
        <v/>
      </c>
      <c r="AS1348">
        <f>HYPERLINK("https://creighton-primo.hosted.exlibrisgroup.com/primo-explore/search?tab=default_tab&amp;search_scope=EVERYTHING&amp;vid=01CRU&amp;lang=en_US&amp;offset=0&amp;query=any,contains,991005300959702656","Catalog Record")</f>
        <v/>
      </c>
      <c r="AT1348">
        <f>HYPERLINK("http://www.worldcat.org/oclc/333248","WorldCat Record")</f>
        <v/>
      </c>
      <c r="AU1348" t="inlineStr">
        <is>
          <t>1441065:eng</t>
        </is>
      </c>
      <c r="AV1348" t="inlineStr">
        <is>
          <t>333248</t>
        </is>
      </c>
      <c r="AW1348" t="inlineStr">
        <is>
          <t>991005300959702656</t>
        </is>
      </c>
      <c r="AX1348" t="inlineStr">
        <is>
          <t>991005300959702656</t>
        </is>
      </c>
      <c r="AY1348" t="inlineStr">
        <is>
          <t>2257948330002656</t>
        </is>
      </c>
      <c r="AZ1348" t="inlineStr">
        <is>
          <t>BOOK</t>
        </is>
      </c>
      <c r="BC1348" t="inlineStr">
        <is>
          <t>32285005509764</t>
        </is>
      </c>
      <c r="BD1348" t="inlineStr">
        <is>
          <t>893533525</t>
        </is>
      </c>
    </row>
    <row r="1349">
      <c r="A1349" t="inlineStr">
        <is>
          <t>No</t>
        </is>
      </c>
      <c r="B1349" t="inlineStr">
        <is>
          <t>GV1788 .E44 2003</t>
        </is>
      </c>
      <c r="C1349" t="inlineStr">
        <is>
          <t>0                      GV 1788000E  44          2003</t>
        </is>
      </c>
      <c r="D1349" t="inlineStr">
        <is>
          <t>The ballet book : learning and appreciating the secrets of dance / Nancy Ellison ; text by Hanna Rubin.</t>
        </is>
      </c>
      <c r="F1349" t="inlineStr">
        <is>
          <t>No</t>
        </is>
      </c>
      <c r="G1349" t="inlineStr">
        <is>
          <t>1</t>
        </is>
      </c>
      <c r="H1349" t="inlineStr">
        <is>
          <t>No</t>
        </is>
      </c>
      <c r="I1349" t="inlineStr">
        <is>
          <t>No</t>
        </is>
      </c>
      <c r="J1349" t="inlineStr">
        <is>
          <t>0</t>
        </is>
      </c>
      <c r="K1349" t="inlineStr">
        <is>
          <t>Ellison, Nancy, 1936-</t>
        </is>
      </c>
      <c r="L1349" t="inlineStr">
        <is>
          <t>New York, NY : Universe, 2003.</t>
        </is>
      </c>
      <c r="M1349" t="inlineStr">
        <is>
          <t>2003</t>
        </is>
      </c>
      <c r="O1349" t="inlineStr">
        <is>
          <t>eng</t>
        </is>
      </c>
      <c r="P1349" t="inlineStr">
        <is>
          <t>nyu</t>
        </is>
      </c>
      <c r="R1349" t="inlineStr">
        <is>
          <t xml:space="preserve">GV </t>
        </is>
      </c>
      <c r="S1349" t="n">
        <v>9</v>
      </c>
      <c r="T1349" t="n">
        <v>9</v>
      </c>
      <c r="U1349" t="inlineStr">
        <is>
          <t>2008-02-07</t>
        </is>
      </c>
      <c r="V1349" t="inlineStr">
        <is>
          <t>2008-02-07</t>
        </is>
      </c>
      <c r="W1349" t="inlineStr">
        <is>
          <t>2003-09-30</t>
        </is>
      </c>
      <c r="X1349" t="inlineStr">
        <is>
          <t>2003-09-30</t>
        </is>
      </c>
      <c r="Y1349" t="n">
        <v>236</v>
      </c>
      <c r="Z1349" t="n">
        <v>223</v>
      </c>
      <c r="AA1349" t="n">
        <v>224</v>
      </c>
      <c r="AB1349" t="n">
        <v>3</v>
      </c>
      <c r="AC1349" t="n">
        <v>3</v>
      </c>
      <c r="AD1349" t="n">
        <v>1</v>
      </c>
      <c r="AE1349" t="n">
        <v>1</v>
      </c>
      <c r="AF1349" t="n">
        <v>0</v>
      </c>
      <c r="AG1349" t="n">
        <v>0</v>
      </c>
      <c r="AH1349" t="n">
        <v>0</v>
      </c>
      <c r="AI1349" t="n">
        <v>0</v>
      </c>
      <c r="AJ1349" t="n">
        <v>0</v>
      </c>
      <c r="AK1349" t="n">
        <v>0</v>
      </c>
      <c r="AL1349" t="n">
        <v>1</v>
      </c>
      <c r="AM1349" t="n">
        <v>1</v>
      </c>
      <c r="AN1349" t="n">
        <v>0</v>
      </c>
      <c r="AO1349" t="n">
        <v>0</v>
      </c>
      <c r="AP1349" t="inlineStr">
        <is>
          <t>No</t>
        </is>
      </c>
      <c r="AQ1349" t="inlineStr">
        <is>
          <t>Yes</t>
        </is>
      </c>
      <c r="AR1349">
        <f>HYPERLINK("http://catalog.hathitrust.org/Record/007143158","HathiTrust Record")</f>
        <v/>
      </c>
      <c r="AS1349">
        <f>HYPERLINK("https://creighton-primo.hosted.exlibrisgroup.com/primo-explore/search?tab=default_tab&amp;search_scope=EVERYTHING&amp;vid=01CRU&amp;lang=en_US&amp;offset=0&amp;query=any,contains,991004144449702656","Catalog Record")</f>
        <v/>
      </c>
      <c r="AT1349">
        <f>HYPERLINK("http://www.worldcat.org/oclc/52506222","WorldCat Record")</f>
        <v/>
      </c>
      <c r="AU1349" t="inlineStr">
        <is>
          <t>198992082:eng</t>
        </is>
      </c>
      <c r="AV1349" t="inlineStr">
        <is>
          <t>52506222</t>
        </is>
      </c>
      <c r="AW1349" t="inlineStr">
        <is>
          <t>991004144449702656</t>
        </is>
      </c>
      <c r="AX1349" t="inlineStr">
        <is>
          <t>991004144449702656</t>
        </is>
      </c>
      <c r="AY1349" t="inlineStr">
        <is>
          <t>2268047650002656</t>
        </is>
      </c>
      <c r="AZ1349" t="inlineStr">
        <is>
          <t>BOOK</t>
        </is>
      </c>
      <c r="BB1349" t="inlineStr">
        <is>
          <t>9780789308658</t>
        </is>
      </c>
      <c r="BC1349" t="inlineStr">
        <is>
          <t>32285004791876</t>
        </is>
      </c>
      <c r="BD1349" t="inlineStr">
        <is>
          <t>893904725</t>
        </is>
      </c>
    </row>
    <row r="1350">
      <c r="A1350" t="inlineStr">
        <is>
          <t>No</t>
        </is>
      </c>
      <c r="B1350" t="inlineStr">
        <is>
          <t>GV1788 .F68 1997</t>
        </is>
      </c>
      <c r="C1350" t="inlineStr">
        <is>
          <t>0                      GV 1788000F  68          1997</t>
        </is>
      </c>
      <c r="D1350" t="inlineStr">
        <is>
          <t>The Foundations of classical ballet technique / [edited, introductory essays, and Benesh movement notation, Rhonda Ryman].</t>
        </is>
      </c>
      <c r="F1350" t="inlineStr">
        <is>
          <t>No</t>
        </is>
      </c>
      <c r="G1350" t="inlineStr">
        <is>
          <t>1</t>
        </is>
      </c>
      <c r="H1350" t="inlineStr">
        <is>
          <t>No</t>
        </is>
      </c>
      <c r="I1350" t="inlineStr">
        <is>
          <t>No</t>
        </is>
      </c>
      <c r="J1350" t="inlineStr">
        <is>
          <t>0</t>
        </is>
      </c>
      <c r="L1350" t="inlineStr">
        <is>
          <t>London : Royal Academy of Dancing, 1997.</t>
        </is>
      </c>
      <c r="M1350" t="inlineStr">
        <is>
          <t>1997</t>
        </is>
      </c>
      <c r="O1350" t="inlineStr">
        <is>
          <t>eng</t>
        </is>
      </c>
      <c r="P1350" t="inlineStr">
        <is>
          <t>enk</t>
        </is>
      </c>
      <c r="R1350" t="inlineStr">
        <is>
          <t xml:space="preserve">GV </t>
        </is>
      </c>
      <c r="S1350" t="n">
        <v>7</v>
      </c>
      <c r="T1350" t="n">
        <v>7</v>
      </c>
      <c r="U1350" t="inlineStr">
        <is>
          <t>2006-03-22</t>
        </is>
      </c>
      <c r="V1350" t="inlineStr">
        <is>
          <t>2006-03-22</t>
        </is>
      </c>
      <c r="W1350" t="inlineStr">
        <is>
          <t>2002-12-03</t>
        </is>
      </c>
      <c r="X1350" t="inlineStr">
        <is>
          <t>2002-12-03</t>
        </is>
      </c>
      <c r="Y1350" t="n">
        <v>24</v>
      </c>
      <c r="Z1350" t="n">
        <v>8</v>
      </c>
      <c r="AA1350" t="n">
        <v>11</v>
      </c>
      <c r="AB1350" t="n">
        <v>1</v>
      </c>
      <c r="AC1350" t="n">
        <v>1</v>
      </c>
      <c r="AD1350" t="n">
        <v>0</v>
      </c>
      <c r="AE1350" t="n">
        <v>0</v>
      </c>
      <c r="AF1350" t="n">
        <v>0</v>
      </c>
      <c r="AG1350" t="n">
        <v>0</v>
      </c>
      <c r="AH1350" t="n">
        <v>0</v>
      </c>
      <c r="AI1350" t="n">
        <v>0</v>
      </c>
      <c r="AJ1350" t="n">
        <v>0</v>
      </c>
      <c r="AK1350" t="n">
        <v>0</v>
      </c>
      <c r="AL1350" t="n">
        <v>0</v>
      </c>
      <c r="AM1350" t="n">
        <v>0</v>
      </c>
      <c r="AN1350" t="n">
        <v>0</v>
      </c>
      <c r="AO1350" t="n">
        <v>0</v>
      </c>
      <c r="AP1350" t="inlineStr">
        <is>
          <t>No</t>
        </is>
      </c>
      <c r="AQ1350" t="inlineStr">
        <is>
          <t>No</t>
        </is>
      </c>
      <c r="AS1350">
        <f>HYPERLINK("https://creighton-primo.hosted.exlibrisgroup.com/primo-explore/search?tab=default_tab&amp;search_scope=EVERYTHING&amp;vid=01CRU&amp;lang=en_US&amp;offset=0&amp;query=any,contains,991003911349702656","Catalog Record")</f>
        <v/>
      </c>
      <c r="AT1350">
        <f>HYPERLINK("http://www.worldcat.org/oclc/38874096","WorldCat Record")</f>
        <v/>
      </c>
      <c r="AU1350" t="inlineStr">
        <is>
          <t>351595531:eng</t>
        </is>
      </c>
      <c r="AV1350" t="inlineStr">
        <is>
          <t>38874096</t>
        </is>
      </c>
      <c r="AW1350" t="inlineStr">
        <is>
          <t>991003911349702656</t>
        </is>
      </c>
      <c r="AX1350" t="inlineStr">
        <is>
          <t>991003911349702656</t>
        </is>
      </c>
      <c r="AY1350" t="inlineStr">
        <is>
          <t>2258391430002656</t>
        </is>
      </c>
      <c r="AZ1350" t="inlineStr">
        <is>
          <t>BOOK</t>
        </is>
      </c>
      <c r="BB1350" t="inlineStr">
        <is>
          <t>9780952484820</t>
        </is>
      </c>
      <c r="BC1350" t="inlineStr">
        <is>
          <t>32285004666870</t>
        </is>
      </c>
      <c r="BD1350" t="inlineStr">
        <is>
          <t>893429425</t>
        </is>
      </c>
    </row>
    <row r="1351">
      <c r="A1351" t="inlineStr">
        <is>
          <t>No</t>
        </is>
      </c>
      <c r="B1351" t="inlineStr">
        <is>
          <t>GV1788 .H35 2000</t>
        </is>
      </c>
      <c r="C1351" t="inlineStr">
        <is>
          <t>0                      GV 1788000H  35          2000</t>
        </is>
      </c>
      <c r="D1351" t="inlineStr">
        <is>
          <t>Ballet basics / Sandra Noll Hammond.</t>
        </is>
      </c>
      <c r="F1351" t="inlineStr">
        <is>
          <t>No</t>
        </is>
      </c>
      <c r="G1351" t="inlineStr">
        <is>
          <t>1</t>
        </is>
      </c>
      <c r="H1351" t="inlineStr">
        <is>
          <t>No</t>
        </is>
      </c>
      <c r="I1351" t="inlineStr">
        <is>
          <t>No</t>
        </is>
      </c>
      <c r="J1351" t="inlineStr">
        <is>
          <t>0</t>
        </is>
      </c>
      <c r="K1351" t="inlineStr">
        <is>
          <t>Hammond, Sandra Noll.</t>
        </is>
      </c>
      <c r="L1351" t="inlineStr">
        <is>
          <t>Mountain View, Calif. : Mayfield Pub. Co., c2000.</t>
        </is>
      </c>
      <c r="M1351" t="inlineStr">
        <is>
          <t>2000</t>
        </is>
      </c>
      <c r="N1351" t="inlineStr">
        <is>
          <t>4th ed.</t>
        </is>
      </c>
      <c r="O1351" t="inlineStr">
        <is>
          <t>eng</t>
        </is>
      </c>
      <c r="P1351" t="inlineStr">
        <is>
          <t>cau</t>
        </is>
      </c>
      <c r="R1351" t="inlineStr">
        <is>
          <t xml:space="preserve">GV </t>
        </is>
      </c>
      <c r="S1351" t="n">
        <v>6</v>
      </c>
      <c r="T1351" t="n">
        <v>6</v>
      </c>
      <c r="U1351" t="inlineStr">
        <is>
          <t>2008-01-11</t>
        </is>
      </c>
      <c r="V1351" t="inlineStr">
        <is>
          <t>2008-01-11</t>
        </is>
      </c>
      <c r="W1351" t="inlineStr">
        <is>
          <t>2002-12-05</t>
        </is>
      </c>
      <c r="X1351" t="inlineStr">
        <is>
          <t>2002-12-05</t>
        </is>
      </c>
      <c r="Y1351" t="n">
        <v>117</v>
      </c>
      <c r="Z1351" t="n">
        <v>104</v>
      </c>
      <c r="AA1351" t="n">
        <v>850</v>
      </c>
      <c r="AB1351" t="n">
        <v>2</v>
      </c>
      <c r="AC1351" t="n">
        <v>8</v>
      </c>
      <c r="AD1351" t="n">
        <v>0</v>
      </c>
      <c r="AE1351" t="n">
        <v>18</v>
      </c>
      <c r="AF1351" t="n">
        <v>0</v>
      </c>
      <c r="AG1351" t="n">
        <v>6</v>
      </c>
      <c r="AH1351" t="n">
        <v>0</v>
      </c>
      <c r="AI1351" t="n">
        <v>3</v>
      </c>
      <c r="AJ1351" t="n">
        <v>0</v>
      </c>
      <c r="AK1351" t="n">
        <v>8</v>
      </c>
      <c r="AL1351" t="n">
        <v>0</v>
      </c>
      <c r="AM1351" t="n">
        <v>4</v>
      </c>
      <c r="AN1351" t="n">
        <v>0</v>
      </c>
      <c r="AO1351" t="n">
        <v>0</v>
      </c>
      <c r="AP1351" t="inlineStr">
        <is>
          <t>No</t>
        </is>
      </c>
      <c r="AQ1351" t="inlineStr">
        <is>
          <t>Yes</t>
        </is>
      </c>
      <c r="AR1351">
        <f>HYPERLINK("http://catalog.hathitrust.org/Record/004048119","HathiTrust Record")</f>
        <v/>
      </c>
      <c r="AS1351">
        <f>HYPERLINK("https://creighton-primo.hosted.exlibrisgroup.com/primo-explore/search?tab=default_tab&amp;search_scope=EVERYTHING&amp;vid=01CRU&amp;lang=en_US&amp;offset=0&amp;query=any,contains,991003956629702656","Catalog Record")</f>
        <v/>
      </c>
      <c r="AT1351">
        <f>HYPERLINK("http://www.worldcat.org/oclc/41211621","WorldCat Record")</f>
        <v/>
      </c>
      <c r="AU1351" t="inlineStr">
        <is>
          <t>654088:eng</t>
        </is>
      </c>
      <c r="AV1351" t="inlineStr">
        <is>
          <t>41211621</t>
        </is>
      </c>
      <c r="AW1351" t="inlineStr">
        <is>
          <t>991003956629702656</t>
        </is>
      </c>
      <c r="AX1351" t="inlineStr">
        <is>
          <t>991003956629702656</t>
        </is>
      </c>
      <c r="AY1351" t="inlineStr">
        <is>
          <t>2259947700002656</t>
        </is>
      </c>
      <c r="AZ1351" t="inlineStr">
        <is>
          <t>BOOK</t>
        </is>
      </c>
      <c r="BB1351" t="inlineStr">
        <is>
          <t>9780767412025</t>
        </is>
      </c>
      <c r="BC1351" t="inlineStr">
        <is>
          <t>32285004668108</t>
        </is>
      </c>
      <c r="BD1351" t="inlineStr">
        <is>
          <t>893353130</t>
        </is>
      </c>
    </row>
    <row r="1352">
      <c r="A1352" t="inlineStr">
        <is>
          <t>No</t>
        </is>
      </c>
      <c r="B1352" t="inlineStr">
        <is>
          <t>GV1788 .L356 1980</t>
        </is>
      </c>
      <c r="C1352" t="inlineStr">
        <is>
          <t>0                      GV 1788000L  356         1980</t>
        </is>
      </c>
      <c r="D1352" t="inlineStr">
        <is>
          <t>The principles of classical dance / Joan Lawson with photos. of Anthony Dowell by Anthony Crickmay.</t>
        </is>
      </c>
      <c r="F1352" t="inlineStr">
        <is>
          <t>No</t>
        </is>
      </c>
      <c r="G1352" t="inlineStr">
        <is>
          <t>1</t>
        </is>
      </c>
      <c r="H1352" t="inlineStr">
        <is>
          <t>No</t>
        </is>
      </c>
      <c r="I1352" t="inlineStr">
        <is>
          <t>No</t>
        </is>
      </c>
      <c r="J1352" t="inlineStr">
        <is>
          <t>0</t>
        </is>
      </c>
      <c r="K1352" t="inlineStr">
        <is>
          <t>Lawson, Joan.</t>
        </is>
      </c>
      <c r="L1352" t="inlineStr">
        <is>
          <t>New York : Knopf : distributed by Random House, 1980, c1979.</t>
        </is>
      </c>
      <c r="M1352" t="inlineStr">
        <is>
          <t>1980</t>
        </is>
      </c>
      <c r="N1352" t="inlineStr">
        <is>
          <t>1st American ed.</t>
        </is>
      </c>
      <c r="O1352" t="inlineStr">
        <is>
          <t>eng</t>
        </is>
      </c>
      <c r="P1352" t="inlineStr">
        <is>
          <t>nyu</t>
        </is>
      </c>
      <c r="R1352" t="inlineStr">
        <is>
          <t xml:space="preserve">GV </t>
        </is>
      </c>
      <c r="S1352" t="n">
        <v>8</v>
      </c>
      <c r="T1352" t="n">
        <v>8</v>
      </c>
      <c r="U1352" t="inlineStr">
        <is>
          <t>2003-02-28</t>
        </is>
      </c>
      <c r="V1352" t="inlineStr">
        <is>
          <t>2003-02-28</t>
        </is>
      </c>
      <c r="W1352" t="inlineStr">
        <is>
          <t>1990-11-07</t>
        </is>
      </c>
      <c r="X1352" t="inlineStr">
        <is>
          <t>1990-11-07</t>
        </is>
      </c>
      <c r="Y1352" t="n">
        <v>368</v>
      </c>
      <c r="Z1352" t="n">
        <v>340</v>
      </c>
      <c r="AA1352" t="n">
        <v>367</v>
      </c>
      <c r="AB1352" t="n">
        <v>3</v>
      </c>
      <c r="AC1352" t="n">
        <v>3</v>
      </c>
      <c r="AD1352" t="n">
        <v>9</v>
      </c>
      <c r="AE1352" t="n">
        <v>9</v>
      </c>
      <c r="AF1352" t="n">
        <v>5</v>
      </c>
      <c r="AG1352" t="n">
        <v>5</v>
      </c>
      <c r="AH1352" t="n">
        <v>2</v>
      </c>
      <c r="AI1352" t="n">
        <v>2</v>
      </c>
      <c r="AJ1352" t="n">
        <v>3</v>
      </c>
      <c r="AK1352" t="n">
        <v>3</v>
      </c>
      <c r="AL1352" t="n">
        <v>2</v>
      </c>
      <c r="AM1352" t="n">
        <v>2</v>
      </c>
      <c r="AN1352" t="n">
        <v>0</v>
      </c>
      <c r="AO1352" t="n">
        <v>0</v>
      </c>
      <c r="AP1352" t="inlineStr">
        <is>
          <t>No</t>
        </is>
      </c>
      <c r="AQ1352" t="inlineStr">
        <is>
          <t>No</t>
        </is>
      </c>
      <c r="AS1352">
        <f>HYPERLINK("https://creighton-primo.hosted.exlibrisgroup.com/primo-explore/search?tab=default_tab&amp;search_scope=EVERYTHING&amp;vid=01CRU&amp;lang=en_US&amp;offset=0&amp;query=any,contains,991004925129702656","Catalog Record")</f>
        <v/>
      </c>
      <c r="AT1352">
        <f>HYPERLINK("http://www.worldcat.org/oclc/6085503","WorldCat Record")</f>
        <v/>
      </c>
      <c r="AU1352" t="inlineStr">
        <is>
          <t>19020181:eng</t>
        </is>
      </c>
      <c r="AV1352" t="inlineStr">
        <is>
          <t>6085503</t>
        </is>
      </c>
      <c r="AW1352" t="inlineStr">
        <is>
          <t>991004925129702656</t>
        </is>
      </c>
      <c r="AX1352" t="inlineStr">
        <is>
          <t>991004925129702656</t>
        </is>
      </c>
      <c r="AY1352" t="inlineStr">
        <is>
          <t>2260978650002656</t>
        </is>
      </c>
      <c r="AZ1352" t="inlineStr">
        <is>
          <t>BOOK</t>
        </is>
      </c>
      <c r="BB1352" t="inlineStr">
        <is>
          <t>9780394510613</t>
        </is>
      </c>
      <c r="BC1352" t="inlineStr">
        <is>
          <t>32285000385657</t>
        </is>
      </c>
      <c r="BD1352" t="inlineStr">
        <is>
          <t>893236061</t>
        </is>
      </c>
    </row>
    <row r="1353">
      <c r="A1353" t="inlineStr">
        <is>
          <t>No</t>
        </is>
      </c>
      <c r="B1353" t="inlineStr">
        <is>
          <t>GV1788 .L66 1986</t>
        </is>
      </c>
      <c r="C1353" t="inlineStr">
        <is>
          <t>0                      GV 1788000L  66          1986</t>
        </is>
      </c>
      <c r="D1353" t="inlineStr">
        <is>
          <t>Character dance / Andrei Lopoukov, Alexander Shirayev, and Alexander Bocharov ; translated by Joan Lawson.</t>
        </is>
      </c>
      <c r="F1353" t="inlineStr">
        <is>
          <t>No</t>
        </is>
      </c>
      <c r="G1353" t="inlineStr">
        <is>
          <t>1</t>
        </is>
      </c>
      <c r="H1353" t="inlineStr">
        <is>
          <t>No</t>
        </is>
      </c>
      <c r="I1353" t="inlineStr">
        <is>
          <t>No</t>
        </is>
      </c>
      <c r="J1353" t="inlineStr">
        <is>
          <t>0</t>
        </is>
      </c>
      <c r="K1353" t="inlineStr">
        <is>
          <t>Lopoukov, Andrei.</t>
        </is>
      </c>
      <c r="L1353" t="inlineStr">
        <is>
          <t>London : Dance Books ; Princeton, N.J. : Distributed in the USA by Princeton Book, 1986.</t>
        </is>
      </c>
      <c r="M1353" t="inlineStr">
        <is>
          <t>1986</t>
        </is>
      </c>
      <c r="O1353" t="inlineStr">
        <is>
          <t>eng</t>
        </is>
      </c>
      <c r="P1353" t="inlineStr">
        <is>
          <t>enk</t>
        </is>
      </c>
      <c r="R1353" t="inlineStr">
        <is>
          <t xml:space="preserve">GV </t>
        </is>
      </c>
      <c r="S1353" t="n">
        <v>4</v>
      </c>
      <c r="T1353" t="n">
        <v>4</v>
      </c>
      <c r="U1353" t="inlineStr">
        <is>
          <t>2000-10-12</t>
        </is>
      </c>
      <c r="V1353" t="inlineStr">
        <is>
          <t>2000-10-12</t>
        </is>
      </c>
      <c r="W1353" t="inlineStr">
        <is>
          <t>1990-04-30</t>
        </is>
      </c>
      <c r="X1353" t="inlineStr">
        <is>
          <t>1990-04-30</t>
        </is>
      </c>
      <c r="Y1353" t="n">
        <v>213</v>
      </c>
      <c r="Z1353" t="n">
        <v>173</v>
      </c>
      <c r="AA1353" t="n">
        <v>179</v>
      </c>
      <c r="AB1353" t="n">
        <v>2</v>
      </c>
      <c r="AC1353" t="n">
        <v>2</v>
      </c>
      <c r="AD1353" t="n">
        <v>3</v>
      </c>
      <c r="AE1353" t="n">
        <v>3</v>
      </c>
      <c r="AF1353" t="n">
        <v>1</v>
      </c>
      <c r="AG1353" t="n">
        <v>1</v>
      </c>
      <c r="AH1353" t="n">
        <v>0</v>
      </c>
      <c r="AI1353" t="n">
        <v>0</v>
      </c>
      <c r="AJ1353" t="n">
        <v>1</v>
      </c>
      <c r="AK1353" t="n">
        <v>1</v>
      </c>
      <c r="AL1353" t="n">
        <v>1</v>
      </c>
      <c r="AM1353" t="n">
        <v>1</v>
      </c>
      <c r="AN1353" t="n">
        <v>0</v>
      </c>
      <c r="AO1353" t="n">
        <v>0</v>
      </c>
      <c r="AP1353" t="inlineStr">
        <is>
          <t>No</t>
        </is>
      </c>
      <c r="AQ1353" t="inlineStr">
        <is>
          <t>Yes</t>
        </is>
      </c>
      <c r="AR1353">
        <f>HYPERLINK("http://catalog.hathitrust.org/Record/000555318","HathiTrust Record")</f>
        <v/>
      </c>
      <c r="AS1353">
        <f>HYPERLINK("https://creighton-primo.hosted.exlibrisgroup.com/primo-explore/search?tab=default_tab&amp;search_scope=EVERYTHING&amp;vid=01CRU&amp;lang=en_US&amp;offset=0&amp;query=any,contains,991001114699702656","Catalog Record")</f>
        <v/>
      </c>
      <c r="AT1353">
        <f>HYPERLINK("http://www.worldcat.org/oclc/16524599","WorldCat Record")</f>
        <v/>
      </c>
      <c r="AU1353" t="inlineStr">
        <is>
          <t>3372413928:eng</t>
        </is>
      </c>
      <c r="AV1353" t="inlineStr">
        <is>
          <t>16524599</t>
        </is>
      </c>
      <c r="AW1353" t="inlineStr">
        <is>
          <t>991001114699702656</t>
        </is>
      </c>
      <c r="AX1353" t="inlineStr">
        <is>
          <t>991001114699702656</t>
        </is>
      </c>
      <c r="AY1353" t="inlineStr">
        <is>
          <t>2259331990002656</t>
        </is>
      </c>
      <c r="AZ1353" t="inlineStr">
        <is>
          <t>BOOK</t>
        </is>
      </c>
      <c r="BB1353" t="inlineStr">
        <is>
          <t>9780903102902</t>
        </is>
      </c>
      <c r="BC1353" t="inlineStr">
        <is>
          <t>32285000128990</t>
        </is>
      </c>
      <c r="BD1353" t="inlineStr">
        <is>
          <t>893803357</t>
        </is>
      </c>
    </row>
    <row r="1354">
      <c r="A1354" t="inlineStr">
        <is>
          <t>No</t>
        </is>
      </c>
      <c r="B1354" t="inlineStr">
        <is>
          <t>GV1788 .M25 1980</t>
        </is>
      </c>
      <c r="C1354" t="inlineStr">
        <is>
          <t>0                      GV 1788000M  25          1980</t>
        </is>
      </c>
      <c r="D1354" t="inlineStr">
        <is>
          <t>Basic ballet / Joyce Mackie.</t>
        </is>
      </c>
      <c r="F1354" t="inlineStr">
        <is>
          <t>No</t>
        </is>
      </c>
      <c r="G1354" t="inlineStr">
        <is>
          <t>1</t>
        </is>
      </c>
      <c r="H1354" t="inlineStr">
        <is>
          <t>No</t>
        </is>
      </c>
      <c r="I1354" t="inlineStr">
        <is>
          <t>No</t>
        </is>
      </c>
      <c r="J1354" t="inlineStr">
        <is>
          <t>0</t>
        </is>
      </c>
      <c r="K1354" t="inlineStr">
        <is>
          <t>Mackie, Joyce.</t>
        </is>
      </c>
      <c r="L1354" t="inlineStr">
        <is>
          <t>New York : Penguin Books, 1980, c1978.</t>
        </is>
      </c>
      <c r="M1354" t="inlineStr">
        <is>
          <t>1980</t>
        </is>
      </c>
      <c r="O1354" t="inlineStr">
        <is>
          <t>eng</t>
        </is>
      </c>
      <c r="P1354" t="inlineStr">
        <is>
          <t>nyu</t>
        </is>
      </c>
      <c r="R1354" t="inlineStr">
        <is>
          <t xml:space="preserve">GV </t>
        </is>
      </c>
      <c r="S1354" t="n">
        <v>5</v>
      </c>
      <c r="T1354" t="n">
        <v>5</v>
      </c>
      <c r="U1354" t="inlineStr">
        <is>
          <t>2009-05-04</t>
        </is>
      </c>
      <c r="V1354" t="inlineStr">
        <is>
          <t>2009-05-04</t>
        </is>
      </c>
      <c r="W1354" t="inlineStr">
        <is>
          <t>2004-12-06</t>
        </is>
      </c>
      <c r="X1354" t="inlineStr">
        <is>
          <t>2004-12-06</t>
        </is>
      </c>
      <c r="Y1354" t="n">
        <v>244</v>
      </c>
      <c r="Z1354" t="n">
        <v>231</v>
      </c>
      <c r="AA1354" t="n">
        <v>239</v>
      </c>
      <c r="AB1354" t="n">
        <v>1</v>
      </c>
      <c r="AC1354" t="n">
        <v>1</v>
      </c>
      <c r="AD1354" t="n">
        <v>0</v>
      </c>
      <c r="AE1354" t="n">
        <v>0</v>
      </c>
      <c r="AF1354" t="n">
        <v>0</v>
      </c>
      <c r="AG1354" t="n">
        <v>0</v>
      </c>
      <c r="AH1354" t="n">
        <v>0</v>
      </c>
      <c r="AI1354" t="n">
        <v>0</v>
      </c>
      <c r="AJ1354" t="n">
        <v>0</v>
      </c>
      <c r="AK1354" t="n">
        <v>0</v>
      </c>
      <c r="AL1354" t="n">
        <v>0</v>
      </c>
      <c r="AM1354" t="n">
        <v>0</v>
      </c>
      <c r="AN1354" t="n">
        <v>0</v>
      </c>
      <c r="AO1354" t="n">
        <v>0</v>
      </c>
      <c r="AP1354" t="inlineStr">
        <is>
          <t>No</t>
        </is>
      </c>
      <c r="AQ1354" t="inlineStr">
        <is>
          <t>Yes</t>
        </is>
      </c>
      <c r="AR1354">
        <f>HYPERLINK("http://catalog.hathitrust.org/Record/007116070","HathiTrust Record")</f>
        <v/>
      </c>
      <c r="AS1354">
        <f>HYPERLINK("https://creighton-primo.hosted.exlibrisgroup.com/primo-explore/search?tab=default_tab&amp;search_scope=EVERYTHING&amp;vid=01CRU&amp;lang=en_US&amp;offset=0&amp;query=any,contains,991004424759702656","Catalog Record")</f>
        <v/>
      </c>
      <c r="AT1354">
        <f>HYPERLINK("http://www.worldcat.org/oclc/5831462","WorldCat Record")</f>
        <v/>
      </c>
      <c r="AU1354" t="inlineStr">
        <is>
          <t>12354773:eng</t>
        </is>
      </c>
      <c r="AV1354" t="inlineStr">
        <is>
          <t>5831462</t>
        </is>
      </c>
      <c r="AW1354" t="inlineStr">
        <is>
          <t>991004424759702656</t>
        </is>
      </c>
      <c r="AX1354" t="inlineStr">
        <is>
          <t>991004424759702656</t>
        </is>
      </c>
      <c r="AY1354" t="inlineStr">
        <is>
          <t>2263245430002656</t>
        </is>
      </c>
      <c r="AZ1354" t="inlineStr">
        <is>
          <t>BOOK</t>
        </is>
      </c>
      <c r="BB1354" t="inlineStr">
        <is>
          <t>9780140464450</t>
        </is>
      </c>
      <c r="BC1354" t="inlineStr">
        <is>
          <t>32285005014385</t>
        </is>
      </c>
      <c r="BD1354" t="inlineStr">
        <is>
          <t>893807053</t>
        </is>
      </c>
    </row>
    <row r="1355">
      <c r="A1355" t="inlineStr">
        <is>
          <t>No</t>
        </is>
      </c>
      <c r="B1355" t="inlineStr">
        <is>
          <t>GV1788 .M67 1999</t>
        </is>
      </c>
      <c r="C1355" t="inlineStr">
        <is>
          <t>0                      GV 1788000M  67          1999</t>
        </is>
      </c>
      <c r="D1355" t="inlineStr">
        <is>
          <t>The Joffrey Ballet School's ballet-fit / Dena Simone Moss, Allison Kyle Leopold ; with photographs by Steve Ladner.</t>
        </is>
      </c>
      <c r="F1355" t="inlineStr">
        <is>
          <t>No</t>
        </is>
      </c>
      <c r="G1355" t="inlineStr">
        <is>
          <t>1</t>
        </is>
      </c>
      <c r="H1355" t="inlineStr">
        <is>
          <t>No</t>
        </is>
      </c>
      <c r="I1355" t="inlineStr">
        <is>
          <t>No</t>
        </is>
      </c>
      <c r="J1355" t="inlineStr">
        <is>
          <t>0</t>
        </is>
      </c>
      <c r="K1355" t="inlineStr">
        <is>
          <t>Moss, Dena.</t>
        </is>
      </c>
      <c r="L1355" t="inlineStr">
        <is>
          <t>New York : St. Martin's Griffin, 1999.</t>
        </is>
      </c>
      <c r="M1355" t="inlineStr">
        <is>
          <t>1999</t>
        </is>
      </c>
      <c r="N1355" t="inlineStr">
        <is>
          <t>1st St. Martin's Griffin ed.</t>
        </is>
      </c>
      <c r="O1355" t="inlineStr">
        <is>
          <t>eng</t>
        </is>
      </c>
      <c r="P1355" t="inlineStr">
        <is>
          <t>nyu</t>
        </is>
      </c>
      <c r="R1355" t="inlineStr">
        <is>
          <t xml:space="preserve">GV </t>
        </is>
      </c>
      <c r="S1355" t="n">
        <v>3</v>
      </c>
      <c r="T1355" t="n">
        <v>3</v>
      </c>
      <c r="U1355" t="inlineStr">
        <is>
          <t>2006-12-06</t>
        </is>
      </c>
      <c r="V1355" t="inlineStr">
        <is>
          <t>2006-12-06</t>
        </is>
      </c>
      <c r="W1355" t="inlineStr">
        <is>
          <t>2004-11-29</t>
        </is>
      </c>
      <c r="X1355" t="inlineStr">
        <is>
          <t>2004-11-29</t>
        </is>
      </c>
      <c r="Y1355" t="n">
        <v>346</v>
      </c>
      <c r="Z1355" t="n">
        <v>321</v>
      </c>
      <c r="AA1355" t="n">
        <v>334</v>
      </c>
      <c r="AB1355" t="n">
        <v>2</v>
      </c>
      <c r="AC1355" t="n">
        <v>2</v>
      </c>
      <c r="AD1355" t="n">
        <v>3</v>
      </c>
      <c r="AE1355" t="n">
        <v>3</v>
      </c>
      <c r="AF1355" t="n">
        <v>1</v>
      </c>
      <c r="AG1355" t="n">
        <v>1</v>
      </c>
      <c r="AH1355" t="n">
        <v>0</v>
      </c>
      <c r="AI1355" t="n">
        <v>0</v>
      </c>
      <c r="AJ1355" t="n">
        <v>2</v>
      </c>
      <c r="AK1355" t="n">
        <v>2</v>
      </c>
      <c r="AL1355" t="n">
        <v>0</v>
      </c>
      <c r="AM1355" t="n">
        <v>0</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HYPERLINK("https://creighton-primo.hosted.exlibrisgroup.com/primo-explore/search?tab=default_tab&amp;search_scope=EVERYTHING&amp;vid=01CRU&amp;lang=en_US&amp;offset=0&amp;query=any,contains,991004424729702656","Catalog Record")</f>
        <v/>
      </c>
      <c r="AT1355">
        <f>HYPERLINK("http://www.worldcat.org/oclc/39007242","WorldCat Record")</f>
        <v/>
      </c>
      <c r="AU1355" t="inlineStr">
        <is>
          <t>41538407:eng</t>
        </is>
      </c>
      <c r="AV1355" t="inlineStr">
        <is>
          <t>39007242</t>
        </is>
      </c>
      <c r="AW1355" t="inlineStr">
        <is>
          <t>991004424729702656</t>
        </is>
      </c>
      <c r="AX1355" t="inlineStr">
        <is>
          <t>991004424729702656</t>
        </is>
      </c>
      <c r="AY1355" t="inlineStr">
        <is>
          <t>2267914300002656</t>
        </is>
      </c>
      <c r="AZ1355" t="inlineStr">
        <is>
          <t>BOOK</t>
        </is>
      </c>
      <c r="BB1355" t="inlineStr">
        <is>
          <t>9780312194703</t>
        </is>
      </c>
      <c r="BC1355" t="inlineStr">
        <is>
          <t>32285005013023</t>
        </is>
      </c>
      <c r="BD1355" t="inlineStr">
        <is>
          <t>893519638</t>
        </is>
      </c>
    </row>
    <row r="1356">
      <c r="A1356" t="inlineStr">
        <is>
          <t>No</t>
        </is>
      </c>
      <c r="B1356" t="inlineStr">
        <is>
          <t>GV1788 .R6 1981</t>
        </is>
      </c>
      <c r="C1356" t="inlineStr">
        <is>
          <t>0                      GV 1788000R  6           1981</t>
        </is>
      </c>
      <c r="D1356" t="inlineStr">
        <is>
          <t>Classical dance : the balletgoer's guide to technique and performance / Jane Robbins.</t>
        </is>
      </c>
      <c r="F1356" t="inlineStr">
        <is>
          <t>No</t>
        </is>
      </c>
      <c r="G1356" t="inlineStr">
        <is>
          <t>1</t>
        </is>
      </c>
      <c r="H1356" t="inlineStr">
        <is>
          <t>No</t>
        </is>
      </c>
      <c r="I1356" t="inlineStr">
        <is>
          <t>No</t>
        </is>
      </c>
      <c r="J1356" t="inlineStr">
        <is>
          <t>0</t>
        </is>
      </c>
      <c r="K1356" t="inlineStr">
        <is>
          <t>Robbins, Jane E. (Jane Elizabeth), 1948-</t>
        </is>
      </c>
      <c r="L1356" t="inlineStr">
        <is>
          <t>New York : Holt, Rinehart, and Winston, c1981.</t>
        </is>
      </c>
      <c r="M1356" t="inlineStr">
        <is>
          <t>1981</t>
        </is>
      </c>
      <c r="N1356" t="inlineStr">
        <is>
          <t>1st ed.</t>
        </is>
      </c>
      <c r="O1356" t="inlineStr">
        <is>
          <t>eng</t>
        </is>
      </c>
      <c r="P1356" t="inlineStr">
        <is>
          <t>nyu</t>
        </is>
      </c>
      <c r="R1356" t="inlineStr">
        <is>
          <t xml:space="preserve">GV </t>
        </is>
      </c>
      <c r="S1356" t="n">
        <v>2</v>
      </c>
      <c r="T1356" t="n">
        <v>2</v>
      </c>
      <c r="U1356" t="inlineStr">
        <is>
          <t>2007-02-27</t>
        </is>
      </c>
      <c r="V1356" t="inlineStr">
        <is>
          <t>2007-02-27</t>
        </is>
      </c>
      <c r="W1356" t="inlineStr">
        <is>
          <t>2002-12-09</t>
        </is>
      </c>
      <c r="X1356" t="inlineStr">
        <is>
          <t>2002-12-09</t>
        </is>
      </c>
      <c r="Y1356" t="n">
        <v>511</v>
      </c>
      <c r="Z1356" t="n">
        <v>484</v>
      </c>
      <c r="AA1356" t="n">
        <v>492</v>
      </c>
      <c r="AB1356" t="n">
        <v>4</v>
      </c>
      <c r="AC1356" t="n">
        <v>4</v>
      </c>
      <c r="AD1356" t="n">
        <v>8</v>
      </c>
      <c r="AE1356" t="n">
        <v>8</v>
      </c>
      <c r="AF1356" t="n">
        <v>4</v>
      </c>
      <c r="AG1356" t="n">
        <v>4</v>
      </c>
      <c r="AH1356" t="n">
        <v>1</v>
      </c>
      <c r="AI1356" t="n">
        <v>1</v>
      </c>
      <c r="AJ1356" t="n">
        <v>5</v>
      </c>
      <c r="AK1356" t="n">
        <v>5</v>
      </c>
      <c r="AL1356" t="n">
        <v>2</v>
      </c>
      <c r="AM1356" t="n">
        <v>2</v>
      </c>
      <c r="AN1356" t="n">
        <v>0</v>
      </c>
      <c r="AO1356" t="n">
        <v>0</v>
      </c>
      <c r="AP1356" t="inlineStr">
        <is>
          <t>No</t>
        </is>
      </c>
      <c r="AQ1356" t="inlineStr">
        <is>
          <t>Yes</t>
        </is>
      </c>
      <c r="AR1356">
        <f>HYPERLINK("http://catalog.hathitrust.org/Record/007116764","HathiTrust Record")</f>
        <v/>
      </c>
      <c r="AS1356">
        <f>HYPERLINK("https://creighton-primo.hosted.exlibrisgroup.com/primo-explore/search?tab=default_tab&amp;search_scope=EVERYTHING&amp;vid=01CRU&amp;lang=en_US&amp;offset=0&amp;query=any,contains,991003957769702656","Catalog Record")</f>
        <v/>
      </c>
      <c r="AT1356">
        <f>HYPERLINK("http://www.worldcat.org/oclc/6863091","WorldCat Record")</f>
        <v/>
      </c>
      <c r="AU1356" t="inlineStr">
        <is>
          <t>23947175:eng</t>
        </is>
      </c>
      <c r="AV1356" t="inlineStr">
        <is>
          <t>6863091</t>
        </is>
      </c>
      <c r="AW1356" t="inlineStr">
        <is>
          <t>991003957769702656</t>
        </is>
      </c>
      <c r="AX1356" t="inlineStr">
        <is>
          <t>991003957769702656</t>
        </is>
      </c>
      <c r="AY1356" t="inlineStr">
        <is>
          <t>2271826180002656</t>
        </is>
      </c>
      <c r="AZ1356" t="inlineStr">
        <is>
          <t>BOOK</t>
        </is>
      </c>
      <c r="BB1356" t="inlineStr">
        <is>
          <t>9780030489419</t>
        </is>
      </c>
      <c r="BC1356" t="inlineStr">
        <is>
          <t>32285004669296</t>
        </is>
      </c>
      <c r="BD1356" t="inlineStr">
        <is>
          <t>893410938</t>
        </is>
      </c>
    </row>
    <row r="1357">
      <c r="A1357" t="inlineStr">
        <is>
          <t>No</t>
        </is>
      </c>
      <c r="B1357" t="inlineStr">
        <is>
          <t>GV1788 .S288 1999</t>
        </is>
      </c>
      <c r="C1357" t="inlineStr">
        <is>
          <t>0                      GV 1788000S  288         1999</t>
        </is>
      </c>
      <c r="D1357" t="inlineStr">
        <is>
          <t>Suki Schorer on Balanchine technique / with Russell Lee ; photographs by Carol Rosegg.</t>
        </is>
      </c>
      <c r="F1357" t="inlineStr">
        <is>
          <t>No</t>
        </is>
      </c>
      <c r="G1357" t="inlineStr">
        <is>
          <t>1</t>
        </is>
      </c>
      <c r="H1357" t="inlineStr">
        <is>
          <t>No</t>
        </is>
      </c>
      <c r="I1357" t="inlineStr">
        <is>
          <t>No</t>
        </is>
      </c>
      <c r="J1357" t="inlineStr">
        <is>
          <t>0</t>
        </is>
      </c>
      <c r="K1357" t="inlineStr">
        <is>
          <t>Schorer, Suki.</t>
        </is>
      </c>
      <c r="L1357" t="inlineStr">
        <is>
          <t>New York : A.A. Knopf : Distributed by Random House, c1999</t>
        </is>
      </c>
      <c r="M1357" t="inlineStr">
        <is>
          <t>1999</t>
        </is>
      </c>
      <c r="O1357" t="inlineStr">
        <is>
          <t>eng</t>
        </is>
      </c>
      <c r="P1357" t="inlineStr">
        <is>
          <t>nyu</t>
        </is>
      </c>
      <c r="R1357" t="inlineStr">
        <is>
          <t xml:space="preserve">GV </t>
        </is>
      </c>
      <c r="S1357" t="n">
        <v>2</v>
      </c>
      <c r="T1357" t="n">
        <v>2</v>
      </c>
      <c r="U1357" t="inlineStr">
        <is>
          <t>2005-02-10</t>
        </is>
      </c>
      <c r="V1357" t="inlineStr">
        <is>
          <t>2005-02-10</t>
        </is>
      </c>
      <c r="W1357" t="inlineStr">
        <is>
          <t>2005-02-10</t>
        </is>
      </c>
      <c r="X1357" t="inlineStr">
        <is>
          <t>2005-02-10</t>
        </is>
      </c>
      <c r="Y1357" t="n">
        <v>399</v>
      </c>
      <c r="Z1357" t="n">
        <v>363</v>
      </c>
      <c r="AA1357" t="n">
        <v>422</v>
      </c>
      <c r="AB1357" t="n">
        <v>4</v>
      </c>
      <c r="AC1357" t="n">
        <v>4</v>
      </c>
      <c r="AD1357" t="n">
        <v>10</v>
      </c>
      <c r="AE1357" t="n">
        <v>14</v>
      </c>
      <c r="AF1357" t="n">
        <v>4</v>
      </c>
      <c r="AG1357" t="n">
        <v>5</v>
      </c>
      <c r="AH1357" t="n">
        <v>3</v>
      </c>
      <c r="AI1357" t="n">
        <v>4</v>
      </c>
      <c r="AJ1357" t="n">
        <v>4</v>
      </c>
      <c r="AK1357" t="n">
        <v>6</v>
      </c>
      <c r="AL1357" t="n">
        <v>2</v>
      </c>
      <c r="AM1357" t="n">
        <v>2</v>
      </c>
      <c r="AN1357" t="n">
        <v>0</v>
      </c>
      <c r="AO1357" t="n">
        <v>0</v>
      </c>
      <c r="AP1357" t="inlineStr">
        <is>
          <t>No</t>
        </is>
      </c>
      <c r="AQ1357" t="inlineStr">
        <is>
          <t>Yes</t>
        </is>
      </c>
      <c r="AR1357">
        <f>HYPERLINK("http://catalog.hathitrust.org/Record/004056247","HathiTrust Record")</f>
        <v/>
      </c>
      <c r="AS1357">
        <f>HYPERLINK("https://creighton-primo.hosted.exlibrisgroup.com/primo-explore/search?tab=default_tab&amp;search_scope=EVERYTHING&amp;vid=01CRU&amp;lang=en_US&amp;offset=0&amp;query=any,contains,991004424889702656","Catalog Record")</f>
        <v/>
      </c>
      <c r="AT1357">
        <f>HYPERLINK("http://www.worldcat.org/oclc/38595493","WorldCat Record")</f>
        <v/>
      </c>
      <c r="AU1357" t="inlineStr">
        <is>
          <t>27604828:eng</t>
        </is>
      </c>
      <c r="AV1357" t="inlineStr">
        <is>
          <t>38595493</t>
        </is>
      </c>
      <c r="AW1357" t="inlineStr">
        <is>
          <t>991004424889702656</t>
        </is>
      </c>
      <c r="AX1357" t="inlineStr">
        <is>
          <t>991004424889702656</t>
        </is>
      </c>
      <c r="AY1357" t="inlineStr">
        <is>
          <t>2255581770002656</t>
        </is>
      </c>
      <c r="AZ1357" t="inlineStr">
        <is>
          <t>BOOK</t>
        </is>
      </c>
      <c r="BB1357" t="inlineStr">
        <is>
          <t>9780679450603</t>
        </is>
      </c>
      <c r="BC1357" t="inlineStr">
        <is>
          <t>32285005025993</t>
        </is>
      </c>
      <c r="BD1357" t="inlineStr">
        <is>
          <t>893712568</t>
        </is>
      </c>
    </row>
    <row r="1358">
      <c r="A1358" t="inlineStr">
        <is>
          <t>No</t>
        </is>
      </c>
      <c r="B1358" t="inlineStr">
        <is>
          <t>GV1788 .S38 1984</t>
        </is>
      </c>
      <c r="C1358" t="inlineStr">
        <is>
          <t>0                      GV 1788000S  38          1984</t>
        </is>
      </c>
      <c r="D1358" t="inlineStr">
        <is>
          <t>The art of pas de deux / by Nicolai Serrebrenikov ; translated from the Russian and with additional technical material by Joan Lawson.</t>
        </is>
      </c>
      <c r="F1358" t="inlineStr">
        <is>
          <t>No</t>
        </is>
      </c>
      <c r="G1358" t="inlineStr">
        <is>
          <t>1</t>
        </is>
      </c>
      <c r="H1358" t="inlineStr">
        <is>
          <t>No</t>
        </is>
      </c>
      <c r="I1358" t="inlineStr">
        <is>
          <t>No</t>
        </is>
      </c>
      <c r="J1358" t="inlineStr">
        <is>
          <t>0</t>
        </is>
      </c>
      <c r="K1358" t="inlineStr">
        <is>
          <t>Serebrennikov, Nikolaĭ Nikolaevich.</t>
        </is>
      </c>
      <c r="L1358" t="inlineStr">
        <is>
          <t>London : Dance Books, 1984, c1978.</t>
        </is>
      </c>
      <c r="M1358" t="inlineStr">
        <is>
          <t>1984</t>
        </is>
      </c>
      <c r="O1358" t="inlineStr">
        <is>
          <t>eng</t>
        </is>
      </c>
      <c r="P1358" t="inlineStr">
        <is>
          <t>enk</t>
        </is>
      </c>
      <c r="R1358" t="inlineStr">
        <is>
          <t xml:space="preserve">GV </t>
        </is>
      </c>
      <c r="S1358" t="n">
        <v>7</v>
      </c>
      <c r="T1358" t="n">
        <v>7</v>
      </c>
      <c r="U1358" t="inlineStr">
        <is>
          <t>1995-04-25</t>
        </is>
      </c>
      <c r="V1358" t="inlineStr">
        <is>
          <t>1995-04-25</t>
        </is>
      </c>
      <c r="W1358" t="inlineStr">
        <is>
          <t>1990-11-07</t>
        </is>
      </c>
      <c r="X1358" t="inlineStr">
        <is>
          <t>1990-11-07</t>
        </is>
      </c>
      <c r="Y1358" t="n">
        <v>116</v>
      </c>
      <c r="Z1358" t="n">
        <v>85</v>
      </c>
      <c r="AA1358" t="n">
        <v>214</v>
      </c>
      <c r="AB1358" t="n">
        <v>1</v>
      </c>
      <c r="AC1358" t="n">
        <v>1</v>
      </c>
      <c r="AD1358" t="n">
        <v>3</v>
      </c>
      <c r="AE1358" t="n">
        <v>5</v>
      </c>
      <c r="AF1358" t="n">
        <v>2</v>
      </c>
      <c r="AG1358" t="n">
        <v>3</v>
      </c>
      <c r="AH1358" t="n">
        <v>1</v>
      </c>
      <c r="AI1358" t="n">
        <v>1</v>
      </c>
      <c r="AJ1358" t="n">
        <v>1</v>
      </c>
      <c r="AK1358" t="n">
        <v>3</v>
      </c>
      <c r="AL1358" t="n">
        <v>0</v>
      </c>
      <c r="AM1358" t="n">
        <v>0</v>
      </c>
      <c r="AN1358" t="n">
        <v>0</v>
      </c>
      <c r="AO1358" t="n">
        <v>0</v>
      </c>
      <c r="AP1358" t="inlineStr">
        <is>
          <t>No</t>
        </is>
      </c>
      <c r="AQ1358" t="inlineStr">
        <is>
          <t>Yes</t>
        </is>
      </c>
      <c r="AR1358">
        <f>HYPERLINK("http://catalog.hathitrust.org/Record/102610609","HathiTrust Record")</f>
        <v/>
      </c>
      <c r="AS1358">
        <f>HYPERLINK("https://creighton-primo.hosted.exlibrisgroup.com/primo-explore/search?tab=default_tab&amp;search_scope=EVERYTHING&amp;vid=01CRU&amp;lang=en_US&amp;offset=0&amp;query=any,contains,991004891239702656","Catalog Record")</f>
        <v/>
      </c>
      <c r="AT1358">
        <f>HYPERLINK("http://www.worldcat.org/oclc/5874665","WorldCat Record")</f>
        <v/>
      </c>
      <c r="AU1358" t="inlineStr">
        <is>
          <t>474918449:eng</t>
        </is>
      </c>
      <c r="AV1358" t="inlineStr">
        <is>
          <t>5874665</t>
        </is>
      </c>
      <c r="AW1358" t="inlineStr">
        <is>
          <t>991004891239702656</t>
        </is>
      </c>
      <c r="AX1358" t="inlineStr">
        <is>
          <t>991004891239702656</t>
        </is>
      </c>
      <c r="AY1358" t="inlineStr">
        <is>
          <t>2266569520002656</t>
        </is>
      </c>
      <c r="AZ1358" t="inlineStr">
        <is>
          <t>BOOK</t>
        </is>
      </c>
      <c r="BB1358" t="inlineStr">
        <is>
          <t>9780903102469</t>
        </is>
      </c>
      <c r="BC1358" t="inlineStr">
        <is>
          <t>32285000385673</t>
        </is>
      </c>
      <c r="BD1358" t="inlineStr">
        <is>
          <t>893418114</t>
        </is>
      </c>
    </row>
    <row r="1359">
      <c r="A1359" t="inlineStr">
        <is>
          <t>No</t>
        </is>
      </c>
      <c r="B1359" t="inlineStr">
        <is>
          <t>GV1788 .S49 1986</t>
        </is>
      </c>
      <c r="C1359" t="inlineStr">
        <is>
          <t>0                      GV 1788000S  49          1986</t>
        </is>
      </c>
      <c r="D1359" t="inlineStr">
        <is>
          <t>A ballerina prepares : classical ballet variations for the female dancer / as taught by Ludmilla Shollar and Anatole Vilzak ; notated by Laurencia Klaja ; [drawings by Selene Fung].</t>
        </is>
      </c>
      <c r="F1359" t="inlineStr">
        <is>
          <t>No</t>
        </is>
      </c>
      <c r="G1359" t="inlineStr">
        <is>
          <t>1</t>
        </is>
      </c>
      <c r="H1359" t="inlineStr">
        <is>
          <t>No</t>
        </is>
      </c>
      <c r="I1359" t="inlineStr">
        <is>
          <t>No</t>
        </is>
      </c>
      <c r="J1359" t="inlineStr">
        <is>
          <t>0</t>
        </is>
      </c>
      <c r="K1359" t="inlineStr">
        <is>
          <t>Shollar, Ludmilla, 1888-1978.</t>
        </is>
      </c>
      <c r="L1359" t="inlineStr">
        <is>
          <t>Princeton, N.J. : Princeton Book Co., 1986, c1982.</t>
        </is>
      </c>
      <c r="M1359" t="inlineStr">
        <is>
          <t>1986</t>
        </is>
      </c>
      <c r="O1359" t="inlineStr">
        <is>
          <t>eng</t>
        </is>
      </c>
      <c r="P1359" t="inlineStr">
        <is>
          <t>nju</t>
        </is>
      </c>
      <c r="R1359" t="inlineStr">
        <is>
          <t xml:space="preserve">GV </t>
        </is>
      </c>
      <c r="S1359" t="n">
        <v>9</v>
      </c>
      <c r="T1359" t="n">
        <v>9</v>
      </c>
      <c r="U1359" t="inlineStr">
        <is>
          <t>1993-10-28</t>
        </is>
      </c>
      <c r="V1359" t="inlineStr">
        <is>
          <t>1993-10-28</t>
        </is>
      </c>
      <c r="W1359" t="inlineStr">
        <is>
          <t>1990-08-03</t>
        </is>
      </c>
      <c r="X1359" t="inlineStr">
        <is>
          <t>1990-08-03</t>
        </is>
      </c>
      <c r="Y1359" t="n">
        <v>33</v>
      </c>
      <c r="Z1359" t="n">
        <v>33</v>
      </c>
      <c r="AA1359" t="n">
        <v>212</v>
      </c>
      <c r="AB1359" t="n">
        <v>1</v>
      </c>
      <c r="AC1359" t="n">
        <v>3</v>
      </c>
      <c r="AD1359" t="n">
        <v>0</v>
      </c>
      <c r="AE1359" t="n">
        <v>2</v>
      </c>
      <c r="AF1359" t="n">
        <v>0</v>
      </c>
      <c r="AG1359" t="n">
        <v>0</v>
      </c>
      <c r="AH1359" t="n">
        <v>0</v>
      </c>
      <c r="AI1359" t="n">
        <v>0</v>
      </c>
      <c r="AJ1359" t="n">
        <v>0</v>
      </c>
      <c r="AK1359" t="n">
        <v>0</v>
      </c>
      <c r="AL1359" t="n">
        <v>0</v>
      </c>
      <c r="AM1359" t="n">
        <v>2</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HYPERLINK("https://creighton-primo.hosted.exlibrisgroup.com/primo-explore/search?tab=default_tab&amp;search_scope=EVERYTHING&amp;vid=01CRU&amp;lang=en_US&amp;offset=0&amp;query=any,contains,991000971319702656","Catalog Record")</f>
        <v/>
      </c>
      <c r="AT1359">
        <f>HYPERLINK("http://www.worldcat.org/oclc/14963303","WorldCat Record")</f>
        <v/>
      </c>
      <c r="AU1359" t="inlineStr">
        <is>
          <t>8445709:eng</t>
        </is>
      </c>
      <c r="AV1359" t="inlineStr">
        <is>
          <t>14963303</t>
        </is>
      </c>
      <c r="AW1359" t="inlineStr">
        <is>
          <t>991000971319702656</t>
        </is>
      </c>
      <c r="AX1359" t="inlineStr">
        <is>
          <t>991000971319702656</t>
        </is>
      </c>
      <c r="AY1359" t="inlineStr">
        <is>
          <t>2265300860002656</t>
        </is>
      </c>
      <c r="AZ1359" t="inlineStr">
        <is>
          <t>BOOK</t>
        </is>
      </c>
      <c r="BB1359" t="inlineStr">
        <is>
          <t>9780916622497</t>
        </is>
      </c>
      <c r="BC1359" t="inlineStr">
        <is>
          <t>32285000266410</t>
        </is>
      </c>
      <c r="BD1359" t="inlineStr">
        <is>
          <t>893243764</t>
        </is>
      </c>
    </row>
    <row r="1360">
      <c r="A1360" t="inlineStr">
        <is>
          <t>No</t>
        </is>
      </c>
      <c r="B1360" t="inlineStr">
        <is>
          <t>GV1788 .S74 1998</t>
        </is>
      </c>
      <c r="C1360" t="inlineStr">
        <is>
          <t>0                      GV 1788000S  74          1998</t>
        </is>
      </c>
      <c r="D1360" t="inlineStr">
        <is>
          <t>Step-by-step ballet class : an illustrated guide to the official ballet syllabus / Royal Academy of Dancing ; illustrations, Biz Hull ; editor, Janet Struthers.</t>
        </is>
      </c>
      <c r="F1360" t="inlineStr">
        <is>
          <t>No</t>
        </is>
      </c>
      <c r="G1360" t="inlineStr">
        <is>
          <t>1</t>
        </is>
      </c>
      <c r="H1360" t="inlineStr">
        <is>
          <t>No</t>
        </is>
      </c>
      <c r="I1360" t="inlineStr">
        <is>
          <t>No</t>
        </is>
      </c>
      <c r="J1360" t="inlineStr">
        <is>
          <t>0</t>
        </is>
      </c>
      <c r="L1360" t="inlineStr">
        <is>
          <t>London : Ebury, 1998, c1993.</t>
        </is>
      </c>
      <c r="M1360" t="inlineStr">
        <is>
          <t>1998</t>
        </is>
      </c>
      <c r="N1360" t="inlineStr">
        <is>
          <t>Paperback ed.</t>
        </is>
      </c>
      <c r="O1360" t="inlineStr">
        <is>
          <t>eng</t>
        </is>
      </c>
      <c r="P1360" t="inlineStr">
        <is>
          <t>enk</t>
        </is>
      </c>
      <c r="R1360" t="inlineStr">
        <is>
          <t xml:space="preserve">GV </t>
        </is>
      </c>
      <c r="S1360" t="n">
        <v>7</v>
      </c>
      <c r="T1360" t="n">
        <v>7</v>
      </c>
      <c r="U1360" t="inlineStr">
        <is>
          <t>2006-12-06</t>
        </is>
      </c>
      <c r="V1360" t="inlineStr">
        <is>
          <t>2006-12-06</t>
        </is>
      </c>
      <c r="W1360" t="inlineStr">
        <is>
          <t>2004-03-04</t>
        </is>
      </c>
      <c r="X1360" t="inlineStr">
        <is>
          <t>2004-03-04</t>
        </is>
      </c>
      <c r="Y1360" t="n">
        <v>71</v>
      </c>
      <c r="Z1360" t="n">
        <v>64</v>
      </c>
      <c r="AA1360" t="n">
        <v>479</v>
      </c>
      <c r="AB1360" t="n">
        <v>1</v>
      </c>
      <c r="AC1360" t="n">
        <v>5</v>
      </c>
      <c r="AD1360" t="n">
        <v>0</v>
      </c>
      <c r="AE1360" t="n">
        <v>2</v>
      </c>
      <c r="AF1360" t="n">
        <v>0</v>
      </c>
      <c r="AG1360" t="n">
        <v>0</v>
      </c>
      <c r="AH1360" t="n">
        <v>0</v>
      </c>
      <c r="AI1360" t="n">
        <v>0</v>
      </c>
      <c r="AJ1360" t="n">
        <v>0</v>
      </c>
      <c r="AK1360" t="n">
        <v>1</v>
      </c>
      <c r="AL1360" t="n">
        <v>0</v>
      </c>
      <c r="AM1360" t="n">
        <v>1</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HYPERLINK("https://creighton-primo.hosted.exlibrisgroup.com/primo-explore/search?tab=default_tab&amp;search_scope=EVERYTHING&amp;vid=01CRU&amp;lang=en_US&amp;offset=0&amp;query=any,contains,991004224489702656","Catalog Record")</f>
        <v/>
      </c>
      <c r="AT1360">
        <f>HYPERLINK("http://www.worldcat.org/oclc/41122881","WorldCat Record")</f>
        <v/>
      </c>
      <c r="AU1360" t="inlineStr">
        <is>
          <t>836896339:eng</t>
        </is>
      </c>
      <c r="AV1360" t="inlineStr">
        <is>
          <t>41122881</t>
        </is>
      </c>
      <c r="AW1360" t="inlineStr">
        <is>
          <t>991004224489702656</t>
        </is>
      </c>
      <c r="AX1360" t="inlineStr">
        <is>
          <t>991004224489702656</t>
        </is>
      </c>
      <c r="AY1360" t="inlineStr">
        <is>
          <t>2255607700002656</t>
        </is>
      </c>
      <c r="AZ1360" t="inlineStr">
        <is>
          <t>BOOK</t>
        </is>
      </c>
      <c r="BB1360" t="inlineStr">
        <is>
          <t>9780091865313</t>
        </is>
      </c>
      <c r="BC1360" t="inlineStr">
        <is>
          <t>32285004892260</t>
        </is>
      </c>
      <c r="BD1360" t="inlineStr">
        <is>
          <t>893247312</t>
        </is>
      </c>
    </row>
    <row r="1361">
      <c r="A1361" t="inlineStr">
        <is>
          <t>No</t>
        </is>
      </c>
      <c r="B1361" t="inlineStr">
        <is>
          <t>GV1788 .S8 1975</t>
        </is>
      </c>
      <c r="C1361" t="inlineStr">
        <is>
          <t>0                      GV 1788000S  8           1975</t>
        </is>
      </c>
      <c r="D1361" t="inlineStr">
        <is>
          <t>The classic ballet, basic technique and terminology / Historical development by Lincoln Kirstein, descriptive text by Muriel Stuart, illus. by Carlus Dyer. With a pref. by George Balanchine.</t>
        </is>
      </c>
      <c r="F1361" t="inlineStr">
        <is>
          <t>No</t>
        </is>
      </c>
      <c r="G1361" t="inlineStr">
        <is>
          <t>1</t>
        </is>
      </c>
      <c r="H1361" t="inlineStr">
        <is>
          <t>No</t>
        </is>
      </c>
      <c r="I1361" t="inlineStr">
        <is>
          <t>No</t>
        </is>
      </c>
      <c r="J1361" t="inlineStr">
        <is>
          <t>0</t>
        </is>
      </c>
      <c r="K1361" t="inlineStr">
        <is>
          <t>Stuart, Muriel, 1912-</t>
        </is>
      </c>
      <c r="L1361" t="inlineStr">
        <is>
          <t>New York : Knopf, c1952, 1975 printing.</t>
        </is>
      </c>
      <c r="M1361" t="inlineStr">
        <is>
          <t>1952</t>
        </is>
      </c>
      <c r="N1361" t="inlineStr">
        <is>
          <t>[1st ed.]</t>
        </is>
      </c>
      <c r="O1361" t="inlineStr">
        <is>
          <t>eng</t>
        </is>
      </c>
      <c r="P1361" t="inlineStr">
        <is>
          <t>nyu</t>
        </is>
      </c>
      <c r="R1361" t="inlineStr">
        <is>
          <t xml:space="preserve">GV </t>
        </is>
      </c>
      <c r="S1361" t="n">
        <v>11</v>
      </c>
      <c r="T1361" t="n">
        <v>11</v>
      </c>
      <c r="U1361" t="inlineStr">
        <is>
          <t>2005-06-28</t>
        </is>
      </c>
      <c r="V1361" t="inlineStr">
        <is>
          <t>2005-06-28</t>
        </is>
      </c>
      <c r="W1361" t="inlineStr">
        <is>
          <t>1993-06-09</t>
        </is>
      </c>
      <c r="X1361" t="inlineStr">
        <is>
          <t>1993-06-09</t>
        </is>
      </c>
      <c r="Y1361" t="n">
        <v>622</v>
      </c>
      <c r="Z1361" t="n">
        <v>580</v>
      </c>
      <c r="AA1361" t="n">
        <v>1223</v>
      </c>
      <c r="AB1361" t="n">
        <v>4</v>
      </c>
      <c r="AC1361" t="n">
        <v>6</v>
      </c>
      <c r="AD1361" t="n">
        <v>15</v>
      </c>
      <c r="AE1361" t="n">
        <v>20</v>
      </c>
      <c r="AF1361" t="n">
        <v>8</v>
      </c>
      <c r="AG1361" t="n">
        <v>10</v>
      </c>
      <c r="AH1361" t="n">
        <v>2</v>
      </c>
      <c r="AI1361" t="n">
        <v>3</v>
      </c>
      <c r="AJ1361" t="n">
        <v>8</v>
      </c>
      <c r="AK1361" t="n">
        <v>11</v>
      </c>
      <c r="AL1361" t="n">
        <v>2</v>
      </c>
      <c r="AM1361" t="n">
        <v>3</v>
      </c>
      <c r="AN1361" t="n">
        <v>0</v>
      </c>
      <c r="AO1361" t="n">
        <v>0</v>
      </c>
      <c r="AP1361" t="inlineStr">
        <is>
          <t>No</t>
        </is>
      </c>
      <c r="AQ1361" t="inlineStr">
        <is>
          <t>No</t>
        </is>
      </c>
      <c r="AR1361">
        <f>HYPERLINK("http://catalog.hathitrust.org/Record/001278219","HathiTrust Record")</f>
        <v/>
      </c>
      <c r="AS1361">
        <f>HYPERLINK("https://creighton-primo.hosted.exlibrisgroup.com/primo-explore/search?tab=default_tab&amp;search_scope=EVERYTHING&amp;vid=01CRU&amp;lang=en_US&amp;offset=0&amp;query=any,contains,991002857709702656","Catalog Record")</f>
        <v/>
      </c>
      <c r="AT1361">
        <f>HYPERLINK("http://www.worldcat.org/oclc/6169880","WorldCat Record")</f>
        <v/>
      </c>
      <c r="AU1361" t="inlineStr">
        <is>
          <t>267935276:eng</t>
        </is>
      </c>
      <c r="AV1361" t="inlineStr">
        <is>
          <t>6169880</t>
        </is>
      </c>
      <c r="AW1361" t="inlineStr">
        <is>
          <t>991002857709702656</t>
        </is>
      </c>
      <c r="AX1361" t="inlineStr">
        <is>
          <t>991002857709702656</t>
        </is>
      </c>
      <c r="AY1361" t="inlineStr">
        <is>
          <t>2259399250002656</t>
        </is>
      </c>
      <c r="AZ1361" t="inlineStr">
        <is>
          <t>BOOK</t>
        </is>
      </c>
      <c r="BC1361" t="inlineStr">
        <is>
          <t>32285001719987</t>
        </is>
      </c>
      <c r="BD1361" t="inlineStr">
        <is>
          <t>893774116</t>
        </is>
      </c>
    </row>
    <row r="1362">
      <c r="A1362" t="inlineStr">
        <is>
          <t>No</t>
        </is>
      </c>
      <c r="B1362" t="inlineStr">
        <is>
          <t>GV1788 .V27 1969</t>
        </is>
      </c>
      <c r="C1362" t="inlineStr">
        <is>
          <t>0                      GV 1788000V  27          1969</t>
        </is>
      </c>
      <c r="D1362" t="inlineStr">
        <is>
          <t>Basic principles of classical ballet : Russian ballet technique / by Agrippina Vaganova. Translated from the Russian by Anatole Chujoy. Incorporating all the material from the 4th Russian ed. Including Vaganova's Sample lesson with musical accompaniment, translated by John Barker.</t>
        </is>
      </c>
      <c r="F1362" t="inlineStr">
        <is>
          <t>No</t>
        </is>
      </c>
      <c r="G1362" t="inlineStr">
        <is>
          <t>1</t>
        </is>
      </c>
      <c r="H1362" t="inlineStr">
        <is>
          <t>No</t>
        </is>
      </c>
      <c r="I1362" t="inlineStr">
        <is>
          <t>No</t>
        </is>
      </c>
      <c r="J1362" t="inlineStr">
        <is>
          <t>0</t>
        </is>
      </c>
      <c r="K1362" t="inlineStr">
        <is>
          <t>Vaganova, A. I͡A. (Agrippina I͡Akovlevna), 1879-1951.</t>
        </is>
      </c>
      <c r="L1362" t="inlineStr">
        <is>
          <t>New York : Dover Publications, [1969]</t>
        </is>
      </c>
      <c r="M1362" t="inlineStr">
        <is>
          <t>1969</t>
        </is>
      </c>
      <c r="O1362" t="inlineStr">
        <is>
          <t>eng</t>
        </is>
      </c>
      <c r="P1362" t="inlineStr">
        <is>
          <t>nyu</t>
        </is>
      </c>
      <c r="R1362" t="inlineStr">
        <is>
          <t xml:space="preserve">GV </t>
        </is>
      </c>
      <c r="S1362" t="n">
        <v>2</v>
      </c>
      <c r="T1362" t="n">
        <v>2</v>
      </c>
      <c r="U1362" t="inlineStr">
        <is>
          <t>2004-12-06</t>
        </is>
      </c>
      <c r="V1362" t="inlineStr">
        <is>
          <t>2004-12-06</t>
        </is>
      </c>
      <c r="W1362" t="inlineStr">
        <is>
          <t>2004-12-06</t>
        </is>
      </c>
      <c r="X1362" t="inlineStr">
        <is>
          <t>2004-12-06</t>
        </is>
      </c>
      <c r="Y1362" t="n">
        <v>682</v>
      </c>
      <c r="Z1362" t="n">
        <v>601</v>
      </c>
      <c r="AA1362" t="n">
        <v>701</v>
      </c>
      <c r="AB1362" t="n">
        <v>4</v>
      </c>
      <c r="AC1362" t="n">
        <v>4</v>
      </c>
      <c r="AD1362" t="n">
        <v>18</v>
      </c>
      <c r="AE1362" t="n">
        <v>18</v>
      </c>
      <c r="AF1362" t="n">
        <v>8</v>
      </c>
      <c r="AG1362" t="n">
        <v>8</v>
      </c>
      <c r="AH1362" t="n">
        <v>3</v>
      </c>
      <c r="AI1362" t="n">
        <v>3</v>
      </c>
      <c r="AJ1362" t="n">
        <v>10</v>
      </c>
      <c r="AK1362" t="n">
        <v>10</v>
      </c>
      <c r="AL1362" t="n">
        <v>3</v>
      </c>
      <c r="AM1362" t="n">
        <v>3</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HYPERLINK("https://creighton-primo.hosted.exlibrisgroup.com/primo-explore/search?tab=default_tab&amp;search_scope=EVERYTHING&amp;vid=01CRU&amp;lang=en_US&amp;offset=0&amp;query=any,contains,991004424789702656","Catalog Record")</f>
        <v/>
      </c>
      <c r="AT1362">
        <f>HYPERLINK("http://www.worldcat.org/oclc/21383","WorldCat Record")</f>
        <v/>
      </c>
      <c r="AU1362" t="inlineStr">
        <is>
          <t>3855414231:eng</t>
        </is>
      </c>
      <c r="AV1362" t="inlineStr">
        <is>
          <t>21383</t>
        </is>
      </c>
      <c r="AW1362" t="inlineStr">
        <is>
          <t>991004424789702656</t>
        </is>
      </c>
      <c r="AX1362" t="inlineStr">
        <is>
          <t>991004424789702656</t>
        </is>
      </c>
      <c r="AY1362" t="inlineStr">
        <is>
          <t>2261566570002656</t>
        </is>
      </c>
      <c r="AZ1362" t="inlineStr">
        <is>
          <t>BOOK</t>
        </is>
      </c>
      <c r="BB1362" t="inlineStr">
        <is>
          <t>9780486220369</t>
        </is>
      </c>
      <c r="BC1362" t="inlineStr">
        <is>
          <t>32285005015036</t>
        </is>
      </c>
      <c r="BD1362" t="inlineStr">
        <is>
          <t>893229351</t>
        </is>
      </c>
    </row>
    <row r="1363">
      <c r="A1363" t="inlineStr">
        <is>
          <t>No</t>
        </is>
      </c>
      <c r="B1363" t="inlineStr">
        <is>
          <t>GV1788 .W44 1982</t>
        </is>
      </c>
      <c r="C1363" t="inlineStr">
        <is>
          <t>0                      GV 1788000W  44          1982</t>
        </is>
      </c>
      <c r="D1363" t="inlineStr">
        <is>
          <t>Leigh Welles' Ballet body book : exercises to reshape your body--and free your spirit / by Leigh Welles ; edited by Jessica Deutsch.</t>
        </is>
      </c>
      <c r="F1363" t="inlineStr">
        <is>
          <t>No</t>
        </is>
      </c>
      <c r="G1363" t="inlineStr">
        <is>
          <t>1</t>
        </is>
      </c>
      <c r="H1363" t="inlineStr">
        <is>
          <t>No</t>
        </is>
      </c>
      <c r="I1363" t="inlineStr">
        <is>
          <t>No</t>
        </is>
      </c>
      <c r="J1363" t="inlineStr">
        <is>
          <t>0</t>
        </is>
      </c>
      <c r="K1363" t="inlineStr">
        <is>
          <t>Welles, Leigh.</t>
        </is>
      </c>
      <c r="L1363" t="inlineStr">
        <is>
          <t>Indianapolis : Bobbs-Merrill, c1982.</t>
        </is>
      </c>
      <c r="M1363" t="inlineStr">
        <is>
          <t>1982</t>
        </is>
      </c>
      <c r="O1363" t="inlineStr">
        <is>
          <t>eng</t>
        </is>
      </c>
      <c r="P1363" t="inlineStr">
        <is>
          <t>inu</t>
        </is>
      </c>
      <c r="R1363" t="inlineStr">
        <is>
          <t xml:space="preserve">GV </t>
        </is>
      </c>
      <c r="S1363" t="n">
        <v>1</v>
      </c>
      <c r="T1363" t="n">
        <v>1</v>
      </c>
      <c r="U1363" t="inlineStr">
        <is>
          <t>2009-03-16</t>
        </is>
      </c>
      <c r="V1363" t="inlineStr">
        <is>
          <t>2009-03-16</t>
        </is>
      </c>
      <c r="W1363" t="inlineStr">
        <is>
          <t>2009-03-16</t>
        </is>
      </c>
      <c r="X1363" t="inlineStr">
        <is>
          <t>2009-03-16</t>
        </is>
      </c>
      <c r="Y1363" t="n">
        <v>95</v>
      </c>
      <c r="Z1363" t="n">
        <v>92</v>
      </c>
      <c r="AA1363" t="n">
        <v>97</v>
      </c>
      <c r="AB1363" t="n">
        <v>1</v>
      </c>
      <c r="AC1363" t="n">
        <v>1</v>
      </c>
      <c r="AD1363" t="n">
        <v>0</v>
      </c>
      <c r="AE1363" t="n">
        <v>0</v>
      </c>
      <c r="AF1363" t="n">
        <v>0</v>
      </c>
      <c r="AG1363" t="n">
        <v>0</v>
      </c>
      <c r="AH1363" t="n">
        <v>0</v>
      </c>
      <c r="AI1363" t="n">
        <v>0</v>
      </c>
      <c r="AJ1363" t="n">
        <v>0</v>
      </c>
      <c r="AK1363" t="n">
        <v>0</v>
      </c>
      <c r="AL1363" t="n">
        <v>0</v>
      </c>
      <c r="AM1363" t="n">
        <v>0</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HYPERLINK("https://creighton-primo.hosted.exlibrisgroup.com/primo-explore/search?tab=default_tab&amp;search_scope=EVERYTHING&amp;vid=01CRU&amp;lang=en_US&amp;offset=0&amp;query=any,contains,991005302649702656","Catalog Record")</f>
        <v/>
      </c>
      <c r="AT1363">
        <f>HYPERLINK("http://www.worldcat.org/oclc/8283667","WorldCat Record")</f>
        <v/>
      </c>
      <c r="AU1363" t="inlineStr">
        <is>
          <t>5145548881:eng</t>
        </is>
      </c>
      <c r="AV1363" t="inlineStr">
        <is>
          <t>8283667</t>
        </is>
      </c>
      <c r="AW1363" t="inlineStr">
        <is>
          <t>991005302649702656</t>
        </is>
      </c>
      <c r="AX1363" t="inlineStr">
        <is>
          <t>991005302649702656</t>
        </is>
      </c>
      <c r="AY1363" t="inlineStr">
        <is>
          <t>2268503030002656</t>
        </is>
      </c>
      <c r="AZ1363" t="inlineStr">
        <is>
          <t>BOOK</t>
        </is>
      </c>
      <c r="BB1363" t="inlineStr">
        <is>
          <t>9780672527012</t>
        </is>
      </c>
      <c r="BC1363" t="inlineStr">
        <is>
          <t>32285005509053</t>
        </is>
      </c>
      <c r="BD1363" t="inlineStr">
        <is>
          <t>893437499</t>
        </is>
      </c>
    </row>
    <row r="1364">
      <c r="A1364" t="inlineStr">
        <is>
          <t>No</t>
        </is>
      </c>
      <c r="B1364" t="inlineStr">
        <is>
          <t>GV1788.2.P37 S4913 2000</t>
        </is>
      </c>
      <c r="C1364" t="inlineStr">
        <is>
          <t>0                      GV 1788200P  37                 S  4913        2000</t>
        </is>
      </c>
      <c r="D1364" t="inlineStr">
        <is>
          <t>Pas de deux : a textbook on partnering / by Nicholai Nikolaevich Serebrennikov ; edited by Marian Horosko ; translated by Elizabeth Kraft.</t>
        </is>
      </c>
      <c r="F1364" t="inlineStr">
        <is>
          <t>No</t>
        </is>
      </c>
      <c r="G1364" t="inlineStr">
        <is>
          <t>1</t>
        </is>
      </c>
      <c r="H1364" t="inlineStr">
        <is>
          <t>No</t>
        </is>
      </c>
      <c r="I1364" t="inlineStr">
        <is>
          <t>No</t>
        </is>
      </c>
      <c r="J1364" t="inlineStr">
        <is>
          <t>0</t>
        </is>
      </c>
      <c r="K1364" t="inlineStr">
        <is>
          <t>Serebrennikov, Nikolaĭ Nikolaevich.</t>
        </is>
      </c>
      <c r="L1364" t="inlineStr">
        <is>
          <t>Gainesville : University Press of Florida, c2000.</t>
        </is>
      </c>
      <c r="M1364" t="inlineStr">
        <is>
          <t>2000</t>
        </is>
      </c>
      <c r="N1364" t="inlineStr">
        <is>
          <t>2nd ed. / with added 2nd ed. material translated by Sergey Gordeev.</t>
        </is>
      </c>
      <c r="O1364" t="inlineStr">
        <is>
          <t>eng</t>
        </is>
      </c>
      <c r="P1364" t="inlineStr">
        <is>
          <t>flu</t>
        </is>
      </c>
      <c r="R1364" t="inlineStr">
        <is>
          <t xml:space="preserve">GV </t>
        </is>
      </c>
      <c r="S1364" t="n">
        <v>1</v>
      </c>
      <c r="T1364" t="n">
        <v>1</v>
      </c>
      <c r="U1364" t="inlineStr">
        <is>
          <t>2009-12-15</t>
        </is>
      </c>
      <c r="V1364" t="inlineStr">
        <is>
          <t>2009-12-15</t>
        </is>
      </c>
      <c r="W1364" t="inlineStr">
        <is>
          <t>2007-03-22</t>
        </is>
      </c>
      <c r="X1364" t="inlineStr">
        <is>
          <t>2007-03-22</t>
        </is>
      </c>
      <c r="Y1364" t="n">
        <v>192</v>
      </c>
      <c r="Z1364" t="n">
        <v>179</v>
      </c>
      <c r="AA1364" t="n">
        <v>179</v>
      </c>
      <c r="AB1364" t="n">
        <v>1</v>
      </c>
      <c r="AC1364" t="n">
        <v>1</v>
      </c>
      <c r="AD1364" t="n">
        <v>7</v>
      </c>
      <c r="AE1364" t="n">
        <v>7</v>
      </c>
      <c r="AF1364" t="n">
        <v>5</v>
      </c>
      <c r="AG1364" t="n">
        <v>5</v>
      </c>
      <c r="AH1364" t="n">
        <v>1</v>
      </c>
      <c r="AI1364" t="n">
        <v>1</v>
      </c>
      <c r="AJ1364" t="n">
        <v>4</v>
      </c>
      <c r="AK1364" t="n">
        <v>4</v>
      </c>
      <c r="AL1364" t="n">
        <v>0</v>
      </c>
      <c r="AM1364" t="n">
        <v>0</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HYPERLINK("https://creighton-primo.hosted.exlibrisgroup.com/primo-explore/search?tab=default_tab&amp;search_scope=EVERYTHING&amp;vid=01CRU&amp;lang=en_US&amp;offset=0&amp;query=any,contains,991005041219702656","Catalog Record")</f>
        <v/>
      </c>
      <c r="AT1364">
        <f>HYPERLINK("http://www.worldcat.org/oclc/43567572","WorldCat Record")</f>
        <v/>
      </c>
      <c r="AU1364" t="inlineStr">
        <is>
          <t>2865436091:eng</t>
        </is>
      </c>
      <c r="AV1364" t="inlineStr">
        <is>
          <t>43567572</t>
        </is>
      </c>
      <c r="AW1364" t="inlineStr">
        <is>
          <t>991005041219702656</t>
        </is>
      </c>
      <c r="AX1364" t="inlineStr">
        <is>
          <t>991005041219702656</t>
        </is>
      </c>
      <c r="AY1364" t="inlineStr">
        <is>
          <t>2261899680002656</t>
        </is>
      </c>
      <c r="AZ1364" t="inlineStr">
        <is>
          <t>BOOK</t>
        </is>
      </c>
      <c r="BB1364" t="inlineStr">
        <is>
          <t>9780813017686</t>
        </is>
      </c>
      <c r="BC1364" t="inlineStr">
        <is>
          <t>32285005282339</t>
        </is>
      </c>
      <c r="BD1364" t="inlineStr">
        <is>
          <t>893319933</t>
        </is>
      </c>
    </row>
    <row r="1365">
      <c r="A1365" t="inlineStr">
        <is>
          <t>No</t>
        </is>
      </c>
      <c r="B1365" t="inlineStr">
        <is>
          <t>GV1788.5 .G62 1991</t>
        </is>
      </c>
      <c r="C1365" t="inlineStr">
        <is>
          <t>0                      GV 1788500G  62          1991</t>
        </is>
      </c>
      <c r="D1365" t="inlineStr">
        <is>
          <t>Lessons in classical dance / Sophia Golovkina ; translated by Nigel Timothy Coey ; edited by Joan Lawson.</t>
        </is>
      </c>
      <c r="F1365" t="inlineStr">
        <is>
          <t>No</t>
        </is>
      </c>
      <c r="G1365" t="inlineStr">
        <is>
          <t>1</t>
        </is>
      </c>
      <c r="H1365" t="inlineStr">
        <is>
          <t>No</t>
        </is>
      </c>
      <c r="I1365" t="inlineStr">
        <is>
          <t>No</t>
        </is>
      </c>
      <c r="J1365" t="inlineStr">
        <is>
          <t>0</t>
        </is>
      </c>
      <c r="K1365" t="inlineStr">
        <is>
          <t>Golovkina, Sofʹi︠a︡ Nikolaevna, 1915-2004.</t>
        </is>
      </c>
      <c r="L1365" t="inlineStr">
        <is>
          <t>London : Dance Books, 1991.</t>
        </is>
      </c>
      <c r="M1365" t="inlineStr">
        <is>
          <t>1991</t>
        </is>
      </c>
      <c r="O1365" t="inlineStr">
        <is>
          <t>eng</t>
        </is>
      </c>
      <c r="P1365" t="inlineStr">
        <is>
          <t>enk</t>
        </is>
      </c>
      <c r="R1365" t="inlineStr">
        <is>
          <t xml:space="preserve">GV </t>
        </is>
      </c>
      <c r="S1365" t="n">
        <v>5</v>
      </c>
      <c r="T1365" t="n">
        <v>5</v>
      </c>
      <c r="U1365" t="inlineStr">
        <is>
          <t>2005-04-01</t>
        </is>
      </c>
      <c r="V1365" t="inlineStr">
        <is>
          <t>2005-04-01</t>
        </is>
      </c>
      <c r="W1365" t="inlineStr">
        <is>
          <t>1993-12-16</t>
        </is>
      </c>
      <c r="X1365" t="inlineStr">
        <is>
          <t>1993-12-16</t>
        </is>
      </c>
      <c r="Y1365" t="n">
        <v>171</v>
      </c>
      <c r="Z1365" t="n">
        <v>135</v>
      </c>
      <c r="AA1365" t="n">
        <v>135</v>
      </c>
      <c r="AB1365" t="n">
        <v>2</v>
      </c>
      <c r="AC1365" t="n">
        <v>2</v>
      </c>
      <c r="AD1365" t="n">
        <v>4</v>
      </c>
      <c r="AE1365" t="n">
        <v>4</v>
      </c>
      <c r="AF1365" t="n">
        <v>3</v>
      </c>
      <c r="AG1365" t="n">
        <v>3</v>
      </c>
      <c r="AH1365" t="n">
        <v>1</v>
      </c>
      <c r="AI1365" t="n">
        <v>1</v>
      </c>
      <c r="AJ1365" t="n">
        <v>0</v>
      </c>
      <c r="AK1365" t="n">
        <v>0</v>
      </c>
      <c r="AL1365" t="n">
        <v>1</v>
      </c>
      <c r="AM1365" t="n">
        <v>1</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HYPERLINK("https://creighton-primo.hosted.exlibrisgroup.com/primo-explore/search?tab=default_tab&amp;search_scope=EVERYTHING&amp;vid=01CRU&amp;lang=en_US&amp;offset=0&amp;query=any,contains,991001955449702656","Catalog Record")</f>
        <v/>
      </c>
      <c r="AT1365">
        <f>HYPERLINK("http://www.worldcat.org/oclc/30623593","WorldCat Record")</f>
        <v/>
      </c>
      <c r="AU1365" t="inlineStr">
        <is>
          <t>32662425:eng</t>
        </is>
      </c>
      <c r="AV1365" t="inlineStr">
        <is>
          <t>30623593</t>
        </is>
      </c>
      <c r="AW1365" t="inlineStr">
        <is>
          <t>991001955449702656</t>
        </is>
      </c>
      <c r="AX1365" t="inlineStr">
        <is>
          <t>991001955449702656</t>
        </is>
      </c>
      <c r="AY1365" t="inlineStr">
        <is>
          <t>2257569770002656</t>
        </is>
      </c>
      <c r="AZ1365" t="inlineStr">
        <is>
          <t>BOOK</t>
        </is>
      </c>
      <c r="BB1365" t="inlineStr">
        <is>
          <t>9781852730246</t>
        </is>
      </c>
      <c r="BC1365" t="inlineStr">
        <is>
          <t>32285001816726</t>
        </is>
      </c>
      <c r="BD1365" t="inlineStr">
        <is>
          <t>893809246</t>
        </is>
      </c>
    </row>
    <row r="1366">
      <c r="A1366" t="inlineStr">
        <is>
          <t>No</t>
        </is>
      </c>
      <c r="B1366" t="inlineStr">
        <is>
          <t>GV1788.5 .K668 2004</t>
        </is>
      </c>
      <c r="C1366" t="inlineStr">
        <is>
          <t>0                      GV 1788500K  668         2004</t>
        </is>
      </c>
      <c r="D1366" t="inlineStr">
        <is>
          <t>100 lessons in classical ballet / Vera S. Kostrovitskaya ; translated by Oleg Briansky.</t>
        </is>
      </c>
      <c r="F1366" t="inlineStr">
        <is>
          <t>No</t>
        </is>
      </c>
      <c r="G1366" t="inlineStr">
        <is>
          <t>1</t>
        </is>
      </c>
      <c r="H1366" t="inlineStr">
        <is>
          <t>No</t>
        </is>
      </c>
      <c r="I1366" t="inlineStr">
        <is>
          <t>No</t>
        </is>
      </c>
      <c r="J1366" t="inlineStr">
        <is>
          <t>0</t>
        </is>
      </c>
      <c r="K1366" t="inlineStr">
        <is>
          <t>Kostrovit͡skai͡a, V. S. (Vera Sergeevna)</t>
        </is>
      </c>
      <c r="L1366" t="inlineStr">
        <is>
          <t>New York : Limelight Eds., 2004.</t>
        </is>
      </c>
      <c r="M1366" t="inlineStr">
        <is>
          <t>2004</t>
        </is>
      </c>
      <c r="N1366" t="inlineStr">
        <is>
          <t>8th Limelight ed.</t>
        </is>
      </c>
      <c r="O1366" t="inlineStr">
        <is>
          <t>eng</t>
        </is>
      </c>
      <c r="P1366" t="inlineStr">
        <is>
          <t>nyu</t>
        </is>
      </c>
      <c r="R1366" t="inlineStr">
        <is>
          <t xml:space="preserve">GV </t>
        </is>
      </c>
      <c r="S1366" t="n">
        <v>4</v>
      </c>
      <c r="T1366" t="n">
        <v>4</v>
      </c>
      <c r="U1366" t="inlineStr">
        <is>
          <t>2006-07-07</t>
        </is>
      </c>
      <c r="V1366" t="inlineStr">
        <is>
          <t>2006-07-07</t>
        </is>
      </c>
      <c r="W1366" t="inlineStr">
        <is>
          <t>2004-11-29</t>
        </is>
      </c>
      <c r="X1366" t="inlineStr">
        <is>
          <t>2004-11-29</t>
        </is>
      </c>
      <c r="Y1366" t="n">
        <v>27</v>
      </c>
      <c r="Z1366" t="n">
        <v>24</v>
      </c>
      <c r="AA1366" t="n">
        <v>426</v>
      </c>
      <c r="AB1366" t="n">
        <v>1</v>
      </c>
      <c r="AC1366" t="n">
        <v>4</v>
      </c>
      <c r="AD1366" t="n">
        <v>0</v>
      </c>
      <c r="AE1366" t="n">
        <v>8</v>
      </c>
      <c r="AF1366" t="n">
        <v>0</v>
      </c>
      <c r="AG1366" t="n">
        <v>4</v>
      </c>
      <c r="AH1366" t="n">
        <v>0</v>
      </c>
      <c r="AI1366" t="n">
        <v>1</v>
      </c>
      <c r="AJ1366" t="n">
        <v>0</v>
      </c>
      <c r="AK1366" t="n">
        <v>4</v>
      </c>
      <c r="AL1366" t="n">
        <v>0</v>
      </c>
      <c r="AM1366" t="n">
        <v>2</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HYPERLINK("https://creighton-primo.hosted.exlibrisgroup.com/primo-explore/search?tab=default_tab&amp;search_scope=EVERYTHING&amp;vid=01CRU&amp;lang=en_US&amp;offset=0&amp;query=any,contains,991004424819702656","Catalog Record")</f>
        <v/>
      </c>
      <c r="AT1366">
        <f>HYPERLINK("http://www.worldcat.org/oclc/50628431","WorldCat Record")</f>
        <v/>
      </c>
      <c r="AU1366" t="inlineStr">
        <is>
          <t>454920:eng</t>
        </is>
      </c>
      <c r="AV1366" t="inlineStr">
        <is>
          <t>50628431</t>
        </is>
      </c>
      <c r="AW1366" t="inlineStr">
        <is>
          <t>991004424819702656</t>
        </is>
      </c>
      <c r="AX1366" t="inlineStr">
        <is>
          <t>991004424819702656</t>
        </is>
      </c>
      <c r="AY1366" t="inlineStr">
        <is>
          <t>2268017150002656</t>
        </is>
      </c>
      <c r="AZ1366" t="inlineStr">
        <is>
          <t>BOOK</t>
        </is>
      </c>
      <c r="BB1366" t="inlineStr">
        <is>
          <t>9780879100681</t>
        </is>
      </c>
      <c r="BC1366" t="inlineStr">
        <is>
          <t>32285005013015</t>
        </is>
      </c>
      <c r="BD1366" t="inlineStr">
        <is>
          <t>893599822</t>
        </is>
      </c>
    </row>
    <row r="1367">
      <c r="A1367" t="inlineStr">
        <is>
          <t>No</t>
        </is>
      </c>
      <c r="B1367" t="inlineStr">
        <is>
          <t>GV1788.5 .K6813</t>
        </is>
      </c>
      <c r="C1367" t="inlineStr">
        <is>
          <t>0                      GV 1788500K  6813</t>
        </is>
      </c>
      <c r="D1367" t="inlineStr">
        <is>
          <t>School of classical dance / V. Kostrovitskaya, A. Pisarev ; authorized translation by John Barker ; edited by Natalia Roslavleva and Vladislav Kostin.</t>
        </is>
      </c>
      <c r="F1367" t="inlineStr">
        <is>
          <t>No</t>
        </is>
      </c>
      <c r="G1367" t="inlineStr">
        <is>
          <t>1</t>
        </is>
      </c>
      <c r="H1367" t="inlineStr">
        <is>
          <t>No</t>
        </is>
      </c>
      <c r="I1367" t="inlineStr">
        <is>
          <t>No</t>
        </is>
      </c>
      <c r="J1367" t="inlineStr">
        <is>
          <t>0</t>
        </is>
      </c>
      <c r="K1367" t="inlineStr">
        <is>
          <t>Kostrovit͡skai͡a, V. S. (Vera Sergeevna)</t>
        </is>
      </c>
      <c r="L1367" t="inlineStr">
        <is>
          <t>Moscow : Progress Publishers, c1978.</t>
        </is>
      </c>
      <c r="M1367" t="inlineStr">
        <is>
          <t>1978</t>
        </is>
      </c>
      <c r="O1367" t="inlineStr">
        <is>
          <t>eng</t>
        </is>
      </c>
      <c r="P1367" t="inlineStr">
        <is>
          <t>rur</t>
        </is>
      </c>
      <c r="R1367" t="inlineStr">
        <is>
          <t xml:space="preserve">GV </t>
        </is>
      </c>
      <c r="S1367" t="n">
        <v>7</v>
      </c>
      <c r="T1367" t="n">
        <v>7</v>
      </c>
      <c r="U1367" t="inlineStr">
        <is>
          <t>2003-10-01</t>
        </is>
      </c>
      <c r="V1367" t="inlineStr">
        <is>
          <t>2003-10-01</t>
        </is>
      </c>
      <c r="W1367" t="inlineStr">
        <is>
          <t>1990-08-03</t>
        </is>
      </c>
      <c r="X1367" t="inlineStr">
        <is>
          <t>1990-08-03</t>
        </is>
      </c>
      <c r="Y1367" t="n">
        <v>80</v>
      </c>
      <c r="Z1367" t="n">
        <v>55</v>
      </c>
      <c r="AA1367" t="n">
        <v>138</v>
      </c>
      <c r="AB1367" t="n">
        <v>1</v>
      </c>
      <c r="AC1367" t="n">
        <v>1</v>
      </c>
      <c r="AD1367" t="n">
        <v>0</v>
      </c>
      <c r="AE1367" t="n">
        <v>6</v>
      </c>
      <c r="AF1367" t="n">
        <v>0</v>
      </c>
      <c r="AG1367" t="n">
        <v>3</v>
      </c>
      <c r="AH1367" t="n">
        <v>0</v>
      </c>
      <c r="AI1367" t="n">
        <v>2</v>
      </c>
      <c r="AJ1367" t="n">
        <v>0</v>
      </c>
      <c r="AK1367" t="n">
        <v>4</v>
      </c>
      <c r="AL1367" t="n">
        <v>0</v>
      </c>
      <c r="AM1367" t="n">
        <v>0</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HYPERLINK("https://creighton-primo.hosted.exlibrisgroup.com/primo-explore/search?tab=default_tab&amp;search_scope=EVERYTHING&amp;vid=01CRU&amp;lang=en_US&amp;offset=0&amp;query=any,contains,991004889099702656","Catalog Record")</f>
        <v/>
      </c>
      <c r="AT1367">
        <f>HYPERLINK("http://www.worldcat.org/oclc/5853769","WorldCat Record")</f>
        <v/>
      </c>
      <c r="AU1367" t="inlineStr">
        <is>
          <t>11908936:eng</t>
        </is>
      </c>
      <c r="AV1367" t="inlineStr">
        <is>
          <t>5853769</t>
        </is>
      </c>
      <c r="AW1367" t="inlineStr">
        <is>
          <t>991004889099702656</t>
        </is>
      </c>
      <c r="AX1367" t="inlineStr">
        <is>
          <t>991004889099702656</t>
        </is>
      </c>
      <c r="AY1367" t="inlineStr">
        <is>
          <t>2263846580002656</t>
        </is>
      </c>
      <c r="AZ1367" t="inlineStr">
        <is>
          <t>BOOK</t>
        </is>
      </c>
      <c r="BC1367" t="inlineStr">
        <is>
          <t>32285000266469</t>
        </is>
      </c>
      <c r="BD1367" t="inlineStr">
        <is>
          <t>893594205</t>
        </is>
      </c>
    </row>
    <row r="1368">
      <c r="A1368" t="inlineStr">
        <is>
          <t>No</t>
        </is>
      </c>
      <c r="B1368" t="inlineStr">
        <is>
          <t>GV1789 .F4 1970</t>
        </is>
      </c>
      <c r="C1368" t="inlineStr">
        <is>
          <t>0                      GV 1789000F  4           1970</t>
        </is>
      </c>
      <c r="D1368" t="inlineStr">
        <is>
          <t>Dancing without danger : the prevention and treatment of ballet dancing injuries / by Donald F. Featherstone. Written in collaboration with Rona Allen.</t>
        </is>
      </c>
      <c r="F1368" t="inlineStr">
        <is>
          <t>No</t>
        </is>
      </c>
      <c r="G1368" t="inlineStr">
        <is>
          <t>1</t>
        </is>
      </c>
      <c r="H1368" t="inlineStr">
        <is>
          <t>No</t>
        </is>
      </c>
      <c r="I1368" t="inlineStr">
        <is>
          <t>No</t>
        </is>
      </c>
      <c r="J1368" t="inlineStr">
        <is>
          <t>0</t>
        </is>
      </c>
      <c r="K1368" t="inlineStr">
        <is>
          <t>Featherstone, Donald F.</t>
        </is>
      </c>
      <c r="L1368" t="inlineStr">
        <is>
          <t>South Brunswick : A.S. Barnes, c1970.</t>
        </is>
      </c>
      <c r="M1368" t="inlineStr">
        <is>
          <t>1970</t>
        </is>
      </c>
      <c r="O1368" t="inlineStr">
        <is>
          <t>eng</t>
        </is>
      </c>
      <c r="P1368" t="inlineStr">
        <is>
          <t>nju</t>
        </is>
      </c>
      <c r="R1368" t="inlineStr">
        <is>
          <t xml:space="preserve">GV </t>
        </is>
      </c>
      <c r="S1368" t="n">
        <v>1</v>
      </c>
      <c r="T1368" t="n">
        <v>1</v>
      </c>
      <c r="U1368" t="inlineStr">
        <is>
          <t>2005-12-01</t>
        </is>
      </c>
      <c r="V1368" t="inlineStr">
        <is>
          <t>2005-12-01</t>
        </is>
      </c>
      <c r="W1368" t="inlineStr">
        <is>
          <t>2005-12-01</t>
        </is>
      </c>
      <c r="X1368" t="inlineStr">
        <is>
          <t>2005-12-01</t>
        </is>
      </c>
      <c r="Y1368" t="n">
        <v>208</v>
      </c>
      <c r="Z1368" t="n">
        <v>185</v>
      </c>
      <c r="AA1368" t="n">
        <v>191</v>
      </c>
      <c r="AB1368" t="n">
        <v>2</v>
      </c>
      <c r="AC1368" t="n">
        <v>2</v>
      </c>
      <c r="AD1368" t="n">
        <v>8</v>
      </c>
      <c r="AE1368" t="n">
        <v>8</v>
      </c>
      <c r="AF1368" t="n">
        <v>4</v>
      </c>
      <c r="AG1368" t="n">
        <v>4</v>
      </c>
      <c r="AH1368" t="n">
        <v>1</v>
      </c>
      <c r="AI1368" t="n">
        <v>1</v>
      </c>
      <c r="AJ1368" t="n">
        <v>5</v>
      </c>
      <c r="AK1368" t="n">
        <v>5</v>
      </c>
      <c r="AL1368" t="n">
        <v>1</v>
      </c>
      <c r="AM1368" t="n">
        <v>1</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HYPERLINK("https://creighton-primo.hosted.exlibrisgroup.com/primo-explore/search?tab=default_tab&amp;search_scope=EVERYTHING&amp;vid=01CRU&amp;lang=en_US&amp;offset=0&amp;query=any,contains,991004696479702656","Catalog Record")</f>
        <v/>
      </c>
      <c r="AT1368">
        <f>HYPERLINK("http://www.worldcat.org/oclc/119297","WorldCat Record")</f>
        <v/>
      </c>
      <c r="AU1368" t="inlineStr">
        <is>
          <t>1239288:eng</t>
        </is>
      </c>
      <c r="AV1368" t="inlineStr">
        <is>
          <t>119297</t>
        </is>
      </c>
      <c r="AW1368" t="inlineStr">
        <is>
          <t>991004696479702656</t>
        </is>
      </c>
      <c r="AX1368" t="inlineStr">
        <is>
          <t>991004696479702656</t>
        </is>
      </c>
      <c r="AY1368" t="inlineStr">
        <is>
          <t>2264233250002656</t>
        </is>
      </c>
      <c r="AZ1368" t="inlineStr">
        <is>
          <t>BOOK</t>
        </is>
      </c>
      <c r="BB1368" t="inlineStr">
        <is>
          <t>9780498069956</t>
        </is>
      </c>
      <c r="BC1368" t="inlineStr">
        <is>
          <t>32285005150346</t>
        </is>
      </c>
      <c r="BD1368" t="inlineStr">
        <is>
          <t>893229716</t>
        </is>
      </c>
    </row>
    <row r="1369">
      <c r="A1369" t="inlineStr">
        <is>
          <t>No</t>
        </is>
      </c>
      <c r="B1369" t="inlineStr">
        <is>
          <t>GV1790.A1 R43 1991</t>
        </is>
      </c>
      <c r="C1369" t="inlineStr">
        <is>
          <t>0                      GV 1790000A  1                  R  43          1991</t>
        </is>
      </c>
      <c r="D1369" t="inlineStr">
        <is>
          <t>Dance classics : a viewer's guide to the best-loved ballets and modern dances / Nancy Reynolds and Susan Reimer-Torn ; photographs by Martha Swope.</t>
        </is>
      </c>
      <c r="F1369" t="inlineStr">
        <is>
          <t>No</t>
        </is>
      </c>
      <c r="G1369" t="inlineStr">
        <is>
          <t>1</t>
        </is>
      </c>
      <c r="H1369" t="inlineStr">
        <is>
          <t>No</t>
        </is>
      </c>
      <c r="I1369" t="inlineStr">
        <is>
          <t>No</t>
        </is>
      </c>
      <c r="J1369" t="inlineStr">
        <is>
          <t>0</t>
        </is>
      </c>
      <c r="K1369" t="inlineStr">
        <is>
          <t>Reynolds, Nancy, 1938-</t>
        </is>
      </c>
      <c r="L1369" t="inlineStr">
        <is>
          <t>Chicago, IL : A Cappella Books, c1991.</t>
        </is>
      </c>
      <c r="M1369" t="inlineStr">
        <is>
          <t>1991</t>
        </is>
      </c>
      <c r="O1369" t="inlineStr">
        <is>
          <t>eng</t>
        </is>
      </c>
      <c r="P1369" t="inlineStr">
        <is>
          <t>ilu</t>
        </is>
      </c>
      <c r="R1369" t="inlineStr">
        <is>
          <t xml:space="preserve">GV </t>
        </is>
      </c>
      <c r="S1369" t="n">
        <v>7</v>
      </c>
      <c r="T1369" t="n">
        <v>7</v>
      </c>
      <c r="U1369" t="inlineStr">
        <is>
          <t>2007-05-02</t>
        </is>
      </c>
      <c r="V1369" t="inlineStr">
        <is>
          <t>2007-05-02</t>
        </is>
      </c>
      <c r="W1369" t="inlineStr">
        <is>
          <t>2002-12-05</t>
        </is>
      </c>
      <c r="X1369" t="inlineStr">
        <is>
          <t>2002-12-05</t>
        </is>
      </c>
      <c r="Y1369" t="n">
        <v>377</v>
      </c>
      <c r="Z1369" t="n">
        <v>347</v>
      </c>
      <c r="AA1369" t="n">
        <v>347</v>
      </c>
      <c r="AB1369" t="n">
        <v>1</v>
      </c>
      <c r="AC1369" t="n">
        <v>1</v>
      </c>
      <c r="AD1369" t="n">
        <v>6</v>
      </c>
      <c r="AE1369" t="n">
        <v>6</v>
      </c>
      <c r="AF1369" t="n">
        <v>3</v>
      </c>
      <c r="AG1369" t="n">
        <v>3</v>
      </c>
      <c r="AH1369" t="n">
        <v>3</v>
      </c>
      <c r="AI1369" t="n">
        <v>3</v>
      </c>
      <c r="AJ1369" t="n">
        <v>3</v>
      </c>
      <c r="AK1369" t="n">
        <v>3</v>
      </c>
      <c r="AL1369" t="n">
        <v>0</v>
      </c>
      <c r="AM1369" t="n">
        <v>0</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HYPERLINK("https://creighton-primo.hosted.exlibrisgroup.com/primo-explore/search?tab=default_tab&amp;search_scope=EVERYTHING&amp;vid=01CRU&amp;lang=en_US&amp;offset=0&amp;query=any,contains,991003956579702656","Catalog Record")</f>
        <v/>
      </c>
      <c r="AT1369">
        <f>HYPERLINK("http://www.worldcat.org/oclc/22952943","WorldCat Record")</f>
        <v/>
      </c>
      <c r="AU1369" t="inlineStr">
        <is>
          <t>20693646:eng</t>
        </is>
      </c>
      <c r="AV1369" t="inlineStr">
        <is>
          <t>22952943</t>
        </is>
      </c>
      <c r="AW1369" t="inlineStr">
        <is>
          <t>991003956579702656</t>
        </is>
      </c>
      <c r="AX1369" t="inlineStr">
        <is>
          <t>991003956579702656</t>
        </is>
      </c>
      <c r="AY1369" t="inlineStr">
        <is>
          <t>2263075360002656</t>
        </is>
      </c>
      <c r="AZ1369" t="inlineStr">
        <is>
          <t>BOOK</t>
        </is>
      </c>
      <c r="BB1369" t="inlineStr">
        <is>
          <t>9781556521065</t>
        </is>
      </c>
      <c r="BC1369" t="inlineStr">
        <is>
          <t>32285004667993</t>
        </is>
      </c>
      <c r="BD1369" t="inlineStr">
        <is>
          <t>893324762</t>
        </is>
      </c>
    </row>
    <row r="1370">
      <c r="A1370" t="inlineStr">
        <is>
          <t>No</t>
        </is>
      </c>
      <c r="B1370" t="inlineStr">
        <is>
          <t>GV1790.A1 T47 1976</t>
        </is>
      </c>
      <c r="C1370" t="inlineStr">
        <is>
          <t>0                      GV 1790000A  1                  T  47          1976</t>
        </is>
      </c>
      <c r="D1370" t="inlineStr">
        <is>
          <t>Ballet guide : background, listings, credits, and descriptions of more than five hundred of the world's major ballets / by Walter Terry.</t>
        </is>
      </c>
      <c r="F1370" t="inlineStr">
        <is>
          <t>No</t>
        </is>
      </c>
      <c r="G1370" t="inlineStr">
        <is>
          <t>1</t>
        </is>
      </c>
      <c r="H1370" t="inlineStr">
        <is>
          <t>No</t>
        </is>
      </c>
      <c r="I1370" t="inlineStr">
        <is>
          <t>No</t>
        </is>
      </c>
      <c r="J1370" t="inlineStr">
        <is>
          <t>0</t>
        </is>
      </c>
      <c r="K1370" t="inlineStr">
        <is>
          <t>Terry, Walter.</t>
        </is>
      </c>
      <c r="L1370" t="inlineStr">
        <is>
          <t>New York : Dodd, Mead, c1976.</t>
        </is>
      </c>
      <c r="M1370" t="inlineStr">
        <is>
          <t>1976</t>
        </is>
      </c>
      <c r="O1370" t="inlineStr">
        <is>
          <t>eng</t>
        </is>
      </c>
      <c r="P1370" t="inlineStr">
        <is>
          <t>nyu</t>
        </is>
      </c>
      <c r="R1370" t="inlineStr">
        <is>
          <t xml:space="preserve">GV </t>
        </is>
      </c>
      <c r="S1370" t="n">
        <v>5</v>
      </c>
      <c r="T1370" t="n">
        <v>5</v>
      </c>
      <c r="U1370" t="inlineStr">
        <is>
          <t>2007-05-02</t>
        </is>
      </c>
      <c r="V1370" t="inlineStr">
        <is>
          <t>2007-05-02</t>
        </is>
      </c>
      <c r="W1370" t="inlineStr">
        <is>
          <t>2002-12-09</t>
        </is>
      </c>
      <c r="X1370" t="inlineStr">
        <is>
          <t>2002-12-09</t>
        </is>
      </c>
      <c r="Y1370" t="n">
        <v>777</v>
      </c>
      <c r="Z1370" t="n">
        <v>717</v>
      </c>
      <c r="AA1370" t="n">
        <v>786</v>
      </c>
      <c r="AB1370" t="n">
        <v>6</v>
      </c>
      <c r="AC1370" t="n">
        <v>7</v>
      </c>
      <c r="AD1370" t="n">
        <v>21</v>
      </c>
      <c r="AE1370" t="n">
        <v>24</v>
      </c>
      <c r="AF1370" t="n">
        <v>8</v>
      </c>
      <c r="AG1370" t="n">
        <v>9</v>
      </c>
      <c r="AH1370" t="n">
        <v>6</v>
      </c>
      <c r="AI1370" t="n">
        <v>6</v>
      </c>
      <c r="AJ1370" t="n">
        <v>9</v>
      </c>
      <c r="AK1370" t="n">
        <v>10</v>
      </c>
      <c r="AL1370" t="n">
        <v>4</v>
      </c>
      <c r="AM1370" t="n">
        <v>5</v>
      </c>
      <c r="AN1370" t="n">
        <v>0</v>
      </c>
      <c r="AO1370" t="n">
        <v>0</v>
      </c>
      <c r="AP1370" t="inlineStr">
        <is>
          <t>No</t>
        </is>
      </c>
      <c r="AQ1370" t="inlineStr">
        <is>
          <t>Yes</t>
        </is>
      </c>
      <c r="AR1370">
        <f>HYPERLINK("http://catalog.hathitrust.org/Record/007057308","HathiTrust Record")</f>
        <v/>
      </c>
      <c r="AS1370">
        <f>HYPERLINK("https://creighton-primo.hosted.exlibrisgroup.com/primo-explore/search?tab=default_tab&amp;search_scope=EVERYTHING&amp;vid=01CRU&amp;lang=en_US&amp;offset=0&amp;query=any,contains,991003957449702656","Catalog Record")</f>
        <v/>
      </c>
      <c r="AT1370">
        <f>HYPERLINK("http://www.worldcat.org/oclc/1528392","WorldCat Record")</f>
        <v/>
      </c>
      <c r="AU1370" t="inlineStr">
        <is>
          <t>469511:eng</t>
        </is>
      </c>
      <c r="AV1370" t="inlineStr">
        <is>
          <t>1528392</t>
        </is>
      </c>
      <c r="AW1370" t="inlineStr">
        <is>
          <t>991003957449702656</t>
        </is>
      </c>
      <c r="AX1370" t="inlineStr">
        <is>
          <t>991003957449702656</t>
        </is>
      </c>
      <c r="AY1370" t="inlineStr">
        <is>
          <t>2257287050002656</t>
        </is>
      </c>
      <c r="AZ1370" t="inlineStr">
        <is>
          <t>BOOK</t>
        </is>
      </c>
      <c r="BB1370" t="inlineStr">
        <is>
          <t>9780396070245</t>
        </is>
      </c>
      <c r="BC1370" t="inlineStr">
        <is>
          <t>32285004669577</t>
        </is>
      </c>
      <c r="BD1370" t="inlineStr">
        <is>
          <t>893618038</t>
        </is>
      </c>
    </row>
    <row r="1371">
      <c r="A1371" t="inlineStr">
        <is>
          <t>No</t>
        </is>
      </c>
      <c r="B1371" t="inlineStr">
        <is>
          <t>GV1790.G5 B4 1969</t>
        </is>
      </c>
      <c r="C1371" t="inlineStr">
        <is>
          <t>0                      GV 1790000G  5                  B  4           1969</t>
        </is>
      </c>
      <c r="D1371" t="inlineStr">
        <is>
          <t>The ballet called Giselle, by Cyril W. Beaumont.</t>
        </is>
      </c>
      <c r="F1371" t="inlineStr">
        <is>
          <t>No</t>
        </is>
      </c>
      <c r="G1371" t="inlineStr">
        <is>
          <t>1</t>
        </is>
      </c>
      <c r="H1371" t="inlineStr">
        <is>
          <t>No</t>
        </is>
      </c>
      <c r="I1371" t="inlineStr">
        <is>
          <t>No</t>
        </is>
      </c>
      <c r="J1371" t="inlineStr">
        <is>
          <t>0</t>
        </is>
      </c>
      <c r="K1371" t="inlineStr">
        <is>
          <t>Beaumont, Cyril W. (Cyril William), 1891-1976.</t>
        </is>
      </c>
      <c r="L1371" t="inlineStr">
        <is>
          <t>Brooklyn, N.Y., Dance Horizons [c1969]</t>
        </is>
      </c>
      <c r="M1371" t="inlineStr">
        <is>
          <t>1969</t>
        </is>
      </c>
      <c r="N1371" t="inlineStr">
        <is>
          <t>2d ed.</t>
        </is>
      </c>
      <c r="O1371" t="inlineStr">
        <is>
          <t>eng</t>
        </is>
      </c>
      <c r="P1371" t="inlineStr">
        <is>
          <t>nyu</t>
        </is>
      </c>
      <c r="Q1371" t="inlineStr">
        <is>
          <t>Dance horizons republication ; 22</t>
        </is>
      </c>
      <c r="R1371" t="inlineStr">
        <is>
          <t xml:space="preserve">GV </t>
        </is>
      </c>
      <c r="S1371" t="n">
        <v>5</v>
      </c>
      <c r="T1371" t="n">
        <v>5</v>
      </c>
      <c r="U1371" t="inlineStr">
        <is>
          <t>2010-12-05</t>
        </is>
      </c>
      <c r="V1371" t="inlineStr">
        <is>
          <t>2010-12-05</t>
        </is>
      </c>
      <c r="W1371" t="inlineStr">
        <is>
          <t>1997-06-30</t>
        </is>
      </c>
      <c r="X1371" t="inlineStr">
        <is>
          <t>1997-06-30</t>
        </is>
      </c>
      <c r="Y1371" t="n">
        <v>203</v>
      </c>
      <c r="Z1371" t="n">
        <v>178</v>
      </c>
      <c r="AA1371" t="n">
        <v>354</v>
      </c>
      <c r="AB1371" t="n">
        <v>1</v>
      </c>
      <c r="AC1371" t="n">
        <v>1</v>
      </c>
      <c r="AD1371" t="n">
        <v>3</v>
      </c>
      <c r="AE1371" t="n">
        <v>9</v>
      </c>
      <c r="AF1371" t="n">
        <v>2</v>
      </c>
      <c r="AG1371" t="n">
        <v>6</v>
      </c>
      <c r="AH1371" t="n">
        <v>1</v>
      </c>
      <c r="AI1371" t="n">
        <v>4</v>
      </c>
      <c r="AJ1371" t="n">
        <v>1</v>
      </c>
      <c r="AK1371" t="n">
        <v>3</v>
      </c>
      <c r="AL1371" t="n">
        <v>0</v>
      </c>
      <c r="AM1371" t="n">
        <v>0</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HYPERLINK("https://creighton-primo.hosted.exlibrisgroup.com/primo-explore/search?tab=default_tab&amp;search_scope=EVERYTHING&amp;vid=01CRU&amp;lang=en_US&amp;offset=0&amp;query=any,contains,991000210179702656","Catalog Record")</f>
        <v/>
      </c>
      <c r="AT1371">
        <f>HYPERLINK("http://www.worldcat.org/oclc/66378","WorldCat Record")</f>
        <v/>
      </c>
      <c r="AU1371" t="inlineStr">
        <is>
          <t>1232074:eng</t>
        </is>
      </c>
      <c r="AV1371" t="inlineStr">
        <is>
          <t>66378</t>
        </is>
      </c>
      <c r="AW1371" t="inlineStr">
        <is>
          <t>991000210179702656</t>
        </is>
      </c>
      <c r="AX1371" t="inlineStr">
        <is>
          <t>991000210179702656</t>
        </is>
      </c>
      <c r="AY1371" t="inlineStr">
        <is>
          <t>2258727490002656</t>
        </is>
      </c>
      <c r="AZ1371" t="inlineStr">
        <is>
          <t>BOOK</t>
        </is>
      </c>
      <c r="BB1371" t="inlineStr">
        <is>
          <t>9780871270221</t>
        </is>
      </c>
      <c r="BC1371" t="inlineStr">
        <is>
          <t>32285002754298</t>
        </is>
      </c>
      <c r="BD1371" t="inlineStr">
        <is>
          <t>893626244</t>
        </is>
      </c>
    </row>
    <row r="1372">
      <c r="A1372" t="inlineStr">
        <is>
          <t>No</t>
        </is>
      </c>
      <c r="B1372" t="inlineStr">
        <is>
          <t>GV1790.G5 H47</t>
        </is>
      </c>
      <c r="C1372" t="inlineStr">
        <is>
          <t>0                      GV 1790000G  5                  H  47</t>
        </is>
      </c>
      <c r="D1372" t="inlineStr">
        <is>
          <t>Giselle &amp; Albrecht : American Ballet Theatre's romantic lovers / performance photographs by Fred Fehl ; text by Doris Hering.</t>
        </is>
      </c>
      <c r="F1372" t="inlineStr">
        <is>
          <t>No</t>
        </is>
      </c>
      <c r="G1372" t="inlineStr">
        <is>
          <t>1</t>
        </is>
      </c>
      <c r="H1372" t="inlineStr">
        <is>
          <t>No</t>
        </is>
      </c>
      <c r="I1372" t="inlineStr">
        <is>
          <t>No</t>
        </is>
      </c>
      <c r="J1372" t="inlineStr">
        <is>
          <t>0</t>
        </is>
      </c>
      <c r="K1372" t="inlineStr">
        <is>
          <t>Hering, Doris.</t>
        </is>
      </c>
      <c r="L1372" t="inlineStr">
        <is>
          <t>New York : Dance Horizons, 1981.</t>
        </is>
      </c>
      <c r="M1372" t="inlineStr">
        <is>
          <t>1981</t>
        </is>
      </c>
      <c r="O1372" t="inlineStr">
        <is>
          <t>eng</t>
        </is>
      </c>
      <c r="P1372" t="inlineStr">
        <is>
          <t>nyu</t>
        </is>
      </c>
      <c r="R1372" t="inlineStr">
        <is>
          <t xml:space="preserve">GV </t>
        </is>
      </c>
      <c r="S1372" t="n">
        <v>6</v>
      </c>
      <c r="T1372" t="n">
        <v>6</v>
      </c>
      <c r="U1372" t="inlineStr">
        <is>
          <t>2010-12-05</t>
        </is>
      </c>
      <c r="V1372" t="inlineStr">
        <is>
          <t>2010-12-05</t>
        </is>
      </c>
      <c r="W1372" t="inlineStr">
        <is>
          <t>1990-08-03</t>
        </is>
      </c>
      <c r="X1372" t="inlineStr">
        <is>
          <t>1990-08-03</t>
        </is>
      </c>
      <c r="Y1372" t="n">
        <v>205</v>
      </c>
      <c r="Z1372" t="n">
        <v>181</v>
      </c>
      <c r="AA1372" t="n">
        <v>182</v>
      </c>
      <c r="AB1372" t="n">
        <v>1</v>
      </c>
      <c r="AC1372" t="n">
        <v>1</v>
      </c>
      <c r="AD1372" t="n">
        <v>3</v>
      </c>
      <c r="AE1372" t="n">
        <v>3</v>
      </c>
      <c r="AF1372" t="n">
        <v>1</v>
      </c>
      <c r="AG1372" t="n">
        <v>1</v>
      </c>
      <c r="AH1372" t="n">
        <v>0</v>
      </c>
      <c r="AI1372" t="n">
        <v>0</v>
      </c>
      <c r="AJ1372" t="n">
        <v>3</v>
      </c>
      <c r="AK1372" t="n">
        <v>3</v>
      </c>
      <c r="AL1372" t="n">
        <v>0</v>
      </c>
      <c r="AM1372" t="n">
        <v>0</v>
      </c>
      <c r="AN1372" t="n">
        <v>0</v>
      </c>
      <c r="AO1372" t="n">
        <v>0</v>
      </c>
      <c r="AP1372" t="inlineStr">
        <is>
          <t>No</t>
        </is>
      </c>
      <c r="AQ1372" t="inlineStr">
        <is>
          <t>Yes</t>
        </is>
      </c>
      <c r="AR1372">
        <f>HYPERLINK("http://catalog.hathitrust.org/Record/000560126","HathiTrust Record")</f>
        <v/>
      </c>
      <c r="AS1372">
        <f>HYPERLINK("https://creighton-primo.hosted.exlibrisgroup.com/primo-explore/search?tab=default_tab&amp;search_scope=EVERYTHING&amp;vid=01CRU&amp;lang=en_US&amp;offset=0&amp;query=any,contains,991005210259702656","Catalog Record")</f>
        <v/>
      </c>
      <c r="AT1372">
        <f>HYPERLINK("http://www.worldcat.org/oclc/8627313","WorldCat Record")</f>
        <v/>
      </c>
      <c r="AU1372" t="inlineStr">
        <is>
          <t>862833337:eng</t>
        </is>
      </c>
      <c r="AV1372" t="inlineStr">
        <is>
          <t>8627313</t>
        </is>
      </c>
      <c r="AW1372" t="inlineStr">
        <is>
          <t>991005210259702656</t>
        </is>
      </c>
      <c r="AX1372" t="inlineStr">
        <is>
          <t>991005210259702656</t>
        </is>
      </c>
      <c r="AY1372" t="inlineStr">
        <is>
          <t>2258713900002656</t>
        </is>
      </c>
      <c r="AZ1372" t="inlineStr">
        <is>
          <t>BOOK</t>
        </is>
      </c>
      <c r="BB1372" t="inlineStr">
        <is>
          <t>9780871271242</t>
        </is>
      </c>
      <c r="BC1372" t="inlineStr">
        <is>
          <t>32285000266493</t>
        </is>
      </c>
      <c r="BD1372" t="inlineStr">
        <is>
          <t>893810920</t>
        </is>
      </c>
    </row>
    <row r="1373">
      <c r="A1373" t="inlineStr">
        <is>
          <t>No</t>
        </is>
      </c>
      <c r="B1373" t="inlineStr">
        <is>
          <t>GV1790.G5 V47</t>
        </is>
      </c>
      <c r="C1373" t="inlineStr">
        <is>
          <t>0                      GV 1790000G  5                  V  47</t>
        </is>
      </c>
      <c r="D1373" t="inlineStr">
        <is>
          <t>Giselle : a role for a lifetime : with the text of the ballet scenario adapted from Théophile Gautier / by Violette Verdy, with Ann Sperber ; illustrated by Marcia Brown.</t>
        </is>
      </c>
      <c r="F1373" t="inlineStr">
        <is>
          <t>No</t>
        </is>
      </c>
      <c r="G1373" t="inlineStr">
        <is>
          <t>1</t>
        </is>
      </c>
      <c r="H1373" t="inlineStr">
        <is>
          <t>No</t>
        </is>
      </c>
      <c r="I1373" t="inlineStr">
        <is>
          <t>No</t>
        </is>
      </c>
      <c r="J1373" t="inlineStr">
        <is>
          <t>0</t>
        </is>
      </c>
      <c r="K1373" t="inlineStr">
        <is>
          <t>Verdy, Violette, 1933-2016.</t>
        </is>
      </c>
      <c r="L1373" t="inlineStr">
        <is>
          <t>New York : M. Dekker, c1977.</t>
        </is>
      </c>
      <c r="M1373" t="inlineStr">
        <is>
          <t>1977</t>
        </is>
      </c>
      <c r="O1373" t="inlineStr">
        <is>
          <t>eng</t>
        </is>
      </c>
      <c r="P1373" t="inlineStr">
        <is>
          <t>nyu</t>
        </is>
      </c>
      <c r="Q1373" t="inlineStr">
        <is>
          <t>[The Dance program ; v. 5]</t>
        </is>
      </c>
      <c r="R1373" t="inlineStr">
        <is>
          <t xml:space="preserve">GV </t>
        </is>
      </c>
      <c r="S1373" t="n">
        <v>5</v>
      </c>
      <c r="T1373" t="n">
        <v>5</v>
      </c>
      <c r="U1373" t="inlineStr">
        <is>
          <t>2010-12-05</t>
        </is>
      </c>
      <c r="V1373" t="inlineStr">
        <is>
          <t>2010-12-05</t>
        </is>
      </c>
      <c r="W1373" t="inlineStr">
        <is>
          <t>1997-06-30</t>
        </is>
      </c>
      <c r="X1373" t="inlineStr">
        <is>
          <t>1997-06-30</t>
        </is>
      </c>
      <c r="Y1373" t="n">
        <v>210</v>
      </c>
      <c r="Z1373" t="n">
        <v>188</v>
      </c>
      <c r="AA1373" t="n">
        <v>188</v>
      </c>
      <c r="AB1373" t="n">
        <v>2</v>
      </c>
      <c r="AC1373" t="n">
        <v>2</v>
      </c>
      <c r="AD1373" t="n">
        <v>6</v>
      </c>
      <c r="AE1373" t="n">
        <v>6</v>
      </c>
      <c r="AF1373" t="n">
        <v>4</v>
      </c>
      <c r="AG1373" t="n">
        <v>4</v>
      </c>
      <c r="AH1373" t="n">
        <v>2</v>
      </c>
      <c r="AI1373" t="n">
        <v>2</v>
      </c>
      <c r="AJ1373" t="n">
        <v>3</v>
      </c>
      <c r="AK1373" t="n">
        <v>3</v>
      </c>
      <c r="AL1373" t="n">
        <v>1</v>
      </c>
      <c r="AM1373" t="n">
        <v>1</v>
      </c>
      <c r="AN1373" t="n">
        <v>0</v>
      </c>
      <c r="AO1373" t="n">
        <v>0</v>
      </c>
      <c r="AP1373" t="inlineStr">
        <is>
          <t>No</t>
        </is>
      </c>
      <c r="AQ1373" t="inlineStr">
        <is>
          <t>No</t>
        </is>
      </c>
      <c r="AS1373">
        <f>HYPERLINK("https://creighton-primo.hosted.exlibrisgroup.com/primo-explore/search?tab=default_tab&amp;search_scope=EVERYTHING&amp;vid=01CRU&amp;lang=en_US&amp;offset=0&amp;query=any,contains,991004374729702656","Catalog Record")</f>
        <v/>
      </c>
      <c r="AT1373">
        <f>HYPERLINK("http://www.worldcat.org/oclc/3203907","WorldCat Record")</f>
        <v/>
      </c>
      <c r="AU1373" t="inlineStr">
        <is>
          <t>194871342:eng</t>
        </is>
      </c>
      <c r="AV1373" t="inlineStr">
        <is>
          <t>3203907</t>
        </is>
      </c>
      <c r="AW1373" t="inlineStr">
        <is>
          <t>991004374729702656</t>
        </is>
      </c>
      <c r="AX1373" t="inlineStr">
        <is>
          <t>991004374729702656</t>
        </is>
      </c>
      <c r="AY1373" t="inlineStr">
        <is>
          <t>2268866140002656</t>
        </is>
      </c>
      <c r="AZ1373" t="inlineStr">
        <is>
          <t>BOOK</t>
        </is>
      </c>
      <c r="BB1373" t="inlineStr">
        <is>
          <t>9780824765255</t>
        </is>
      </c>
      <c r="BC1373" t="inlineStr">
        <is>
          <t>32285002754306</t>
        </is>
      </c>
      <c r="BD1373" t="inlineStr">
        <is>
          <t>893319144</t>
        </is>
      </c>
    </row>
    <row r="1374">
      <c r="A1374" t="inlineStr">
        <is>
          <t>No</t>
        </is>
      </c>
      <c r="B1374" t="inlineStr">
        <is>
          <t>GV1796.C145 C3513 2003</t>
        </is>
      </c>
      <c r="C1374" t="inlineStr">
        <is>
          <t>0                      GV 1796000C  145                C  3513        2003</t>
        </is>
      </c>
      <c r="D1374" t="inlineStr">
        <is>
          <t>The little capoeira book / Nestor Capoeira ; translated by Alex Ladd.</t>
        </is>
      </c>
      <c r="F1374" t="inlineStr">
        <is>
          <t>No</t>
        </is>
      </c>
      <c r="G1374" t="inlineStr">
        <is>
          <t>1</t>
        </is>
      </c>
      <c r="H1374" t="inlineStr">
        <is>
          <t>No</t>
        </is>
      </c>
      <c r="I1374" t="inlineStr">
        <is>
          <t>No</t>
        </is>
      </c>
      <c r="J1374" t="inlineStr">
        <is>
          <t>0</t>
        </is>
      </c>
      <c r="K1374" t="inlineStr">
        <is>
          <t>Capoeira, Nestor.</t>
        </is>
      </c>
      <c r="L1374" t="inlineStr">
        <is>
          <t>Berkeley, Calif. : North Atlantic Books ; [s.n.] : Distributed to the book trade by Publishers Group West, c2003.</t>
        </is>
      </c>
      <c r="M1374" t="inlineStr">
        <is>
          <t>2003</t>
        </is>
      </c>
      <c r="N1374" t="inlineStr">
        <is>
          <t>Rev. ed.</t>
        </is>
      </c>
      <c r="O1374" t="inlineStr">
        <is>
          <t>eng</t>
        </is>
      </c>
      <c r="P1374" t="inlineStr">
        <is>
          <t>cau</t>
        </is>
      </c>
      <c r="R1374" t="inlineStr">
        <is>
          <t xml:space="preserve">GV </t>
        </is>
      </c>
      <c r="S1374" t="n">
        <v>3</v>
      </c>
      <c r="T1374" t="n">
        <v>3</v>
      </c>
      <c r="U1374" t="inlineStr">
        <is>
          <t>2010-04-24</t>
        </is>
      </c>
      <c r="V1374" t="inlineStr">
        <is>
          <t>2010-04-24</t>
        </is>
      </c>
      <c r="W1374" t="inlineStr">
        <is>
          <t>2008-03-04</t>
        </is>
      </c>
      <c r="X1374" t="inlineStr">
        <is>
          <t>2008-03-04</t>
        </is>
      </c>
      <c r="Y1374" t="n">
        <v>102</v>
      </c>
      <c r="Z1374" t="n">
        <v>80</v>
      </c>
      <c r="AA1374" t="n">
        <v>196</v>
      </c>
      <c r="AB1374" t="n">
        <v>1</v>
      </c>
      <c r="AC1374" t="n">
        <v>1</v>
      </c>
      <c r="AD1374" t="n">
        <v>0</v>
      </c>
      <c r="AE1374" t="n">
        <v>2</v>
      </c>
      <c r="AF1374" t="n">
        <v>0</v>
      </c>
      <c r="AG1374" t="n">
        <v>1</v>
      </c>
      <c r="AH1374" t="n">
        <v>0</v>
      </c>
      <c r="AI1374" t="n">
        <v>0</v>
      </c>
      <c r="AJ1374" t="n">
        <v>0</v>
      </c>
      <c r="AK1374" t="n">
        <v>1</v>
      </c>
      <c r="AL1374" t="n">
        <v>0</v>
      </c>
      <c r="AM1374" t="n">
        <v>0</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HYPERLINK("https://creighton-primo.hosted.exlibrisgroup.com/primo-explore/search?tab=default_tab&amp;search_scope=EVERYTHING&amp;vid=01CRU&amp;lang=en_US&amp;offset=0&amp;query=any,contains,991005189109702656","Catalog Record")</f>
        <v/>
      </c>
      <c r="AT1374">
        <f>HYPERLINK("http://www.worldcat.org/oclc/50684754","WorldCat Record")</f>
        <v/>
      </c>
      <c r="AU1374" t="inlineStr">
        <is>
          <t>367457173:eng</t>
        </is>
      </c>
      <c r="AV1374" t="inlineStr">
        <is>
          <t>50684754</t>
        </is>
      </c>
      <c r="AW1374" t="inlineStr">
        <is>
          <t>991005189109702656</t>
        </is>
      </c>
      <c r="AX1374" t="inlineStr">
        <is>
          <t>991005189109702656</t>
        </is>
      </c>
      <c r="AY1374" t="inlineStr">
        <is>
          <t>2271842950002656</t>
        </is>
      </c>
      <c r="AZ1374" t="inlineStr">
        <is>
          <t>BOOK</t>
        </is>
      </c>
      <c r="BB1374" t="inlineStr">
        <is>
          <t>9781556434402</t>
        </is>
      </c>
      <c r="BC1374" t="inlineStr">
        <is>
          <t>32285005395792</t>
        </is>
      </c>
      <c r="BD1374" t="inlineStr">
        <is>
          <t>893688741</t>
        </is>
      </c>
    </row>
    <row r="1375">
      <c r="A1375" t="inlineStr">
        <is>
          <t>No</t>
        </is>
      </c>
      <c r="B1375" t="inlineStr">
        <is>
          <t>GV1796.M45 S45 2004</t>
        </is>
      </c>
      <c r="C1375" t="inlineStr">
        <is>
          <t>0                      GV 1796000M  45                 S  45          2004</t>
        </is>
      </c>
      <c r="D1375" t="inlineStr">
        <is>
          <t>Merengue and Dominican identity : music as national unifier / Julie A. Sellers ; foreword by Stephen C. Ropp.</t>
        </is>
      </c>
      <c r="F1375" t="inlineStr">
        <is>
          <t>No</t>
        </is>
      </c>
      <c r="G1375" t="inlineStr">
        <is>
          <t>1</t>
        </is>
      </c>
      <c r="H1375" t="inlineStr">
        <is>
          <t>No</t>
        </is>
      </c>
      <c r="I1375" t="inlineStr">
        <is>
          <t>No</t>
        </is>
      </c>
      <c r="J1375" t="inlineStr">
        <is>
          <t>0</t>
        </is>
      </c>
      <c r="K1375" t="inlineStr">
        <is>
          <t>Sellers, Julie A.</t>
        </is>
      </c>
      <c r="L1375" t="inlineStr">
        <is>
          <t>Jefferson, N.C. : McFarland &amp; Co., c2004.</t>
        </is>
      </c>
      <c r="M1375" t="inlineStr">
        <is>
          <t>2004</t>
        </is>
      </c>
      <c r="O1375" t="inlineStr">
        <is>
          <t>eng</t>
        </is>
      </c>
      <c r="P1375" t="inlineStr">
        <is>
          <t>ncu</t>
        </is>
      </c>
      <c r="R1375" t="inlineStr">
        <is>
          <t xml:space="preserve">GV </t>
        </is>
      </c>
      <c r="S1375" t="n">
        <v>3</v>
      </c>
      <c r="T1375" t="n">
        <v>3</v>
      </c>
      <c r="U1375" t="inlineStr">
        <is>
          <t>2008-11-21</t>
        </is>
      </c>
      <c r="V1375" t="inlineStr">
        <is>
          <t>2008-11-21</t>
        </is>
      </c>
      <c r="W1375" t="inlineStr">
        <is>
          <t>2004-12-02</t>
        </is>
      </c>
      <c r="X1375" t="inlineStr">
        <is>
          <t>2004-12-02</t>
        </is>
      </c>
      <c r="Y1375" t="n">
        <v>229</v>
      </c>
      <c r="Z1375" t="n">
        <v>197</v>
      </c>
      <c r="AA1375" t="n">
        <v>204</v>
      </c>
      <c r="AB1375" t="n">
        <v>2</v>
      </c>
      <c r="AC1375" t="n">
        <v>2</v>
      </c>
      <c r="AD1375" t="n">
        <v>11</v>
      </c>
      <c r="AE1375" t="n">
        <v>11</v>
      </c>
      <c r="AF1375" t="n">
        <v>5</v>
      </c>
      <c r="AG1375" t="n">
        <v>5</v>
      </c>
      <c r="AH1375" t="n">
        <v>4</v>
      </c>
      <c r="AI1375" t="n">
        <v>4</v>
      </c>
      <c r="AJ1375" t="n">
        <v>4</v>
      </c>
      <c r="AK1375" t="n">
        <v>4</v>
      </c>
      <c r="AL1375" t="n">
        <v>1</v>
      </c>
      <c r="AM1375" t="n">
        <v>1</v>
      </c>
      <c r="AN1375" t="n">
        <v>0</v>
      </c>
      <c r="AO1375" t="n">
        <v>0</v>
      </c>
      <c r="AP1375" t="inlineStr">
        <is>
          <t>No</t>
        </is>
      </c>
      <c r="AQ1375" t="inlineStr">
        <is>
          <t>Yes</t>
        </is>
      </c>
      <c r="AR1375">
        <f>HYPERLINK("http://catalog.hathitrust.org/Record/004921051","HathiTrust Record")</f>
        <v/>
      </c>
      <c r="AS1375">
        <f>HYPERLINK("https://creighton-primo.hosted.exlibrisgroup.com/primo-explore/search?tab=default_tab&amp;search_scope=EVERYTHING&amp;vid=01CRU&amp;lang=en_US&amp;offset=0&amp;query=any,contains,991004427979702656","Catalog Record")</f>
        <v/>
      </c>
      <c r="AT1375">
        <f>HYPERLINK("http://www.worldcat.org/oclc/56096852","WorldCat Record")</f>
        <v/>
      </c>
      <c r="AU1375" t="inlineStr">
        <is>
          <t>234061298:eng</t>
        </is>
      </c>
      <c r="AV1375" t="inlineStr">
        <is>
          <t>56096852</t>
        </is>
      </c>
      <c r="AW1375" t="inlineStr">
        <is>
          <t>991004427979702656</t>
        </is>
      </c>
      <c r="AX1375" t="inlineStr">
        <is>
          <t>991004427979702656</t>
        </is>
      </c>
      <c r="AY1375" t="inlineStr">
        <is>
          <t>2263870350002656</t>
        </is>
      </c>
      <c r="AZ1375" t="inlineStr">
        <is>
          <t>BOOK</t>
        </is>
      </c>
      <c r="BB1375" t="inlineStr">
        <is>
          <t>9780786418152</t>
        </is>
      </c>
      <c r="BC1375" t="inlineStr">
        <is>
          <t>32285005014567</t>
        </is>
      </c>
      <c r="BD1375" t="inlineStr">
        <is>
          <t>893446210</t>
        </is>
      </c>
    </row>
    <row r="1376">
      <c r="A1376" t="inlineStr">
        <is>
          <t>No</t>
        </is>
      </c>
      <c r="B1376" t="inlineStr">
        <is>
          <t>GV1799 .B62</t>
        </is>
      </c>
      <c r="C1376" t="inlineStr">
        <is>
          <t>0                      GV 1799000B  62</t>
        </is>
      </c>
      <c r="D1376" t="inlineStr">
        <is>
          <t>Creative dance in the first three grades.</t>
        </is>
      </c>
      <c r="F1376" t="inlineStr">
        <is>
          <t>No</t>
        </is>
      </c>
      <c r="G1376" t="inlineStr">
        <is>
          <t>1</t>
        </is>
      </c>
      <c r="H1376" t="inlineStr">
        <is>
          <t>No</t>
        </is>
      </c>
      <c r="I1376" t="inlineStr">
        <is>
          <t>No</t>
        </is>
      </c>
      <c r="J1376" t="inlineStr">
        <is>
          <t>0</t>
        </is>
      </c>
      <c r="K1376" t="inlineStr">
        <is>
          <t>Boorman, Joyce.</t>
        </is>
      </c>
      <c r="L1376" t="inlineStr">
        <is>
          <t>New York : D. McKay Co., [1969]</t>
        </is>
      </c>
      <c r="M1376" t="inlineStr">
        <is>
          <t>1969</t>
        </is>
      </c>
      <c r="N1376" t="inlineStr">
        <is>
          <t>[1st U.S. ed.]</t>
        </is>
      </c>
      <c r="O1376" t="inlineStr">
        <is>
          <t>eng</t>
        </is>
      </c>
      <c r="P1376" t="inlineStr">
        <is>
          <t>nyu</t>
        </is>
      </c>
      <c r="R1376" t="inlineStr">
        <is>
          <t xml:space="preserve">GV </t>
        </is>
      </c>
      <c r="S1376" t="n">
        <v>5</v>
      </c>
      <c r="T1376" t="n">
        <v>5</v>
      </c>
      <c r="U1376" t="inlineStr">
        <is>
          <t>2005-04-01</t>
        </is>
      </c>
      <c r="V1376" t="inlineStr">
        <is>
          <t>2005-04-01</t>
        </is>
      </c>
      <c r="W1376" t="inlineStr">
        <is>
          <t>1992-03-20</t>
        </is>
      </c>
      <c r="X1376" t="inlineStr">
        <is>
          <t>1992-03-20</t>
        </is>
      </c>
      <c r="Y1376" t="n">
        <v>224</v>
      </c>
      <c r="Z1376" t="n">
        <v>203</v>
      </c>
      <c r="AA1376" t="n">
        <v>235</v>
      </c>
      <c r="AB1376" t="n">
        <v>4</v>
      </c>
      <c r="AC1376" t="n">
        <v>4</v>
      </c>
      <c r="AD1376" t="n">
        <v>5</v>
      </c>
      <c r="AE1376" t="n">
        <v>5</v>
      </c>
      <c r="AF1376" t="n">
        <v>1</v>
      </c>
      <c r="AG1376" t="n">
        <v>1</v>
      </c>
      <c r="AH1376" t="n">
        <v>1</v>
      </c>
      <c r="AI1376" t="n">
        <v>1</v>
      </c>
      <c r="AJ1376" t="n">
        <v>1</v>
      </c>
      <c r="AK1376" t="n">
        <v>1</v>
      </c>
      <c r="AL1376" t="n">
        <v>3</v>
      </c>
      <c r="AM1376" t="n">
        <v>3</v>
      </c>
      <c r="AN1376" t="n">
        <v>0</v>
      </c>
      <c r="AO1376" t="n">
        <v>0</v>
      </c>
      <c r="AP1376" t="inlineStr">
        <is>
          <t>No</t>
        </is>
      </c>
      <c r="AQ1376" t="inlineStr">
        <is>
          <t>Yes</t>
        </is>
      </c>
      <c r="AR1376">
        <f>HYPERLINK("http://catalog.hathitrust.org/Record/001278245","HathiTrust Record")</f>
        <v/>
      </c>
      <c r="AS1376">
        <f>HYPERLINK("https://creighton-primo.hosted.exlibrisgroup.com/primo-explore/search?tab=default_tab&amp;search_scope=EVERYTHING&amp;vid=01CRU&amp;lang=en_US&amp;offset=0&amp;query=any,contains,991000087849702656","Catalog Record")</f>
        <v/>
      </c>
      <c r="AT1376">
        <f>HYPERLINK("http://www.worldcat.org/oclc/34380","WorldCat Record")</f>
        <v/>
      </c>
      <c r="AU1376" t="inlineStr">
        <is>
          <t>1193127:eng</t>
        </is>
      </c>
      <c r="AV1376" t="inlineStr">
        <is>
          <t>34380</t>
        </is>
      </c>
      <c r="AW1376" t="inlineStr">
        <is>
          <t>991000087849702656</t>
        </is>
      </c>
      <c r="AX1376" t="inlineStr">
        <is>
          <t>991000087849702656</t>
        </is>
      </c>
      <c r="AY1376" t="inlineStr">
        <is>
          <t>2259917690002656</t>
        </is>
      </c>
      <c r="AZ1376" t="inlineStr">
        <is>
          <t>BOOK</t>
        </is>
      </c>
      <c r="BC1376" t="inlineStr">
        <is>
          <t>32285001024933</t>
        </is>
      </c>
      <c r="BD1376" t="inlineStr">
        <is>
          <t>893589107</t>
        </is>
      </c>
    </row>
    <row r="1377">
      <c r="A1377" t="inlineStr">
        <is>
          <t>No</t>
        </is>
      </c>
      <c r="B1377" t="inlineStr">
        <is>
          <t>GV1799 .J68 1984</t>
        </is>
      </c>
      <c r="C1377" t="inlineStr">
        <is>
          <t>0                      GV 1799000J  68          1984</t>
        </is>
      </c>
      <c r="D1377" t="inlineStr">
        <is>
          <t>Dance technique for children / Mary Joyce.</t>
        </is>
      </c>
      <c r="F1377" t="inlineStr">
        <is>
          <t>No</t>
        </is>
      </c>
      <c r="G1377" t="inlineStr">
        <is>
          <t>1</t>
        </is>
      </c>
      <c r="H1377" t="inlineStr">
        <is>
          <t>No</t>
        </is>
      </c>
      <c r="I1377" t="inlineStr">
        <is>
          <t>No</t>
        </is>
      </c>
      <c r="J1377" t="inlineStr">
        <is>
          <t>0</t>
        </is>
      </c>
      <c r="K1377" t="inlineStr">
        <is>
          <t>Joyce, Mary.</t>
        </is>
      </c>
      <c r="L1377" t="inlineStr">
        <is>
          <t>Palo Alto, Calif. : Mayfield Pub. Co., c1984.</t>
        </is>
      </c>
      <c r="M1377" t="inlineStr">
        <is>
          <t>1984</t>
        </is>
      </c>
      <c r="N1377" t="inlineStr">
        <is>
          <t>1st ed.</t>
        </is>
      </c>
      <c r="O1377" t="inlineStr">
        <is>
          <t>eng</t>
        </is>
      </c>
      <c r="P1377" t="inlineStr">
        <is>
          <t>cau</t>
        </is>
      </c>
      <c r="R1377" t="inlineStr">
        <is>
          <t xml:space="preserve">GV </t>
        </is>
      </c>
      <c r="S1377" t="n">
        <v>7</v>
      </c>
      <c r="T1377" t="n">
        <v>7</v>
      </c>
      <c r="U1377" t="inlineStr">
        <is>
          <t>2008-04-03</t>
        </is>
      </c>
      <c r="V1377" t="inlineStr">
        <is>
          <t>2008-04-03</t>
        </is>
      </c>
      <c r="W1377" t="inlineStr">
        <is>
          <t>1990-04-02</t>
        </is>
      </c>
      <c r="X1377" t="inlineStr">
        <is>
          <t>1990-04-02</t>
        </is>
      </c>
      <c r="Y1377" t="n">
        <v>438</v>
      </c>
      <c r="Z1377" t="n">
        <v>358</v>
      </c>
      <c r="AA1377" t="n">
        <v>364</v>
      </c>
      <c r="AB1377" t="n">
        <v>5</v>
      </c>
      <c r="AC1377" t="n">
        <v>5</v>
      </c>
      <c r="AD1377" t="n">
        <v>7</v>
      </c>
      <c r="AE1377" t="n">
        <v>7</v>
      </c>
      <c r="AF1377" t="n">
        <v>3</v>
      </c>
      <c r="AG1377" t="n">
        <v>3</v>
      </c>
      <c r="AH1377" t="n">
        <v>2</v>
      </c>
      <c r="AI1377" t="n">
        <v>2</v>
      </c>
      <c r="AJ1377" t="n">
        <v>1</v>
      </c>
      <c r="AK1377" t="n">
        <v>1</v>
      </c>
      <c r="AL1377" t="n">
        <v>3</v>
      </c>
      <c r="AM1377" t="n">
        <v>3</v>
      </c>
      <c r="AN1377" t="n">
        <v>0</v>
      </c>
      <c r="AO1377" t="n">
        <v>0</v>
      </c>
      <c r="AP1377" t="inlineStr">
        <is>
          <t>No</t>
        </is>
      </c>
      <c r="AQ1377" t="inlineStr">
        <is>
          <t>Yes</t>
        </is>
      </c>
      <c r="AR1377">
        <f>HYPERLINK("http://catalog.hathitrust.org/Record/000244154","HathiTrust Record")</f>
        <v/>
      </c>
      <c r="AS1377">
        <f>HYPERLINK("https://creighton-primo.hosted.exlibrisgroup.com/primo-explore/search?tab=default_tab&amp;search_scope=EVERYTHING&amp;vid=01CRU&amp;lang=en_US&amp;offset=0&amp;query=any,contains,991000334089702656","Catalog Record")</f>
        <v/>
      </c>
      <c r="AT1377">
        <f>HYPERLINK("http://www.worldcat.org/oclc/10218777","WorldCat Record")</f>
        <v/>
      </c>
      <c r="AU1377" t="inlineStr">
        <is>
          <t>3063934:eng</t>
        </is>
      </c>
      <c r="AV1377" t="inlineStr">
        <is>
          <t>10218777</t>
        </is>
      </c>
      <c r="AW1377" t="inlineStr">
        <is>
          <t>991000334089702656</t>
        </is>
      </c>
      <c r="AX1377" t="inlineStr">
        <is>
          <t>991000334089702656</t>
        </is>
      </c>
      <c r="AY1377" t="inlineStr">
        <is>
          <t>2261903730002656</t>
        </is>
      </c>
      <c r="AZ1377" t="inlineStr">
        <is>
          <t>BOOK</t>
        </is>
      </c>
      <c r="BB1377" t="inlineStr">
        <is>
          <t>9780874845815</t>
        </is>
      </c>
      <c r="BC1377" t="inlineStr">
        <is>
          <t>32285000108299</t>
        </is>
      </c>
      <c r="BD1377" t="inlineStr">
        <is>
          <t>893708287</t>
        </is>
      </c>
    </row>
    <row r="1378">
      <c r="A1378" t="inlineStr">
        <is>
          <t>No</t>
        </is>
      </c>
      <c r="B1378" t="inlineStr">
        <is>
          <t>GV181.4 .L43 2008</t>
        </is>
      </c>
      <c r="C1378" t="inlineStr">
        <is>
          <t>0                      GV 0181400L  43          2008</t>
        </is>
      </c>
      <c r="D1378" t="inlineStr">
        <is>
          <t>The world of recreation and fitness leadership / Patricia M. Leith, Debra L. Austin, Jillian Robertson.</t>
        </is>
      </c>
      <c r="F1378" t="inlineStr">
        <is>
          <t>No</t>
        </is>
      </c>
      <c r="G1378" t="inlineStr">
        <is>
          <t>1</t>
        </is>
      </c>
      <c r="H1378" t="inlineStr">
        <is>
          <t>No</t>
        </is>
      </c>
      <c r="I1378" t="inlineStr">
        <is>
          <t>No</t>
        </is>
      </c>
      <c r="J1378" t="inlineStr">
        <is>
          <t>0</t>
        </is>
      </c>
      <c r="K1378" t="inlineStr">
        <is>
          <t>Leith, Patricia M., 1947-</t>
        </is>
      </c>
      <c r="L1378" t="inlineStr">
        <is>
          <t>Toronto : Sport Books Publisher, c2008.</t>
        </is>
      </c>
      <c r="M1378" t="inlineStr">
        <is>
          <t>2008</t>
        </is>
      </c>
      <c r="O1378" t="inlineStr">
        <is>
          <t>eng</t>
        </is>
      </c>
      <c r="P1378" t="inlineStr">
        <is>
          <t>onc</t>
        </is>
      </c>
      <c r="R1378" t="inlineStr">
        <is>
          <t xml:space="preserve">GV </t>
        </is>
      </c>
      <c r="S1378" t="n">
        <v>1</v>
      </c>
      <c r="T1378" t="n">
        <v>1</v>
      </c>
      <c r="U1378" t="inlineStr">
        <is>
          <t>2009-05-01</t>
        </is>
      </c>
      <c r="V1378" t="inlineStr">
        <is>
          <t>2009-05-01</t>
        </is>
      </c>
      <c r="W1378" t="inlineStr">
        <is>
          <t>2009-03-16</t>
        </is>
      </c>
      <c r="X1378" t="inlineStr">
        <is>
          <t>2009-03-16</t>
        </is>
      </c>
      <c r="Y1378" t="n">
        <v>23</v>
      </c>
      <c r="Z1378" t="n">
        <v>13</v>
      </c>
      <c r="AA1378" t="n">
        <v>13</v>
      </c>
      <c r="AB1378" t="n">
        <v>1</v>
      </c>
      <c r="AC1378" t="n">
        <v>1</v>
      </c>
      <c r="AD1378" t="n">
        <v>0</v>
      </c>
      <c r="AE1378" t="n">
        <v>0</v>
      </c>
      <c r="AF1378" t="n">
        <v>0</v>
      </c>
      <c r="AG1378" t="n">
        <v>0</v>
      </c>
      <c r="AH1378" t="n">
        <v>0</v>
      </c>
      <c r="AI1378" t="n">
        <v>0</v>
      </c>
      <c r="AJ1378" t="n">
        <v>0</v>
      </c>
      <c r="AK1378" t="n">
        <v>0</v>
      </c>
      <c r="AL1378" t="n">
        <v>0</v>
      </c>
      <c r="AM1378" t="n">
        <v>0</v>
      </c>
      <c r="AN1378" t="n">
        <v>0</v>
      </c>
      <c r="AO1378" t="n">
        <v>0</v>
      </c>
      <c r="AP1378" t="inlineStr">
        <is>
          <t>No</t>
        </is>
      </c>
      <c r="AQ1378" t="inlineStr">
        <is>
          <t>No</t>
        </is>
      </c>
      <c r="AS1378">
        <f>HYPERLINK("https://creighton-primo.hosted.exlibrisgroup.com/primo-explore/search?tab=default_tab&amp;search_scope=EVERYTHING&amp;vid=01CRU&amp;lang=en_US&amp;offset=0&amp;query=any,contains,991005298699702656","Catalog Record")</f>
        <v/>
      </c>
      <c r="AT1378">
        <f>HYPERLINK("http://www.worldcat.org/oclc/191759676","WorldCat Record")</f>
        <v/>
      </c>
      <c r="AU1378" t="inlineStr">
        <is>
          <t>4132962496:eng</t>
        </is>
      </c>
      <c r="AV1378" t="inlineStr">
        <is>
          <t>191759676</t>
        </is>
      </c>
      <c r="AW1378" t="inlineStr">
        <is>
          <t>991005298699702656</t>
        </is>
      </c>
      <c r="AX1378" t="inlineStr">
        <is>
          <t>991005298699702656</t>
        </is>
      </c>
      <c r="AY1378" t="inlineStr">
        <is>
          <t>2260288510002656</t>
        </is>
      </c>
      <c r="AZ1378" t="inlineStr">
        <is>
          <t>BOOK</t>
        </is>
      </c>
      <c r="BB1378" t="inlineStr">
        <is>
          <t>9780920905159</t>
        </is>
      </c>
      <c r="BC1378" t="inlineStr">
        <is>
          <t>32285005509442</t>
        </is>
      </c>
      <c r="BD1378" t="inlineStr">
        <is>
          <t>893600950</t>
        </is>
      </c>
    </row>
    <row r="1379">
      <c r="A1379" t="inlineStr">
        <is>
          <t>No</t>
        </is>
      </c>
      <c r="B1379" t="inlineStr">
        <is>
          <t>GV1821.B8 W55 1998</t>
        </is>
      </c>
      <c r="C1379" t="inlineStr">
        <is>
          <t>0                      GV 1821000B  8                  W  55          1998</t>
        </is>
      </c>
      <c r="D1379" t="inlineStr">
        <is>
          <t>Buffalo Bill's Wild West : an American legend / R.L. Wilson with Greg Martin ; photography by Peter Beard and Douglas Sandberg.</t>
        </is>
      </c>
      <c r="F1379" t="inlineStr">
        <is>
          <t>No</t>
        </is>
      </c>
      <c r="G1379" t="inlineStr">
        <is>
          <t>1</t>
        </is>
      </c>
      <c r="H1379" t="inlineStr">
        <is>
          <t>No</t>
        </is>
      </c>
      <c r="I1379" t="inlineStr">
        <is>
          <t>No</t>
        </is>
      </c>
      <c r="J1379" t="inlineStr">
        <is>
          <t>0</t>
        </is>
      </c>
      <c r="K1379" t="inlineStr">
        <is>
          <t>Wilson, R. L. (Robert Lawrence), 1939-</t>
        </is>
      </c>
      <c r="L1379" t="inlineStr">
        <is>
          <t>New York : Random House, c1998.</t>
        </is>
      </c>
      <c r="M1379" t="inlineStr">
        <is>
          <t>1998</t>
        </is>
      </c>
      <c r="N1379" t="inlineStr">
        <is>
          <t>1st ed.</t>
        </is>
      </c>
      <c r="O1379" t="inlineStr">
        <is>
          <t>eng</t>
        </is>
      </c>
      <c r="P1379" t="inlineStr">
        <is>
          <t>nyu</t>
        </is>
      </c>
      <c r="R1379" t="inlineStr">
        <is>
          <t xml:space="preserve">GV </t>
        </is>
      </c>
      <c r="S1379" t="n">
        <v>6</v>
      </c>
      <c r="T1379" t="n">
        <v>6</v>
      </c>
      <c r="U1379" t="inlineStr">
        <is>
          <t>2009-02-19</t>
        </is>
      </c>
      <c r="V1379" t="inlineStr">
        <is>
          <t>2009-02-19</t>
        </is>
      </c>
      <c r="W1379" t="inlineStr">
        <is>
          <t>1999-09-30</t>
        </is>
      </c>
      <c r="X1379" t="inlineStr">
        <is>
          <t>1999-09-30</t>
        </is>
      </c>
      <c r="Y1379" t="n">
        <v>388</v>
      </c>
      <c r="Z1379" t="n">
        <v>379</v>
      </c>
      <c r="AA1379" t="n">
        <v>441</v>
      </c>
      <c r="AB1379" t="n">
        <v>5</v>
      </c>
      <c r="AC1379" t="n">
        <v>7</v>
      </c>
      <c r="AD1379" t="n">
        <v>6</v>
      </c>
      <c r="AE1379" t="n">
        <v>8</v>
      </c>
      <c r="AF1379" t="n">
        <v>1</v>
      </c>
      <c r="AG1379" t="n">
        <v>1</v>
      </c>
      <c r="AH1379" t="n">
        <v>2</v>
      </c>
      <c r="AI1379" t="n">
        <v>2</v>
      </c>
      <c r="AJ1379" t="n">
        <v>2</v>
      </c>
      <c r="AK1379" t="n">
        <v>2</v>
      </c>
      <c r="AL1379" t="n">
        <v>3</v>
      </c>
      <c r="AM1379" t="n">
        <v>5</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HYPERLINK("https://creighton-primo.hosted.exlibrisgroup.com/primo-explore/search?tab=default_tab&amp;search_scope=EVERYTHING&amp;vid=01CRU&amp;lang=en_US&amp;offset=0&amp;query=any,contains,991002912789702656","Catalog Record")</f>
        <v/>
      </c>
      <c r="AT1379">
        <f>HYPERLINK("http://www.worldcat.org/oclc/38519798","WorldCat Record")</f>
        <v/>
      </c>
      <c r="AU1379" t="inlineStr">
        <is>
          <t>17006182:eng</t>
        </is>
      </c>
      <c r="AV1379" t="inlineStr">
        <is>
          <t>38519798</t>
        </is>
      </c>
      <c r="AW1379" t="inlineStr">
        <is>
          <t>991002912789702656</t>
        </is>
      </c>
      <c r="AX1379" t="inlineStr">
        <is>
          <t>991002912789702656</t>
        </is>
      </c>
      <c r="AY1379" t="inlineStr">
        <is>
          <t>2266301800002656</t>
        </is>
      </c>
      <c r="AZ1379" t="inlineStr">
        <is>
          <t>BOOK</t>
        </is>
      </c>
      <c r="BB1379" t="inlineStr">
        <is>
          <t>9780375501067</t>
        </is>
      </c>
      <c r="BC1379" t="inlineStr">
        <is>
          <t>32285003591772</t>
        </is>
      </c>
      <c r="BD1379" t="inlineStr">
        <is>
          <t>893329710</t>
        </is>
      </c>
    </row>
    <row r="1380">
      <c r="A1380" t="inlineStr">
        <is>
          <t>No</t>
        </is>
      </c>
      <c r="B1380" t="inlineStr">
        <is>
          <t>GV1834 .T45 1979</t>
        </is>
      </c>
      <c r="C1380" t="inlineStr">
        <is>
          <t>0                      GV 1834000T  45          1979</t>
        </is>
      </c>
      <c r="D1380" t="inlineStr">
        <is>
          <t>Crackin' out : a rodeo book : photographs / by Ronnie Tessler.</t>
        </is>
      </c>
      <c r="F1380" t="inlineStr">
        <is>
          <t>No</t>
        </is>
      </c>
      <c r="G1380" t="inlineStr">
        <is>
          <t>1</t>
        </is>
      </c>
      <c r="H1380" t="inlineStr">
        <is>
          <t>No</t>
        </is>
      </c>
      <c r="I1380" t="inlineStr">
        <is>
          <t>No</t>
        </is>
      </c>
      <c r="J1380" t="inlineStr">
        <is>
          <t>0</t>
        </is>
      </c>
      <c r="K1380" t="inlineStr">
        <is>
          <t>Tessler, Ronnie, 1944-</t>
        </is>
      </c>
      <c r="L1380" t="inlineStr">
        <is>
          <t>Edmonton : NeWest Press, c1979.</t>
        </is>
      </c>
      <c r="M1380" t="inlineStr">
        <is>
          <t>1979</t>
        </is>
      </c>
      <c r="O1380" t="inlineStr">
        <is>
          <t>eng</t>
        </is>
      </c>
      <c r="P1380" t="inlineStr">
        <is>
          <t>abc</t>
        </is>
      </c>
      <c r="R1380" t="inlineStr">
        <is>
          <t xml:space="preserve">GV </t>
        </is>
      </c>
      <c r="S1380" t="n">
        <v>3</v>
      </c>
      <c r="T1380" t="n">
        <v>3</v>
      </c>
      <c r="U1380" t="inlineStr">
        <is>
          <t>1999-09-27</t>
        </is>
      </c>
      <c r="V1380" t="inlineStr">
        <is>
          <t>1999-09-27</t>
        </is>
      </c>
      <c r="W1380" t="inlineStr">
        <is>
          <t>1999-01-20</t>
        </is>
      </c>
      <c r="X1380" t="inlineStr">
        <is>
          <t>1999-01-20</t>
        </is>
      </c>
      <c r="Y1380" t="n">
        <v>25</v>
      </c>
      <c r="Z1380" t="n">
        <v>10</v>
      </c>
      <c r="AA1380" t="n">
        <v>10</v>
      </c>
      <c r="AB1380" t="n">
        <v>1</v>
      </c>
      <c r="AC1380" t="n">
        <v>1</v>
      </c>
      <c r="AD1380" t="n">
        <v>0</v>
      </c>
      <c r="AE1380" t="n">
        <v>0</v>
      </c>
      <c r="AF1380" t="n">
        <v>0</v>
      </c>
      <c r="AG1380" t="n">
        <v>0</v>
      </c>
      <c r="AH1380" t="n">
        <v>0</v>
      </c>
      <c r="AI1380" t="n">
        <v>0</v>
      </c>
      <c r="AJ1380" t="n">
        <v>0</v>
      </c>
      <c r="AK1380" t="n">
        <v>0</v>
      </c>
      <c r="AL1380" t="n">
        <v>0</v>
      </c>
      <c r="AM1380" t="n">
        <v>0</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HYPERLINK("https://creighton-primo.hosted.exlibrisgroup.com/primo-explore/search?tab=default_tab&amp;search_scope=EVERYTHING&amp;vid=01CRU&amp;lang=en_US&amp;offset=0&amp;query=any,contains,991000590479702656","Catalog Record")</f>
        <v/>
      </c>
      <c r="AT1380">
        <f>HYPERLINK("http://www.worldcat.org/oclc/11784781","WorldCat Record")</f>
        <v/>
      </c>
      <c r="AU1380" t="inlineStr">
        <is>
          <t>4623980:eng</t>
        </is>
      </c>
      <c r="AV1380" t="inlineStr">
        <is>
          <t>11784781</t>
        </is>
      </c>
      <c r="AW1380" t="inlineStr">
        <is>
          <t>991000590479702656</t>
        </is>
      </c>
      <c r="AX1380" t="inlineStr">
        <is>
          <t>991000590479702656</t>
        </is>
      </c>
      <c r="AY1380" t="inlineStr">
        <is>
          <t>2256774790002656</t>
        </is>
      </c>
      <c r="AZ1380" t="inlineStr">
        <is>
          <t>BOOK</t>
        </is>
      </c>
      <c r="BB1380" t="inlineStr">
        <is>
          <t>9780920316320</t>
        </is>
      </c>
      <c r="BC1380" t="inlineStr">
        <is>
          <t>32285003514410</t>
        </is>
      </c>
      <c r="BD1380" t="inlineStr">
        <is>
          <t>893608077</t>
        </is>
      </c>
    </row>
    <row r="1381">
      <c r="A1381" t="inlineStr">
        <is>
          <t>No</t>
        </is>
      </c>
      <c r="B1381" t="inlineStr">
        <is>
          <t>GV1834.55.W82 C49 1997</t>
        </is>
      </c>
      <c r="C1381" t="inlineStr">
        <is>
          <t>0                      GV 1834550W  82                 C  49          1997</t>
        </is>
      </c>
      <c r="D1381" t="inlineStr">
        <is>
          <t>Cheyenne Frontier Days and the Old West Museum : "daddy of 'em all" / Phil Van Horn and John Etchepare.</t>
        </is>
      </c>
      <c r="F1381" t="inlineStr">
        <is>
          <t>No</t>
        </is>
      </c>
      <c r="G1381" t="inlineStr">
        <is>
          <t>1</t>
        </is>
      </c>
      <c r="H1381" t="inlineStr">
        <is>
          <t>No</t>
        </is>
      </c>
      <c r="I1381" t="inlineStr">
        <is>
          <t>No</t>
        </is>
      </c>
      <c r="J1381" t="inlineStr">
        <is>
          <t>0</t>
        </is>
      </c>
      <c r="K1381" t="inlineStr">
        <is>
          <t>Van Horn, Phil, 1952-</t>
        </is>
      </c>
      <c r="L1381" t="inlineStr">
        <is>
          <t>New York : Newcomen Society of the United States, 1997.</t>
        </is>
      </c>
      <c r="M1381" t="inlineStr">
        <is>
          <t>1997</t>
        </is>
      </c>
      <c r="O1381" t="inlineStr">
        <is>
          <t>eng</t>
        </is>
      </c>
      <c r="P1381" t="inlineStr">
        <is>
          <t>nyu</t>
        </is>
      </c>
      <c r="Q1381" t="inlineStr">
        <is>
          <t>Newcomen publication ; no. 1501</t>
        </is>
      </c>
      <c r="R1381" t="inlineStr">
        <is>
          <t xml:space="preserve">GV </t>
        </is>
      </c>
      <c r="S1381" t="n">
        <v>3</v>
      </c>
      <c r="T1381" t="n">
        <v>3</v>
      </c>
      <c r="U1381" t="inlineStr">
        <is>
          <t>1999-09-27</t>
        </is>
      </c>
      <c r="V1381" t="inlineStr">
        <is>
          <t>1999-09-27</t>
        </is>
      </c>
      <c r="W1381" t="inlineStr">
        <is>
          <t>1998-11-10</t>
        </is>
      </c>
      <c r="X1381" t="inlineStr">
        <is>
          <t>1998-11-10</t>
        </is>
      </c>
      <c r="Y1381" t="n">
        <v>197</v>
      </c>
      <c r="Z1381" t="n">
        <v>197</v>
      </c>
      <c r="AA1381" t="n">
        <v>199</v>
      </c>
      <c r="AB1381" t="n">
        <v>6</v>
      </c>
      <c r="AC1381" t="n">
        <v>6</v>
      </c>
      <c r="AD1381" t="n">
        <v>13</v>
      </c>
      <c r="AE1381" t="n">
        <v>13</v>
      </c>
      <c r="AF1381" t="n">
        <v>6</v>
      </c>
      <c r="AG1381" t="n">
        <v>6</v>
      </c>
      <c r="AH1381" t="n">
        <v>1</v>
      </c>
      <c r="AI1381" t="n">
        <v>1</v>
      </c>
      <c r="AJ1381" t="n">
        <v>3</v>
      </c>
      <c r="AK1381" t="n">
        <v>3</v>
      </c>
      <c r="AL1381" t="n">
        <v>5</v>
      </c>
      <c r="AM1381" t="n">
        <v>5</v>
      </c>
      <c r="AN1381" t="n">
        <v>0</v>
      </c>
      <c r="AO1381" t="n">
        <v>0</v>
      </c>
      <c r="AP1381" t="inlineStr">
        <is>
          <t>No</t>
        </is>
      </c>
      <c r="AQ1381" t="inlineStr">
        <is>
          <t>Yes</t>
        </is>
      </c>
      <c r="AR1381">
        <f>HYPERLINK("http://catalog.hathitrust.org/Record/006635069","HathiTrust Record")</f>
        <v/>
      </c>
      <c r="AS1381">
        <f>HYPERLINK("https://creighton-primo.hosted.exlibrisgroup.com/primo-explore/search?tab=default_tab&amp;search_scope=EVERYTHING&amp;vid=01CRU&amp;lang=en_US&amp;offset=0&amp;query=any,contains,991002963369702656","Catalog Record")</f>
        <v/>
      </c>
      <c r="AT1381">
        <f>HYPERLINK("http://www.worldcat.org/oclc/39645800","WorldCat Record")</f>
        <v/>
      </c>
      <c r="AU1381" t="inlineStr">
        <is>
          <t>42602075:eng</t>
        </is>
      </c>
      <c r="AV1381" t="inlineStr">
        <is>
          <t>39645800</t>
        </is>
      </c>
      <c r="AW1381" t="inlineStr">
        <is>
          <t>991002963369702656</t>
        </is>
      </c>
      <c r="AX1381" t="inlineStr">
        <is>
          <t>991002963369702656</t>
        </is>
      </c>
      <c r="AY1381" t="inlineStr">
        <is>
          <t>2266416730002656</t>
        </is>
      </c>
      <c r="AZ1381" t="inlineStr">
        <is>
          <t>BOOK</t>
        </is>
      </c>
      <c r="BC1381" t="inlineStr">
        <is>
          <t>32285003487567</t>
        </is>
      </c>
      <c r="BD1381" t="inlineStr">
        <is>
          <t>893721731</t>
        </is>
      </c>
    </row>
    <row r="1382">
      <c r="A1382" t="inlineStr">
        <is>
          <t>No</t>
        </is>
      </c>
      <c r="B1382" t="inlineStr">
        <is>
          <t>GV184 .V47 2007</t>
        </is>
      </c>
      <c r="C1382" t="inlineStr">
        <is>
          <t>0                      GV 0184000V  47          2007</t>
        </is>
      </c>
      <c r="D1382" t="inlineStr">
        <is>
          <t>Trivia by the dozen : encouraging Interaction and reminiscence in managed care / by Jean Vetter.</t>
        </is>
      </c>
      <c r="F1382" t="inlineStr">
        <is>
          <t>No</t>
        </is>
      </c>
      <c r="G1382" t="inlineStr">
        <is>
          <t>1</t>
        </is>
      </c>
      <c r="H1382" t="inlineStr">
        <is>
          <t>No</t>
        </is>
      </c>
      <c r="I1382" t="inlineStr">
        <is>
          <t>No</t>
        </is>
      </c>
      <c r="J1382" t="inlineStr">
        <is>
          <t>0</t>
        </is>
      </c>
      <c r="K1382" t="inlineStr">
        <is>
          <t>Vetter, Jean.</t>
        </is>
      </c>
      <c r="L1382" t="inlineStr">
        <is>
          <t>State College, PA : Venture Publishing, c2007.</t>
        </is>
      </c>
      <c r="M1382" t="inlineStr">
        <is>
          <t>2007</t>
        </is>
      </c>
      <c r="O1382" t="inlineStr">
        <is>
          <t>eng</t>
        </is>
      </c>
      <c r="P1382" t="inlineStr">
        <is>
          <t>pau</t>
        </is>
      </c>
      <c r="R1382" t="inlineStr">
        <is>
          <t xml:space="preserve">GV </t>
        </is>
      </c>
      <c r="S1382" t="n">
        <v>2</v>
      </c>
      <c r="T1382" t="n">
        <v>2</v>
      </c>
      <c r="U1382" t="inlineStr">
        <is>
          <t>2010-11-09</t>
        </is>
      </c>
      <c r="V1382" t="inlineStr">
        <is>
          <t>2010-11-09</t>
        </is>
      </c>
      <c r="W1382" t="inlineStr">
        <is>
          <t>2008-07-23</t>
        </is>
      </c>
      <c r="X1382" t="inlineStr">
        <is>
          <t>2008-07-23</t>
        </is>
      </c>
      <c r="Y1382" t="n">
        <v>51</v>
      </c>
      <c r="Z1382" t="n">
        <v>38</v>
      </c>
      <c r="AA1382" t="n">
        <v>40</v>
      </c>
      <c r="AB1382" t="n">
        <v>1</v>
      </c>
      <c r="AC1382" t="n">
        <v>1</v>
      </c>
      <c r="AD1382" t="n">
        <v>0</v>
      </c>
      <c r="AE1382" t="n">
        <v>0</v>
      </c>
      <c r="AF1382" t="n">
        <v>0</v>
      </c>
      <c r="AG1382" t="n">
        <v>0</v>
      </c>
      <c r="AH1382" t="n">
        <v>0</v>
      </c>
      <c r="AI1382" t="n">
        <v>0</v>
      </c>
      <c r="AJ1382" t="n">
        <v>0</v>
      </c>
      <c r="AK1382" t="n">
        <v>0</v>
      </c>
      <c r="AL1382" t="n">
        <v>0</v>
      </c>
      <c r="AM1382" t="n">
        <v>0</v>
      </c>
      <c r="AN1382" t="n">
        <v>0</v>
      </c>
      <c r="AO1382" t="n">
        <v>0</v>
      </c>
      <c r="AP1382" t="inlineStr">
        <is>
          <t>No</t>
        </is>
      </c>
      <c r="AQ1382" t="inlineStr">
        <is>
          <t>Yes</t>
        </is>
      </c>
      <c r="AR1382">
        <f>HYPERLINK("http://catalog.hathitrust.org/Record/009821531","HathiTrust Record")</f>
        <v/>
      </c>
      <c r="AS1382">
        <f>HYPERLINK("https://creighton-primo.hosted.exlibrisgroup.com/primo-explore/search?tab=default_tab&amp;search_scope=EVERYTHING&amp;vid=01CRU&amp;lang=en_US&amp;offset=0&amp;query=any,contains,991005218809702656","Catalog Record")</f>
        <v/>
      </c>
      <c r="AT1382">
        <f>HYPERLINK("http://www.worldcat.org/oclc/156823815","WorldCat Record")</f>
        <v/>
      </c>
      <c r="AU1382" t="inlineStr">
        <is>
          <t>105042123:eng</t>
        </is>
      </c>
      <c r="AV1382" t="inlineStr">
        <is>
          <t>156823815</t>
        </is>
      </c>
      <c r="AW1382" t="inlineStr">
        <is>
          <t>991005218809702656</t>
        </is>
      </c>
      <c r="AX1382" t="inlineStr">
        <is>
          <t>991005218809702656</t>
        </is>
      </c>
      <c r="AY1382" t="inlineStr">
        <is>
          <t>2263178560002656</t>
        </is>
      </c>
      <c r="AZ1382" t="inlineStr">
        <is>
          <t>BOOK</t>
        </is>
      </c>
      <c r="BB1382" t="inlineStr">
        <is>
          <t>9781892132680</t>
        </is>
      </c>
      <c r="BC1382" t="inlineStr">
        <is>
          <t>32285005449862</t>
        </is>
      </c>
      <c r="BD1382" t="inlineStr">
        <is>
          <t>893514247</t>
        </is>
      </c>
    </row>
    <row r="1383">
      <c r="A1383" t="inlineStr">
        <is>
          <t>No</t>
        </is>
      </c>
      <c r="B1383" t="inlineStr">
        <is>
          <t>GV1851 .G74 1974</t>
        </is>
      </c>
      <c r="C1383" t="inlineStr">
        <is>
          <t>0                      GV 1851000G  74          1974</t>
        </is>
      </c>
      <c r="D1383" t="inlineStr">
        <is>
          <t>"Step right up, folks!" / Al Griffin.</t>
        </is>
      </c>
      <c r="F1383" t="inlineStr">
        <is>
          <t>No</t>
        </is>
      </c>
      <c r="G1383" t="inlineStr">
        <is>
          <t>1</t>
        </is>
      </c>
      <c r="H1383" t="inlineStr">
        <is>
          <t>No</t>
        </is>
      </c>
      <c r="I1383" t="inlineStr">
        <is>
          <t>No</t>
        </is>
      </c>
      <c r="J1383" t="inlineStr">
        <is>
          <t>0</t>
        </is>
      </c>
      <c r="K1383" t="inlineStr">
        <is>
          <t>Griffin, Al.</t>
        </is>
      </c>
      <c r="L1383" t="inlineStr">
        <is>
          <t>Chicago : H. Regnery Co., [1974]</t>
        </is>
      </c>
      <c r="M1383" t="inlineStr">
        <is>
          <t>1974</t>
        </is>
      </c>
      <c r="O1383" t="inlineStr">
        <is>
          <t>eng</t>
        </is>
      </c>
      <c r="P1383" t="inlineStr">
        <is>
          <t>ilu</t>
        </is>
      </c>
      <c r="R1383" t="inlineStr">
        <is>
          <t xml:space="preserve">GV </t>
        </is>
      </c>
      <c r="S1383" t="n">
        <v>2</v>
      </c>
      <c r="T1383" t="n">
        <v>2</v>
      </c>
      <c r="U1383" t="inlineStr">
        <is>
          <t>2005-04-11</t>
        </is>
      </c>
      <c r="V1383" t="inlineStr">
        <is>
          <t>2005-04-11</t>
        </is>
      </c>
      <c r="W1383" t="inlineStr">
        <is>
          <t>1990-08-03</t>
        </is>
      </c>
      <c r="X1383" t="inlineStr">
        <is>
          <t>1990-08-03</t>
        </is>
      </c>
      <c r="Y1383" t="n">
        <v>348</v>
      </c>
      <c r="Z1383" t="n">
        <v>328</v>
      </c>
      <c r="AA1383" t="n">
        <v>333</v>
      </c>
      <c r="AB1383" t="n">
        <v>2</v>
      </c>
      <c r="AC1383" t="n">
        <v>2</v>
      </c>
      <c r="AD1383" t="n">
        <v>3</v>
      </c>
      <c r="AE1383" t="n">
        <v>3</v>
      </c>
      <c r="AF1383" t="n">
        <v>2</v>
      </c>
      <c r="AG1383" t="n">
        <v>2</v>
      </c>
      <c r="AH1383" t="n">
        <v>0</v>
      </c>
      <c r="AI1383" t="n">
        <v>0</v>
      </c>
      <c r="AJ1383" t="n">
        <v>1</v>
      </c>
      <c r="AK1383" t="n">
        <v>1</v>
      </c>
      <c r="AL1383" t="n">
        <v>1</v>
      </c>
      <c r="AM1383" t="n">
        <v>1</v>
      </c>
      <c r="AN1383" t="n">
        <v>0</v>
      </c>
      <c r="AO1383" t="n">
        <v>0</v>
      </c>
      <c r="AP1383" t="inlineStr">
        <is>
          <t>No</t>
        </is>
      </c>
      <c r="AQ1383" t="inlineStr">
        <is>
          <t>No</t>
        </is>
      </c>
      <c r="AS1383">
        <f>HYPERLINK("https://creighton-primo.hosted.exlibrisgroup.com/primo-explore/search?tab=default_tab&amp;search_scope=EVERYTHING&amp;vid=01CRU&amp;lang=en_US&amp;offset=0&amp;query=any,contains,991003225159702656","Catalog Record")</f>
        <v/>
      </c>
      <c r="AT1383">
        <f>HYPERLINK("http://www.worldcat.org/oclc/749850","WorldCat Record")</f>
        <v/>
      </c>
      <c r="AU1383" t="inlineStr">
        <is>
          <t>1832588:eng</t>
        </is>
      </c>
      <c r="AV1383" t="inlineStr">
        <is>
          <t>749850</t>
        </is>
      </c>
      <c r="AW1383" t="inlineStr">
        <is>
          <t>991003225159702656</t>
        </is>
      </c>
      <c r="AX1383" t="inlineStr">
        <is>
          <t>991003225159702656</t>
        </is>
      </c>
      <c r="AY1383" t="inlineStr">
        <is>
          <t>2255338500002656</t>
        </is>
      </c>
      <c r="AZ1383" t="inlineStr">
        <is>
          <t>BOOK</t>
        </is>
      </c>
      <c r="BB1383" t="inlineStr">
        <is>
          <t>9780809290352</t>
        </is>
      </c>
      <c r="BC1383" t="inlineStr">
        <is>
          <t>32285000266550</t>
        </is>
      </c>
      <c r="BD1383" t="inlineStr">
        <is>
          <t>893441039</t>
        </is>
      </c>
    </row>
    <row r="1384">
      <c r="A1384" t="inlineStr">
        <is>
          <t>No</t>
        </is>
      </c>
      <c r="B1384" t="inlineStr">
        <is>
          <t>GV1853.2 .A43 1991</t>
        </is>
      </c>
      <c r="C1384" t="inlineStr">
        <is>
          <t>0                      GV 1853200A  43          1991</t>
        </is>
      </c>
      <c r="D1384" t="inlineStr">
        <is>
          <t>The American amusement park industry : a history of technology and thrills / Judith A. Adams.</t>
        </is>
      </c>
      <c r="F1384" t="inlineStr">
        <is>
          <t>No</t>
        </is>
      </c>
      <c r="G1384" t="inlineStr">
        <is>
          <t>1</t>
        </is>
      </c>
      <c r="H1384" t="inlineStr">
        <is>
          <t>No</t>
        </is>
      </c>
      <c r="I1384" t="inlineStr">
        <is>
          <t>No</t>
        </is>
      </c>
      <c r="J1384" t="inlineStr">
        <is>
          <t>0</t>
        </is>
      </c>
      <c r="K1384" t="inlineStr">
        <is>
          <t>Adams-Volpe, Judith.</t>
        </is>
      </c>
      <c r="L1384" t="inlineStr">
        <is>
          <t>Boston : Twayne Publishers, c1991.</t>
        </is>
      </c>
      <c r="M1384" t="inlineStr">
        <is>
          <t>1991</t>
        </is>
      </c>
      <c r="O1384" t="inlineStr">
        <is>
          <t>eng</t>
        </is>
      </c>
      <c r="P1384" t="inlineStr">
        <is>
          <t>mau</t>
        </is>
      </c>
      <c r="Q1384" t="inlineStr">
        <is>
          <t>Twayne's evolution of American business series ; no. 7</t>
        </is>
      </c>
      <c r="R1384" t="inlineStr">
        <is>
          <t xml:space="preserve">GV </t>
        </is>
      </c>
      <c r="S1384" t="n">
        <v>10</v>
      </c>
      <c r="T1384" t="n">
        <v>10</v>
      </c>
      <c r="U1384" t="inlineStr">
        <is>
          <t>2007-03-23</t>
        </is>
      </c>
      <c r="V1384" t="inlineStr">
        <is>
          <t>2007-03-23</t>
        </is>
      </c>
      <c r="W1384" t="inlineStr">
        <is>
          <t>1991-05-14</t>
        </is>
      </c>
      <c r="X1384" t="inlineStr">
        <is>
          <t>1991-05-14</t>
        </is>
      </c>
      <c r="Y1384" t="n">
        <v>520</v>
      </c>
      <c r="Z1384" t="n">
        <v>466</v>
      </c>
      <c r="AA1384" t="n">
        <v>470</v>
      </c>
      <c r="AB1384" t="n">
        <v>2</v>
      </c>
      <c r="AC1384" t="n">
        <v>2</v>
      </c>
      <c r="AD1384" t="n">
        <v>16</v>
      </c>
      <c r="AE1384" t="n">
        <v>16</v>
      </c>
      <c r="AF1384" t="n">
        <v>6</v>
      </c>
      <c r="AG1384" t="n">
        <v>6</v>
      </c>
      <c r="AH1384" t="n">
        <v>5</v>
      </c>
      <c r="AI1384" t="n">
        <v>5</v>
      </c>
      <c r="AJ1384" t="n">
        <v>10</v>
      </c>
      <c r="AK1384" t="n">
        <v>10</v>
      </c>
      <c r="AL1384" t="n">
        <v>1</v>
      </c>
      <c r="AM1384" t="n">
        <v>1</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HYPERLINK("https://creighton-primo.hosted.exlibrisgroup.com/primo-explore/search?tab=default_tab&amp;search_scope=EVERYTHING&amp;vid=01CRU&amp;lang=en_US&amp;offset=0&amp;query=any,contains,991001792189702656","Catalog Record")</f>
        <v/>
      </c>
      <c r="AT1384">
        <f>HYPERLINK("http://www.worldcat.org/oclc/22544797","WorldCat Record")</f>
        <v/>
      </c>
      <c r="AU1384" t="inlineStr">
        <is>
          <t>686072295:eng</t>
        </is>
      </c>
      <c r="AV1384" t="inlineStr">
        <is>
          <t>22544797</t>
        </is>
      </c>
      <c r="AW1384" t="inlineStr">
        <is>
          <t>991001792189702656</t>
        </is>
      </c>
      <c r="AX1384" t="inlineStr">
        <is>
          <t>991001792189702656</t>
        </is>
      </c>
      <c r="AY1384" t="inlineStr">
        <is>
          <t>2270350480002656</t>
        </is>
      </c>
      <c r="AZ1384" t="inlineStr">
        <is>
          <t>BOOK</t>
        </is>
      </c>
      <c r="BB1384" t="inlineStr">
        <is>
          <t>9780805798227</t>
        </is>
      </c>
      <c r="BC1384" t="inlineStr">
        <is>
          <t>32285000573195</t>
        </is>
      </c>
      <c r="BD1384" t="inlineStr">
        <is>
          <t>893898066</t>
        </is>
      </c>
    </row>
    <row r="1385">
      <c r="A1385" t="inlineStr">
        <is>
          <t>No</t>
        </is>
      </c>
      <c r="B1385" t="inlineStr">
        <is>
          <t>GV199.44.E85 C63 1997</t>
        </is>
      </c>
      <c r="C1385" t="inlineStr">
        <is>
          <t>0                      GV 0199440E  85                 C  63          1997</t>
        </is>
      </c>
      <c r="D1385" t="inlineStr">
        <is>
          <t>Everest : mountain without mercy / Broughton Coburn ; introduction by Tim Cahill ; afterword by David Breashears.</t>
        </is>
      </c>
      <c r="F1385" t="inlineStr">
        <is>
          <t>No</t>
        </is>
      </c>
      <c r="G1385" t="inlineStr">
        <is>
          <t>1</t>
        </is>
      </c>
      <c r="H1385" t="inlineStr">
        <is>
          <t>No</t>
        </is>
      </c>
      <c r="I1385" t="inlineStr">
        <is>
          <t>No</t>
        </is>
      </c>
      <c r="J1385" t="inlineStr">
        <is>
          <t>0</t>
        </is>
      </c>
      <c r="K1385" t="inlineStr">
        <is>
          <t>Coburn, Broughton, 1951-</t>
        </is>
      </c>
      <c r="L1385" t="inlineStr">
        <is>
          <t>[Washington, D.C.] : National Geographic Society, c1997.</t>
        </is>
      </c>
      <c r="M1385" t="inlineStr">
        <is>
          <t>1997</t>
        </is>
      </c>
      <c r="O1385" t="inlineStr">
        <is>
          <t>eng</t>
        </is>
      </c>
      <c r="P1385" t="inlineStr">
        <is>
          <t>dcu</t>
        </is>
      </c>
      <c r="R1385" t="inlineStr">
        <is>
          <t xml:space="preserve">GV </t>
        </is>
      </c>
      <c r="S1385" t="n">
        <v>11</v>
      </c>
      <c r="T1385" t="n">
        <v>11</v>
      </c>
      <c r="U1385" t="inlineStr">
        <is>
          <t>2001-01-28</t>
        </is>
      </c>
      <c r="V1385" t="inlineStr">
        <is>
          <t>2001-01-28</t>
        </is>
      </c>
      <c r="W1385" t="inlineStr">
        <is>
          <t>1997-11-05</t>
        </is>
      </c>
      <c r="X1385" t="inlineStr">
        <is>
          <t>1997-11-05</t>
        </is>
      </c>
      <c r="Y1385" t="n">
        <v>1295</v>
      </c>
      <c r="Z1385" t="n">
        <v>1201</v>
      </c>
      <c r="AA1385" t="n">
        <v>1256</v>
      </c>
      <c r="AB1385" t="n">
        <v>13</v>
      </c>
      <c r="AC1385" t="n">
        <v>13</v>
      </c>
      <c r="AD1385" t="n">
        <v>10</v>
      </c>
      <c r="AE1385" t="n">
        <v>10</v>
      </c>
      <c r="AF1385" t="n">
        <v>3</v>
      </c>
      <c r="AG1385" t="n">
        <v>3</v>
      </c>
      <c r="AH1385" t="n">
        <v>1</v>
      </c>
      <c r="AI1385" t="n">
        <v>1</v>
      </c>
      <c r="AJ1385" t="n">
        <v>6</v>
      </c>
      <c r="AK1385" t="n">
        <v>6</v>
      </c>
      <c r="AL1385" t="n">
        <v>2</v>
      </c>
      <c r="AM1385" t="n">
        <v>2</v>
      </c>
      <c r="AN1385" t="n">
        <v>0</v>
      </c>
      <c r="AO1385" t="n">
        <v>0</v>
      </c>
      <c r="AP1385" t="inlineStr">
        <is>
          <t>No</t>
        </is>
      </c>
      <c r="AQ1385" t="inlineStr">
        <is>
          <t>Yes</t>
        </is>
      </c>
      <c r="AR1385">
        <f>HYPERLINK("http://catalog.hathitrust.org/Record/003953323","HathiTrust Record")</f>
        <v/>
      </c>
      <c r="AS1385">
        <f>HYPERLINK("https://creighton-primo.hosted.exlibrisgroup.com/primo-explore/search?tab=default_tab&amp;search_scope=EVERYTHING&amp;vid=01CRU&amp;lang=en_US&amp;offset=0&amp;query=any,contains,991002793179702656","Catalog Record")</f>
        <v/>
      </c>
      <c r="AT1385">
        <f>HYPERLINK("http://www.worldcat.org/oclc/36675993","WorldCat Record")</f>
        <v/>
      </c>
      <c r="AU1385" t="inlineStr">
        <is>
          <t>606880:eng</t>
        </is>
      </c>
      <c r="AV1385" t="inlineStr">
        <is>
          <t>36675993</t>
        </is>
      </c>
      <c r="AW1385" t="inlineStr">
        <is>
          <t>991002793179702656</t>
        </is>
      </c>
      <c r="AX1385" t="inlineStr">
        <is>
          <t>991002793179702656</t>
        </is>
      </c>
      <c r="AY1385" t="inlineStr">
        <is>
          <t>2260376650002656</t>
        </is>
      </c>
      <c r="AZ1385" t="inlineStr">
        <is>
          <t>BOOK</t>
        </is>
      </c>
      <c r="BB1385" t="inlineStr">
        <is>
          <t>9780792270140</t>
        </is>
      </c>
      <c r="BC1385" t="inlineStr">
        <is>
          <t>32285003276184</t>
        </is>
      </c>
      <c r="BD1385" t="inlineStr">
        <is>
          <t>893692007</t>
        </is>
      </c>
    </row>
    <row r="1386">
      <c r="A1386" t="inlineStr">
        <is>
          <t>No</t>
        </is>
      </c>
      <c r="B1386" t="inlineStr">
        <is>
          <t>GV199.44.H55 V54 2003</t>
        </is>
      </c>
      <c r="C1386" t="inlineStr">
        <is>
          <t>0                      GV 0199440H  55                 V  54          2003</t>
        </is>
      </c>
      <c r="D1386" t="inlineStr">
        <is>
          <t>Himalayan quest / Ed Viesturs with Peter Potterfield.</t>
        </is>
      </c>
      <c r="F1386" t="inlineStr">
        <is>
          <t>No</t>
        </is>
      </c>
      <c r="G1386" t="inlineStr">
        <is>
          <t>1</t>
        </is>
      </c>
      <c r="H1386" t="inlineStr">
        <is>
          <t>No</t>
        </is>
      </c>
      <c r="I1386" t="inlineStr">
        <is>
          <t>No</t>
        </is>
      </c>
      <c r="J1386" t="inlineStr">
        <is>
          <t>0</t>
        </is>
      </c>
      <c r="K1386" t="inlineStr">
        <is>
          <t>Viesturs, Ed.</t>
        </is>
      </c>
      <c r="L1386" t="inlineStr">
        <is>
          <t>Washington, D.C. : National Geographic, c2003.</t>
        </is>
      </c>
      <c r="M1386" t="inlineStr">
        <is>
          <t>2003</t>
        </is>
      </c>
      <c r="O1386" t="inlineStr">
        <is>
          <t>eng</t>
        </is>
      </c>
      <c r="P1386" t="inlineStr">
        <is>
          <t>dcu</t>
        </is>
      </c>
      <c r="R1386" t="inlineStr">
        <is>
          <t xml:space="preserve">GV </t>
        </is>
      </c>
      <c r="S1386" t="n">
        <v>1</v>
      </c>
      <c r="T1386" t="n">
        <v>1</v>
      </c>
      <c r="U1386" t="inlineStr">
        <is>
          <t>2003-03-05</t>
        </is>
      </c>
      <c r="V1386" t="inlineStr">
        <is>
          <t>2003-03-05</t>
        </is>
      </c>
      <c r="W1386" t="inlineStr">
        <is>
          <t>2003-03-05</t>
        </is>
      </c>
      <c r="X1386" t="inlineStr">
        <is>
          <t>2003-03-05</t>
        </is>
      </c>
      <c r="Y1386" t="n">
        <v>239</v>
      </c>
      <c r="Z1386" t="n">
        <v>217</v>
      </c>
      <c r="AA1386" t="n">
        <v>272</v>
      </c>
      <c r="AB1386" t="n">
        <v>1</v>
      </c>
      <c r="AC1386" t="n">
        <v>2</v>
      </c>
      <c r="AD1386" t="n">
        <v>0</v>
      </c>
      <c r="AE1386" t="n">
        <v>0</v>
      </c>
      <c r="AF1386" t="n">
        <v>0</v>
      </c>
      <c r="AG1386" t="n">
        <v>0</v>
      </c>
      <c r="AH1386" t="n">
        <v>0</v>
      </c>
      <c r="AI1386" t="n">
        <v>0</v>
      </c>
      <c r="AJ1386" t="n">
        <v>0</v>
      </c>
      <c r="AK1386" t="n">
        <v>0</v>
      </c>
      <c r="AL1386" t="n">
        <v>0</v>
      </c>
      <c r="AM1386" t="n">
        <v>0</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HYPERLINK("https://creighton-primo.hosted.exlibrisgroup.com/primo-explore/search?tab=default_tab&amp;search_scope=EVERYTHING&amp;vid=01CRU&amp;lang=en_US&amp;offset=0&amp;query=any,contains,991004006149702656","Catalog Record")</f>
        <v/>
      </c>
      <c r="AT1386">
        <f>HYPERLINK("http://www.worldcat.org/oclc/50906048","WorldCat Record")</f>
        <v/>
      </c>
      <c r="AU1386" t="inlineStr">
        <is>
          <t>1074517:eng</t>
        </is>
      </c>
      <c r="AV1386" t="inlineStr">
        <is>
          <t>50906048</t>
        </is>
      </c>
      <c r="AW1386" t="inlineStr">
        <is>
          <t>991004006149702656</t>
        </is>
      </c>
      <c r="AX1386" t="inlineStr">
        <is>
          <t>991004006149702656</t>
        </is>
      </c>
      <c r="AY1386" t="inlineStr">
        <is>
          <t>2260024460002656</t>
        </is>
      </c>
      <c r="AZ1386" t="inlineStr">
        <is>
          <t>BOOK</t>
        </is>
      </c>
      <c r="BB1386" t="inlineStr">
        <is>
          <t>9780792268840</t>
        </is>
      </c>
      <c r="BC1386" t="inlineStr">
        <is>
          <t>32285004682612</t>
        </is>
      </c>
      <c r="BD1386" t="inlineStr">
        <is>
          <t>893417114</t>
        </is>
      </c>
    </row>
    <row r="1387">
      <c r="A1387" t="inlineStr">
        <is>
          <t>No</t>
        </is>
      </c>
      <c r="B1387" t="inlineStr">
        <is>
          <t>GV199.5 .Y36 1983</t>
        </is>
      </c>
      <c r="C1387" t="inlineStr">
        <is>
          <t>0                      GV 0199500Y  36          1983</t>
        </is>
      </c>
      <c r="D1387" t="inlineStr">
        <is>
          <t>The complete book of exercisewalking / Gary D. Yanker.</t>
        </is>
      </c>
      <c r="F1387" t="inlineStr">
        <is>
          <t>No</t>
        </is>
      </c>
      <c r="G1387" t="inlineStr">
        <is>
          <t>1</t>
        </is>
      </c>
      <c r="H1387" t="inlineStr">
        <is>
          <t>No</t>
        </is>
      </c>
      <c r="I1387" t="inlineStr">
        <is>
          <t>No</t>
        </is>
      </c>
      <c r="J1387" t="inlineStr">
        <is>
          <t>0</t>
        </is>
      </c>
      <c r="K1387" t="inlineStr">
        <is>
          <t>Yanker, Gary.</t>
        </is>
      </c>
      <c r="L1387" t="inlineStr">
        <is>
          <t>Chicago : Contemporary Books, c1983.</t>
        </is>
      </c>
      <c r="M1387" t="inlineStr">
        <is>
          <t>1983</t>
        </is>
      </c>
      <c r="O1387" t="inlineStr">
        <is>
          <t>eng</t>
        </is>
      </c>
      <c r="P1387" t="inlineStr">
        <is>
          <t>ilu</t>
        </is>
      </c>
      <c r="R1387" t="inlineStr">
        <is>
          <t xml:space="preserve">GV </t>
        </is>
      </c>
      <c r="S1387" t="n">
        <v>7</v>
      </c>
      <c r="T1387" t="n">
        <v>7</v>
      </c>
      <c r="U1387" t="inlineStr">
        <is>
          <t>2008-02-24</t>
        </is>
      </c>
      <c r="V1387" t="inlineStr">
        <is>
          <t>2008-02-24</t>
        </is>
      </c>
      <c r="W1387" t="inlineStr">
        <is>
          <t>1990-08-03</t>
        </is>
      </c>
      <c r="X1387" t="inlineStr">
        <is>
          <t>1990-08-03</t>
        </is>
      </c>
      <c r="Y1387" t="n">
        <v>362</v>
      </c>
      <c r="Z1387" t="n">
        <v>342</v>
      </c>
      <c r="AA1387" t="n">
        <v>348</v>
      </c>
      <c r="AB1387" t="n">
        <v>4</v>
      </c>
      <c r="AC1387" t="n">
        <v>4</v>
      </c>
      <c r="AD1387" t="n">
        <v>1</v>
      </c>
      <c r="AE1387" t="n">
        <v>1</v>
      </c>
      <c r="AF1387" t="n">
        <v>0</v>
      </c>
      <c r="AG1387" t="n">
        <v>0</v>
      </c>
      <c r="AH1387" t="n">
        <v>0</v>
      </c>
      <c r="AI1387" t="n">
        <v>0</v>
      </c>
      <c r="AJ1387" t="n">
        <v>0</v>
      </c>
      <c r="AK1387" t="n">
        <v>0</v>
      </c>
      <c r="AL1387" t="n">
        <v>1</v>
      </c>
      <c r="AM1387" t="n">
        <v>1</v>
      </c>
      <c r="AN1387" t="n">
        <v>0</v>
      </c>
      <c r="AO1387" t="n">
        <v>0</v>
      </c>
      <c r="AP1387" t="inlineStr">
        <is>
          <t>No</t>
        </is>
      </c>
      <c r="AQ1387" t="inlineStr">
        <is>
          <t>Yes</t>
        </is>
      </c>
      <c r="AR1387">
        <f>HYPERLINK("http://catalog.hathitrust.org/Record/100670886","HathiTrust Record")</f>
        <v/>
      </c>
      <c r="AS1387">
        <f>HYPERLINK("https://creighton-primo.hosted.exlibrisgroup.com/primo-explore/search?tab=default_tab&amp;search_scope=EVERYTHING&amp;vid=01CRU&amp;lang=en_US&amp;offset=0&amp;query=any,contains,991000170239702656","Catalog Record")</f>
        <v/>
      </c>
      <c r="AT1387">
        <f>HYPERLINK("http://www.worldcat.org/oclc/9323469","WorldCat Record")</f>
        <v/>
      </c>
      <c r="AU1387" t="inlineStr">
        <is>
          <t>20541039:eng</t>
        </is>
      </c>
      <c r="AV1387" t="inlineStr">
        <is>
          <t>9323469</t>
        </is>
      </c>
      <c r="AW1387" t="inlineStr">
        <is>
          <t>991000170239702656</t>
        </is>
      </c>
      <c r="AX1387" t="inlineStr">
        <is>
          <t>991000170239702656</t>
        </is>
      </c>
      <c r="AY1387" t="inlineStr">
        <is>
          <t>2257964820002656</t>
        </is>
      </c>
      <c r="AZ1387" t="inlineStr">
        <is>
          <t>BOOK</t>
        </is>
      </c>
      <c r="BB1387" t="inlineStr">
        <is>
          <t>9780809255351</t>
        </is>
      </c>
      <c r="BC1387" t="inlineStr">
        <is>
          <t>32285000264845</t>
        </is>
      </c>
      <c r="BD1387" t="inlineStr">
        <is>
          <t>893701892</t>
        </is>
      </c>
    </row>
    <row r="1388">
      <c r="A1388" t="inlineStr">
        <is>
          <t>No</t>
        </is>
      </c>
      <c r="B1388" t="inlineStr">
        <is>
          <t>GV199.6 .H37</t>
        </is>
      </c>
      <c r="C1388" t="inlineStr">
        <is>
          <t>0                      GV 0199600H  37</t>
        </is>
      </c>
      <c r="D1388" t="inlineStr">
        <is>
          <t>Walking softly in the wilderness : the Sierra Club guide to backpacking / John Hart.</t>
        </is>
      </c>
      <c r="F1388" t="inlineStr">
        <is>
          <t>No</t>
        </is>
      </c>
      <c r="G1388" t="inlineStr">
        <is>
          <t>1</t>
        </is>
      </c>
      <c r="H1388" t="inlineStr">
        <is>
          <t>No</t>
        </is>
      </c>
      <c r="I1388" t="inlineStr">
        <is>
          <t>No</t>
        </is>
      </c>
      <c r="J1388" t="inlineStr">
        <is>
          <t>0</t>
        </is>
      </c>
      <c r="K1388" t="inlineStr">
        <is>
          <t>Hart, John, 1948-</t>
        </is>
      </c>
      <c r="L1388" t="inlineStr">
        <is>
          <t>San Francisco : Sierra Club Books, 1977.</t>
        </is>
      </c>
      <c r="M1388" t="inlineStr">
        <is>
          <t>1977</t>
        </is>
      </c>
      <c r="O1388" t="inlineStr">
        <is>
          <t>eng</t>
        </is>
      </c>
      <c r="P1388" t="inlineStr">
        <is>
          <t>cau</t>
        </is>
      </c>
      <c r="R1388" t="inlineStr">
        <is>
          <t xml:space="preserve">GV </t>
        </is>
      </c>
      <c r="S1388" t="n">
        <v>3</v>
      </c>
      <c r="T1388" t="n">
        <v>3</v>
      </c>
      <c r="U1388" t="inlineStr">
        <is>
          <t>2007-02-14</t>
        </is>
      </c>
      <c r="V1388" t="inlineStr">
        <is>
          <t>2007-02-14</t>
        </is>
      </c>
      <c r="W1388" t="inlineStr">
        <is>
          <t>1997-06-20</t>
        </is>
      </c>
      <c r="X1388" t="inlineStr">
        <is>
          <t>1997-06-20</t>
        </is>
      </c>
      <c r="Y1388" t="n">
        <v>693</v>
      </c>
      <c r="Z1388" t="n">
        <v>656</v>
      </c>
      <c r="AA1388" t="n">
        <v>1350</v>
      </c>
      <c r="AB1388" t="n">
        <v>6</v>
      </c>
      <c r="AC1388" t="n">
        <v>10</v>
      </c>
      <c r="AD1388" t="n">
        <v>14</v>
      </c>
      <c r="AE1388" t="n">
        <v>18</v>
      </c>
      <c r="AF1388" t="n">
        <v>6</v>
      </c>
      <c r="AG1388" t="n">
        <v>8</v>
      </c>
      <c r="AH1388" t="n">
        <v>2</v>
      </c>
      <c r="AI1388" t="n">
        <v>3</v>
      </c>
      <c r="AJ1388" t="n">
        <v>6</v>
      </c>
      <c r="AK1388" t="n">
        <v>7</v>
      </c>
      <c r="AL1388" t="n">
        <v>3</v>
      </c>
      <c r="AM1388" t="n">
        <v>4</v>
      </c>
      <c r="AN1388" t="n">
        <v>0</v>
      </c>
      <c r="AO1388" t="n">
        <v>0</v>
      </c>
      <c r="AP1388" t="inlineStr">
        <is>
          <t>No</t>
        </is>
      </c>
      <c r="AQ1388" t="inlineStr">
        <is>
          <t>No</t>
        </is>
      </c>
      <c r="AS1388">
        <f>HYPERLINK("https://creighton-primo.hosted.exlibrisgroup.com/primo-explore/search?tab=default_tab&amp;search_scope=EVERYTHING&amp;vid=01CRU&amp;lang=en_US&amp;offset=0&amp;query=any,contains,991004077609702656","Catalog Record")</f>
        <v/>
      </c>
      <c r="AT1388">
        <f>HYPERLINK("http://www.worldcat.org/oclc/2318465","WorldCat Record")</f>
        <v/>
      </c>
      <c r="AU1388" t="inlineStr">
        <is>
          <t>4655563:eng</t>
        </is>
      </c>
      <c r="AV1388" t="inlineStr">
        <is>
          <t>2318465</t>
        </is>
      </c>
      <c r="AW1388" t="inlineStr">
        <is>
          <t>991004077609702656</t>
        </is>
      </c>
      <c r="AX1388" t="inlineStr">
        <is>
          <t>991004077609702656</t>
        </is>
      </c>
      <c r="AY1388" t="inlineStr">
        <is>
          <t>2266412020002656</t>
        </is>
      </c>
      <c r="AZ1388" t="inlineStr">
        <is>
          <t>BOOK</t>
        </is>
      </c>
      <c r="BB1388" t="inlineStr">
        <is>
          <t>9780871561916</t>
        </is>
      </c>
      <c r="BC1388" t="inlineStr">
        <is>
          <t>32285002769502</t>
        </is>
      </c>
      <c r="BD1388" t="inlineStr">
        <is>
          <t>893882038</t>
        </is>
      </c>
    </row>
    <row r="1389">
      <c r="A1389" t="inlineStr">
        <is>
          <t>No</t>
        </is>
      </c>
      <c r="B1389" t="inlineStr">
        <is>
          <t>GV199.9 .J67 2005</t>
        </is>
      </c>
      <c r="C1389" t="inlineStr">
        <is>
          <t>0                      GV 0199900J  67          2005</t>
        </is>
      </c>
      <c r="D1389" t="inlineStr">
        <is>
          <t>Savage summit : the true stories of the first five women who climbed K2, the world's most feared mountain / Jennifer Jordan.</t>
        </is>
      </c>
      <c r="F1389" t="inlineStr">
        <is>
          <t>No</t>
        </is>
      </c>
      <c r="G1389" t="inlineStr">
        <is>
          <t>1</t>
        </is>
      </c>
      <c r="H1389" t="inlineStr">
        <is>
          <t>No</t>
        </is>
      </c>
      <c r="I1389" t="inlineStr">
        <is>
          <t>No</t>
        </is>
      </c>
      <c r="J1389" t="inlineStr">
        <is>
          <t>0</t>
        </is>
      </c>
      <c r="K1389" t="inlineStr">
        <is>
          <t>Jordan, Jennifer, 1958-</t>
        </is>
      </c>
      <c r="L1389" t="inlineStr">
        <is>
          <t>New York : William Morrow, c2005.</t>
        </is>
      </c>
      <c r="M1389" t="inlineStr">
        <is>
          <t>2005</t>
        </is>
      </c>
      <c r="N1389" t="inlineStr">
        <is>
          <t>1st ed.</t>
        </is>
      </c>
      <c r="O1389" t="inlineStr">
        <is>
          <t>eng</t>
        </is>
      </c>
      <c r="P1389" t="inlineStr">
        <is>
          <t>nyu</t>
        </is>
      </c>
      <c r="R1389" t="inlineStr">
        <is>
          <t xml:space="preserve">GV </t>
        </is>
      </c>
      <c r="S1389" t="n">
        <v>2</v>
      </c>
      <c r="T1389" t="n">
        <v>2</v>
      </c>
      <c r="U1389" t="inlineStr">
        <is>
          <t>2005-11-01</t>
        </is>
      </c>
      <c r="V1389" t="inlineStr">
        <is>
          <t>2005-11-01</t>
        </is>
      </c>
      <c r="W1389" t="inlineStr">
        <is>
          <t>2005-01-31</t>
        </is>
      </c>
      <c r="X1389" t="inlineStr">
        <is>
          <t>2005-01-31</t>
        </is>
      </c>
      <c r="Y1389" t="n">
        <v>685</v>
      </c>
      <c r="Z1389" t="n">
        <v>640</v>
      </c>
      <c r="AA1389" t="n">
        <v>700</v>
      </c>
      <c r="AB1389" t="n">
        <v>4</v>
      </c>
      <c r="AC1389" t="n">
        <v>4</v>
      </c>
      <c r="AD1389" t="n">
        <v>6</v>
      </c>
      <c r="AE1389" t="n">
        <v>6</v>
      </c>
      <c r="AF1389" t="n">
        <v>2</v>
      </c>
      <c r="AG1389" t="n">
        <v>2</v>
      </c>
      <c r="AH1389" t="n">
        <v>2</v>
      </c>
      <c r="AI1389" t="n">
        <v>2</v>
      </c>
      <c r="AJ1389" t="n">
        <v>4</v>
      </c>
      <c r="AK1389" t="n">
        <v>4</v>
      </c>
      <c r="AL1389" t="n">
        <v>1</v>
      </c>
      <c r="AM1389" t="n">
        <v>1</v>
      </c>
      <c r="AN1389" t="n">
        <v>0</v>
      </c>
      <c r="AO1389" t="n">
        <v>0</v>
      </c>
      <c r="AP1389" t="inlineStr">
        <is>
          <t>No</t>
        </is>
      </c>
      <c r="AQ1389" t="inlineStr">
        <is>
          <t>No</t>
        </is>
      </c>
      <c r="AS1389">
        <f>HYPERLINK("https://creighton-primo.hosted.exlibrisgroup.com/primo-explore/search?tab=default_tab&amp;search_scope=EVERYTHING&amp;vid=01CRU&amp;lang=en_US&amp;offset=0&amp;query=any,contains,991004455169702656","Catalog Record")</f>
        <v/>
      </c>
      <c r="AT1389">
        <f>HYPERLINK("http://www.worldcat.org/oclc/55681311","WorldCat Record")</f>
        <v/>
      </c>
      <c r="AU1389" t="inlineStr">
        <is>
          <t>691763104:eng</t>
        </is>
      </c>
      <c r="AV1389" t="inlineStr">
        <is>
          <t>55681311</t>
        </is>
      </c>
      <c r="AW1389" t="inlineStr">
        <is>
          <t>991004455169702656</t>
        </is>
      </c>
      <c r="AX1389" t="inlineStr">
        <is>
          <t>991004455169702656</t>
        </is>
      </c>
      <c r="AY1389" t="inlineStr">
        <is>
          <t>2271056150002656</t>
        </is>
      </c>
      <c r="AZ1389" t="inlineStr">
        <is>
          <t>BOOK</t>
        </is>
      </c>
      <c r="BB1389" t="inlineStr">
        <is>
          <t>9780060587154</t>
        </is>
      </c>
      <c r="BC1389" t="inlineStr">
        <is>
          <t>32285005023758</t>
        </is>
      </c>
      <c r="BD1389" t="inlineStr">
        <is>
          <t>893235508</t>
        </is>
      </c>
    </row>
    <row r="1390">
      <c r="A1390" t="inlineStr">
        <is>
          <t>No</t>
        </is>
      </c>
      <c r="B1390" t="inlineStr">
        <is>
          <t>GV199.92 .N65 2001</t>
        </is>
      </c>
      <c r="C1390" t="inlineStr">
        <is>
          <t>0                      GV 0199920N  65          2001</t>
        </is>
      </c>
      <c r="D1390" t="inlineStr">
        <is>
          <t>Touching my father's soul : a Sherpa's journey to the top of Everest / Jamling Tenzing Norgay with Broughton Coburn.</t>
        </is>
      </c>
      <c r="F1390" t="inlineStr">
        <is>
          <t>No</t>
        </is>
      </c>
      <c r="G1390" t="inlineStr">
        <is>
          <t>1</t>
        </is>
      </c>
      <c r="H1390" t="inlineStr">
        <is>
          <t>No</t>
        </is>
      </c>
      <c r="I1390" t="inlineStr">
        <is>
          <t>No</t>
        </is>
      </c>
      <c r="J1390" t="inlineStr">
        <is>
          <t>0</t>
        </is>
      </c>
      <c r="K1390" t="inlineStr">
        <is>
          <t>Norgay, Jamling Tenzing.</t>
        </is>
      </c>
      <c r="L1390" t="inlineStr">
        <is>
          <t>San Francisco, Calif. : HarperSanFrancisco, c2001.</t>
        </is>
      </c>
      <c r="M1390" t="inlineStr">
        <is>
          <t>2001</t>
        </is>
      </c>
      <c r="N1390" t="inlineStr">
        <is>
          <t>1st ed.</t>
        </is>
      </c>
      <c r="O1390" t="inlineStr">
        <is>
          <t>eng</t>
        </is>
      </c>
      <c r="P1390" t="inlineStr">
        <is>
          <t>cau</t>
        </is>
      </c>
      <c r="R1390" t="inlineStr">
        <is>
          <t xml:space="preserve">GV </t>
        </is>
      </c>
      <c r="S1390" t="n">
        <v>5</v>
      </c>
      <c r="T1390" t="n">
        <v>5</v>
      </c>
      <c r="U1390" t="inlineStr">
        <is>
          <t>2004-10-01</t>
        </is>
      </c>
      <c r="V1390" t="inlineStr">
        <is>
          <t>2004-10-01</t>
        </is>
      </c>
      <c r="W1390" t="inlineStr">
        <is>
          <t>2001-06-04</t>
        </is>
      </c>
      <c r="X1390" t="inlineStr">
        <is>
          <t>2001-06-04</t>
        </is>
      </c>
      <c r="Y1390" t="n">
        <v>812</v>
      </c>
      <c r="Z1390" t="n">
        <v>747</v>
      </c>
      <c r="AA1390" t="n">
        <v>808</v>
      </c>
      <c r="AB1390" t="n">
        <v>5</v>
      </c>
      <c r="AC1390" t="n">
        <v>6</v>
      </c>
      <c r="AD1390" t="n">
        <v>6</v>
      </c>
      <c r="AE1390" t="n">
        <v>6</v>
      </c>
      <c r="AF1390" t="n">
        <v>3</v>
      </c>
      <c r="AG1390" t="n">
        <v>3</v>
      </c>
      <c r="AH1390" t="n">
        <v>1</v>
      </c>
      <c r="AI1390" t="n">
        <v>1</v>
      </c>
      <c r="AJ1390" t="n">
        <v>3</v>
      </c>
      <c r="AK1390" t="n">
        <v>3</v>
      </c>
      <c r="AL1390" t="n">
        <v>0</v>
      </c>
      <c r="AM1390" t="n">
        <v>0</v>
      </c>
      <c r="AN1390" t="n">
        <v>0</v>
      </c>
      <c r="AO1390" t="n">
        <v>0</v>
      </c>
      <c r="AP1390" t="inlineStr">
        <is>
          <t>No</t>
        </is>
      </c>
      <c r="AQ1390" t="inlineStr">
        <is>
          <t>No</t>
        </is>
      </c>
      <c r="AS1390">
        <f>HYPERLINK("https://creighton-primo.hosted.exlibrisgroup.com/primo-explore/search?tab=default_tab&amp;search_scope=EVERYTHING&amp;vid=01CRU&amp;lang=en_US&amp;offset=0&amp;query=any,contains,991003477789702656","Catalog Record")</f>
        <v/>
      </c>
      <c r="AT1390">
        <f>HYPERLINK("http://www.worldcat.org/oclc/45556223","WorldCat Record")</f>
        <v/>
      </c>
      <c r="AU1390" t="inlineStr">
        <is>
          <t>6542550:eng</t>
        </is>
      </c>
      <c r="AV1390" t="inlineStr">
        <is>
          <t>45556223</t>
        </is>
      </c>
      <c r="AW1390" t="inlineStr">
        <is>
          <t>991003477789702656</t>
        </is>
      </c>
      <c r="AX1390" t="inlineStr">
        <is>
          <t>991003477789702656</t>
        </is>
      </c>
      <c r="AY1390" t="inlineStr">
        <is>
          <t>2259476370002656</t>
        </is>
      </c>
      <c r="AZ1390" t="inlineStr">
        <is>
          <t>BOOK</t>
        </is>
      </c>
      <c r="BB1390" t="inlineStr">
        <is>
          <t>9780062516879</t>
        </is>
      </c>
      <c r="BC1390" t="inlineStr">
        <is>
          <t>32285004319595</t>
        </is>
      </c>
      <c r="BD1390" t="inlineStr">
        <is>
          <t>893887501</t>
        </is>
      </c>
    </row>
    <row r="1391">
      <c r="A1391" t="inlineStr">
        <is>
          <t>No</t>
        </is>
      </c>
      <c r="B1391" t="inlineStr">
        <is>
          <t>GV199.92.H3235 A3 2008</t>
        </is>
      </c>
      <c r="C1391" t="inlineStr">
        <is>
          <t>0                      GV 0199920H  3235               A  3           2008</t>
        </is>
      </c>
      <c r="D1391" t="inlineStr">
        <is>
          <t>Alive in the death zone : Mount Everest survival / Lincoln Hall.</t>
        </is>
      </c>
      <c r="F1391" t="inlineStr">
        <is>
          <t>No</t>
        </is>
      </c>
      <c r="G1391" t="inlineStr">
        <is>
          <t>1</t>
        </is>
      </c>
      <c r="H1391" t="inlineStr">
        <is>
          <t>No</t>
        </is>
      </c>
      <c r="I1391" t="inlineStr">
        <is>
          <t>No</t>
        </is>
      </c>
      <c r="J1391" t="inlineStr">
        <is>
          <t>0</t>
        </is>
      </c>
      <c r="K1391" t="inlineStr">
        <is>
          <t>Hall, Lincoln, 1955-2012.</t>
        </is>
      </c>
      <c r="L1391" t="inlineStr">
        <is>
          <t>North Sydney, N.S.W. : Random House Australia, 2008.</t>
        </is>
      </c>
      <c r="M1391" t="inlineStr">
        <is>
          <t>2008</t>
        </is>
      </c>
      <c r="O1391" t="inlineStr">
        <is>
          <t>eng</t>
        </is>
      </c>
      <c r="P1391" t="inlineStr">
        <is>
          <t>xna</t>
        </is>
      </c>
      <c r="R1391" t="inlineStr">
        <is>
          <t xml:space="preserve">GV </t>
        </is>
      </c>
      <c r="S1391" t="n">
        <v>1</v>
      </c>
      <c r="T1391" t="n">
        <v>1</v>
      </c>
      <c r="U1391" t="inlineStr">
        <is>
          <t>2009-11-30</t>
        </is>
      </c>
      <c r="V1391" t="inlineStr">
        <is>
          <t>2009-11-30</t>
        </is>
      </c>
      <c r="W1391" t="inlineStr">
        <is>
          <t>2009-11-30</t>
        </is>
      </c>
      <c r="X1391" t="inlineStr">
        <is>
          <t>2009-11-30</t>
        </is>
      </c>
      <c r="Y1391" t="n">
        <v>117</v>
      </c>
      <c r="Z1391" t="n">
        <v>22</v>
      </c>
      <c r="AA1391" t="n">
        <v>26</v>
      </c>
      <c r="AB1391" t="n">
        <v>1</v>
      </c>
      <c r="AC1391" t="n">
        <v>1</v>
      </c>
      <c r="AD1391" t="n">
        <v>1</v>
      </c>
      <c r="AE1391" t="n">
        <v>1</v>
      </c>
      <c r="AF1391" t="n">
        <v>0</v>
      </c>
      <c r="AG1391" t="n">
        <v>0</v>
      </c>
      <c r="AH1391" t="n">
        <v>1</v>
      </c>
      <c r="AI1391" t="n">
        <v>1</v>
      </c>
      <c r="AJ1391" t="n">
        <v>0</v>
      </c>
      <c r="AK1391" t="n">
        <v>0</v>
      </c>
      <c r="AL1391" t="n">
        <v>0</v>
      </c>
      <c r="AM1391" t="n">
        <v>0</v>
      </c>
      <c r="AN1391" t="n">
        <v>0</v>
      </c>
      <c r="AO1391" t="n">
        <v>0</v>
      </c>
      <c r="AP1391" t="inlineStr">
        <is>
          <t>No</t>
        </is>
      </c>
      <c r="AQ1391" t="inlineStr">
        <is>
          <t>Yes</t>
        </is>
      </c>
      <c r="AR1391">
        <f>HYPERLINK("http://catalog.hathitrust.org/Record/011709060","HathiTrust Record")</f>
        <v/>
      </c>
      <c r="AS1391">
        <f>HYPERLINK("https://creighton-primo.hosted.exlibrisgroup.com/primo-explore/search?tab=default_tab&amp;search_scope=EVERYTHING&amp;vid=01CRU&amp;lang=en_US&amp;offset=0&amp;query=any,contains,991005342159702656","Catalog Record")</f>
        <v/>
      </c>
      <c r="AT1391">
        <f>HYPERLINK("http://www.worldcat.org/oclc/310960537","WorldCat Record")</f>
        <v/>
      </c>
      <c r="AU1391" t="inlineStr">
        <is>
          <t>236195590:eng</t>
        </is>
      </c>
      <c r="AV1391" t="inlineStr">
        <is>
          <t>310960537</t>
        </is>
      </c>
      <c r="AW1391" t="inlineStr">
        <is>
          <t>991005342159702656</t>
        </is>
      </c>
      <c r="AX1391" t="inlineStr">
        <is>
          <t>991005342159702656</t>
        </is>
      </c>
      <c r="AY1391" t="inlineStr">
        <is>
          <t>2261946260002656</t>
        </is>
      </c>
      <c r="AZ1391" t="inlineStr">
        <is>
          <t>BOOK</t>
        </is>
      </c>
      <c r="BB1391" t="inlineStr">
        <is>
          <t>9781741663372</t>
        </is>
      </c>
      <c r="BC1391" t="inlineStr">
        <is>
          <t>32285005552087</t>
        </is>
      </c>
      <c r="BD1391" t="inlineStr">
        <is>
          <t>893312128</t>
        </is>
      </c>
    </row>
    <row r="1392">
      <c r="A1392" t="inlineStr">
        <is>
          <t>No</t>
        </is>
      </c>
      <c r="B1392" t="inlineStr">
        <is>
          <t>GV199.92.L44 B74 1999</t>
        </is>
      </c>
      <c r="C1392" t="inlineStr">
        <is>
          <t>0                      GV 0199920L  44                 B  74          1999</t>
        </is>
      </c>
      <c r="D1392" t="inlineStr">
        <is>
          <t>Last climb : the legendary Everest expeditions of George Mallory / David Breashears and Audrey Salkeld ; foreword by John Mallory.</t>
        </is>
      </c>
      <c r="F1392" t="inlineStr">
        <is>
          <t>No</t>
        </is>
      </c>
      <c r="G1392" t="inlineStr">
        <is>
          <t>1</t>
        </is>
      </c>
      <c r="H1392" t="inlineStr">
        <is>
          <t>No</t>
        </is>
      </c>
      <c r="I1392" t="inlineStr">
        <is>
          <t>No</t>
        </is>
      </c>
      <c r="J1392" t="inlineStr">
        <is>
          <t>0</t>
        </is>
      </c>
      <c r="K1392" t="inlineStr">
        <is>
          <t>Breashears, David.</t>
        </is>
      </c>
      <c r="L1392" t="inlineStr">
        <is>
          <t>Washington, D.C. : National Geographic Society, c1999.</t>
        </is>
      </c>
      <c r="M1392" t="inlineStr">
        <is>
          <t>1999</t>
        </is>
      </c>
      <c r="O1392" t="inlineStr">
        <is>
          <t>eng</t>
        </is>
      </c>
      <c r="P1392" t="inlineStr">
        <is>
          <t>dcu</t>
        </is>
      </c>
      <c r="R1392" t="inlineStr">
        <is>
          <t xml:space="preserve">GV </t>
        </is>
      </c>
      <c r="S1392" t="n">
        <v>3</v>
      </c>
      <c r="T1392" t="n">
        <v>3</v>
      </c>
      <c r="U1392" t="inlineStr">
        <is>
          <t>2001-01-28</t>
        </is>
      </c>
      <c r="V1392" t="inlineStr">
        <is>
          <t>2001-01-28</t>
        </is>
      </c>
      <c r="W1392" t="inlineStr">
        <is>
          <t>2000-01-13</t>
        </is>
      </c>
      <c r="X1392" t="inlineStr">
        <is>
          <t>2000-01-13</t>
        </is>
      </c>
      <c r="Y1392" t="n">
        <v>752</v>
      </c>
      <c r="Z1392" t="n">
        <v>681</v>
      </c>
      <c r="AA1392" t="n">
        <v>692</v>
      </c>
      <c r="AB1392" t="n">
        <v>3</v>
      </c>
      <c r="AC1392" t="n">
        <v>3</v>
      </c>
      <c r="AD1392" t="n">
        <v>8</v>
      </c>
      <c r="AE1392" t="n">
        <v>8</v>
      </c>
      <c r="AF1392" t="n">
        <v>3</v>
      </c>
      <c r="AG1392" t="n">
        <v>3</v>
      </c>
      <c r="AH1392" t="n">
        <v>1</v>
      </c>
      <c r="AI1392" t="n">
        <v>1</v>
      </c>
      <c r="AJ1392" t="n">
        <v>5</v>
      </c>
      <c r="AK1392" t="n">
        <v>5</v>
      </c>
      <c r="AL1392" t="n">
        <v>1</v>
      </c>
      <c r="AM1392" t="n">
        <v>1</v>
      </c>
      <c r="AN1392" t="n">
        <v>0</v>
      </c>
      <c r="AO1392" t="n">
        <v>0</v>
      </c>
      <c r="AP1392" t="inlineStr">
        <is>
          <t>No</t>
        </is>
      </c>
      <c r="AQ1392" t="inlineStr">
        <is>
          <t>Yes</t>
        </is>
      </c>
      <c r="AR1392">
        <f>HYPERLINK("http://catalog.hathitrust.org/Record/007138136","HathiTrust Record")</f>
        <v/>
      </c>
      <c r="AS1392">
        <f>HYPERLINK("https://creighton-primo.hosted.exlibrisgroup.com/primo-explore/search?tab=default_tab&amp;search_scope=EVERYTHING&amp;vid=01CRU&amp;lang=en_US&amp;offset=0&amp;query=any,contains,991003039369702656","Catalog Record")</f>
        <v/>
      </c>
      <c r="AT1392">
        <f>HYPERLINK("http://www.worldcat.org/oclc/41991385","WorldCat Record")</f>
        <v/>
      </c>
      <c r="AU1392" t="inlineStr">
        <is>
          <t>44640621:eng</t>
        </is>
      </c>
      <c r="AV1392" t="inlineStr">
        <is>
          <t>41991385</t>
        </is>
      </c>
      <c r="AW1392" t="inlineStr">
        <is>
          <t>991003039369702656</t>
        </is>
      </c>
      <c r="AX1392" t="inlineStr">
        <is>
          <t>991003039369702656</t>
        </is>
      </c>
      <c r="AY1392" t="inlineStr">
        <is>
          <t>2262474440002656</t>
        </is>
      </c>
      <c r="AZ1392" t="inlineStr">
        <is>
          <t>BOOK</t>
        </is>
      </c>
      <c r="BB1392" t="inlineStr">
        <is>
          <t>9780792275381</t>
        </is>
      </c>
      <c r="BC1392" t="inlineStr">
        <is>
          <t>32285003641569</t>
        </is>
      </c>
      <c r="BD1392" t="inlineStr">
        <is>
          <t>893434600</t>
        </is>
      </c>
    </row>
    <row r="1393">
      <c r="A1393" t="inlineStr">
        <is>
          <t>No</t>
        </is>
      </c>
      <c r="B1393" t="inlineStr">
        <is>
          <t>GV200.4 .G43 1995</t>
        </is>
      </c>
      <c r="C1393" t="inlineStr">
        <is>
          <t>0                      GV 0200400G  43          1995</t>
        </is>
      </c>
      <c r="D1393" t="inlineStr">
        <is>
          <t>Using a map and compass / Don Geary.</t>
        </is>
      </c>
      <c r="F1393" t="inlineStr">
        <is>
          <t>No</t>
        </is>
      </c>
      <c r="G1393" t="inlineStr">
        <is>
          <t>1</t>
        </is>
      </c>
      <c r="H1393" t="inlineStr">
        <is>
          <t>No</t>
        </is>
      </c>
      <c r="I1393" t="inlineStr">
        <is>
          <t>No</t>
        </is>
      </c>
      <c r="J1393" t="inlineStr">
        <is>
          <t>0</t>
        </is>
      </c>
      <c r="K1393" t="inlineStr">
        <is>
          <t>Geary, Don.</t>
        </is>
      </c>
      <c r="L1393" t="inlineStr">
        <is>
          <t>Mechanicsburg, PA : Stackpole Books, c1995.</t>
        </is>
      </c>
      <c r="M1393" t="inlineStr">
        <is>
          <t>1995</t>
        </is>
      </c>
      <c r="N1393" t="inlineStr">
        <is>
          <t>1st ed.</t>
        </is>
      </c>
      <c r="O1393" t="inlineStr">
        <is>
          <t>eng</t>
        </is>
      </c>
      <c r="P1393" t="inlineStr">
        <is>
          <t>pau</t>
        </is>
      </c>
      <c r="R1393" t="inlineStr">
        <is>
          <t xml:space="preserve">GV </t>
        </is>
      </c>
      <c r="S1393" t="n">
        <v>1</v>
      </c>
      <c r="T1393" t="n">
        <v>1</v>
      </c>
      <c r="U1393" t="inlineStr">
        <is>
          <t>2007-02-14</t>
        </is>
      </c>
      <c r="V1393" t="inlineStr">
        <is>
          <t>2007-02-14</t>
        </is>
      </c>
      <c r="W1393" t="inlineStr">
        <is>
          <t>1995-11-27</t>
        </is>
      </c>
      <c r="X1393" t="inlineStr">
        <is>
          <t>1995-11-27</t>
        </is>
      </c>
      <c r="Y1393" t="n">
        <v>404</v>
      </c>
      <c r="Z1393" t="n">
        <v>377</v>
      </c>
      <c r="AA1393" t="n">
        <v>819</v>
      </c>
      <c r="AB1393" t="n">
        <v>3</v>
      </c>
      <c r="AC1393" t="n">
        <v>27</v>
      </c>
      <c r="AD1393" t="n">
        <v>2</v>
      </c>
      <c r="AE1393" t="n">
        <v>21</v>
      </c>
      <c r="AF1393" t="n">
        <v>0</v>
      </c>
      <c r="AG1393" t="n">
        <v>6</v>
      </c>
      <c r="AH1393" t="n">
        <v>1</v>
      </c>
      <c r="AI1393" t="n">
        <v>2</v>
      </c>
      <c r="AJ1393" t="n">
        <v>1</v>
      </c>
      <c r="AK1393" t="n">
        <v>6</v>
      </c>
      <c r="AL1393" t="n">
        <v>1</v>
      </c>
      <c r="AM1393" t="n">
        <v>11</v>
      </c>
      <c r="AN1393" t="n">
        <v>0</v>
      </c>
      <c r="AO1393" t="n">
        <v>0</v>
      </c>
      <c r="AP1393" t="inlineStr">
        <is>
          <t>No</t>
        </is>
      </c>
      <c r="AQ1393" t="inlineStr">
        <is>
          <t>No</t>
        </is>
      </c>
      <c r="AS1393">
        <f>HYPERLINK("https://creighton-primo.hosted.exlibrisgroup.com/primo-explore/search?tab=default_tab&amp;search_scope=EVERYTHING&amp;vid=01CRU&amp;lang=en_US&amp;offset=0&amp;query=any,contains,991002442689702656","Catalog Record")</f>
        <v/>
      </c>
      <c r="AT1393">
        <f>HYPERLINK("http://www.worldcat.org/oclc/31865755","WorldCat Record")</f>
        <v/>
      </c>
      <c r="AU1393" t="inlineStr">
        <is>
          <t>1009666:eng</t>
        </is>
      </c>
      <c r="AV1393" t="inlineStr">
        <is>
          <t>31865755</t>
        </is>
      </c>
      <c r="AW1393" t="inlineStr">
        <is>
          <t>991002442689702656</t>
        </is>
      </c>
      <c r="AX1393" t="inlineStr">
        <is>
          <t>991002442689702656</t>
        </is>
      </c>
      <c r="AY1393" t="inlineStr">
        <is>
          <t>2259319710002656</t>
        </is>
      </c>
      <c r="AZ1393" t="inlineStr">
        <is>
          <t>BOOK</t>
        </is>
      </c>
      <c r="BB1393" t="inlineStr">
        <is>
          <t>9780811725910</t>
        </is>
      </c>
      <c r="BC1393" t="inlineStr">
        <is>
          <t>32285002105426</t>
        </is>
      </c>
      <c r="BD1393" t="inlineStr">
        <is>
          <t>893804620</t>
        </is>
      </c>
    </row>
    <row r="1394">
      <c r="A1394" t="inlineStr">
        <is>
          <t>No</t>
        </is>
      </c>
      <c r="B1394" t="inlineStr">
        <is>
          <t>GV205 .A43 1989, no.22</t>
        </is>
      </c>
      <c r="C1394" t="inlineStr">
        <is>
          <t>0                      GV 0205000A  43          1989                                        no.22</t>
        </is>
      </c>
      <c r="D1394" t="inlineStr">
        <is>
          <t>Physical activity and aging : sixtieth annual meeting, Kansas City, Missouri, April 5-6, 1988.</t>
        </is>
      </c>
      <c r="E1394" t="inlineStr">
        <is>
          <t>no.22*</t>
        </is>
      </c>
      <c r="F1394" t="inlineStr">
        <is>
          <t>No</t>
        </is>
      </c>
      <c r="G1394" t="inlineStr">
        <is>
          <t>1</t>
        </is>
      </c>
      <c r="H1394" t="inlineStr">
        <is>
          <t>No</t>
        </is>
      </c>
      <c r="I1394" t="inlineStr">
        <is>
          <t>No</t>
        </is>
      </c>
      <c r="J1394" t="inlineStr">
        <is>
          <t>0</t>
        </is>
      </c>
      <c r="K1394" t="inlineStr">
        <is>
          <t>American Academy of Physical Education. Annual Meeting (60th : 1988 : Kansas City, Mo.)</t>
        </is>
      </c>
      <c r="L1394" t="inlineStr">
        <is>
          <t>Champaign, IL : Published by Human Kinetics Books for the American Academy of Physical Education, 1988, c1989.</t>
        </is>
      </c>
      <c r="M1394" t="inlineStr">
        <is>
          <t>1988</t>
        </is>
      </c>
      <c r="O1394" t="inlineStr">
        <is>
          <t>eng</t>
        </is>
      </c>
      <c r="P1394" t="inlineStr">
        <is>
          <t>ilu</t>
        </is>
      </c>
      <c r="Q1394" t="inlineStr">
        <is>
          <t>American Academy of Physical Education papers ; no. 22</t>
        </is>
      </c>
      <c r="R1394" t="inlineStr">
        <is>
          <t xml:space="preserve">GV </t>
        </is>
      </c>
      <c r="S1394" t="n">
        <v>5</v>
      </c>
      <c r="T1394" t="n">
        <v>5</v>
      </c>
      <c r="U1394" t="inlineStr">
        <is>
          <t>2006-01-20</t>
        </is>
      </c>
      <c r="V1394" t="inlineStr">
        <is>
          <t>2006-01-20</t>
        </is>
      </c>
      <c r="W1394" t="inlineStr">
        <is>
          <t>1992-03-24</t>
        </is>
      </c>
      <c r="X1394" t="inlineStr">
        <is>
          <t>1992-03-24</t>
        </is>
      </c>
      <c r="Y1394" t="n">
        <v>341</v>
      </c>
      <c r="Z1394" t="n">
        <v>244</v>
      </c>
      <c r="AA1394" t="n">
        <v>246</v>
      </c>
      <c r="AB1394" t="n">
        <v>1</v>
      </c>
      <c r="AC1394" t="n">
        <v>1</v>
      </c>
      <c r="AD1394" t="n">
        <v>3</v>
      </c>
      <c r="AE1394" t="n">
        <v>3</v>
      </c>
      <c r="AF1394" t="n">
        <v>2</v>
      </c>
      <c r="AG1394" t="n">
        <v>2</v>
      </c>
      <c r="AH1394" t="n">
        <v>0</v>
      </c>
      <c r="AI1394" t="n">
        <v>0</v>
      </c>
      <c r="AJ1394" t="n">
        <v>2</v>
      </c>
      <c r="AK1394" t="n">
        <v>2</v>
      </c>
      <c r="AL1394" t="n">
        <v>0</v>
      </c>
      <c r="AM1394" t="n">
        <v>0</v>
      </c>
      <c r="AN1394" t="n">
        <v>0</v>
      </c>
      <c r="AO1394" t="n">
        <v>0</v>
      </c>
      <c r="AP1394" t="inlineStr">
        <is>
          <t>No</t>
        </is>
      </c>
      <c r="AQ1394" t="inlineStr">
        <is>
          <t>Yes</t>
        </is>
      </c>
      <c r="AR1394">
        <f>HYPERLINK("http://catalog.hathitrust.org/Record/007106920","HathiTrust Record")</f>
        <v/>
      </c>
      <c r="AS1394">
        <f>HYPERLINK("https://creighton-primo.hosted.exlibrisgroup.com/primo-explore/search?tab=default_tab&amp;search_scope=EVERYTHING&amp;vid=01CRU&amp;lang=en_US&amp;offset=0&amp;query=any,contains,991001359989702656","Catalog Record")</f>
        <v/>
      </c>
      <c r="AT1394">
        <f>HYPERLINK("http://www.worldcat.org/oclc/18520425","WorldCat Record")</f>
        <v/>
      </c>
      <c r="AU1394" t="inlineStr">
        <is>
          <t>4241277117:eng</t>
        </is>
      </c>
      <c r="AV1394" t="inlineStr">
        <is>
          <t>18520425</t>
        </is>
      </c>
      <c r="AW1394" t="inlineStr">
        <is>
          <t>991001359989702656</t>
        </is>
      </c>
      <c r="AX1394" t="inlineStr">
        <is>
          <t>991001359989702656</t>
        </is>
      </c>
      <c r="AY1394" t="inlineStr">
        <is>
          <t>2268693590002656</t>
        </is>
      </c>
      <c r="AZ1394" t="inlineStr">
        <is>
          <t>BOOK</t>
        </is>
      </c>
      <c r="BB1394" t="inlineStr">
        <is>
          <t>9780873222204</t>
        </is>
      </c>
      <c r="BC1394" t="inlineStr">
        <is>
          <t>32285000340116</t>
        </is>
      </c>
      <c r="BD1394" t="inlineStr">
        <is>
          <t>893809042</t>
        </is>
      </c>
    </row>
    <row r="1395">
      <c r="A1395" t="inlineStr">
        <is>
          <t>No</t>
        </is>
      </c>
      <c r="B1395" t="inlineStr">
        <is>
          <t>GV21 .N53 2005</t>
        </is>
      </c>
      <c r="C1395" t="inlineStr">
        <is>
          <t>0                      GV 0021000N  53          2005</t>
        </is>
      </c>
      <c r="D1395" t="inlineStr">
        <is>
          <t>Aristocracy and athletics in Archaic and Classical Greece / Nigel James Nicholson.</t>
        </is>
      </c>
      <c r="F1395" t="inlineStr">
        <is>
          <t>No</t>
        </is>
      </c>
      <c r="G1395" t="inlineStr">
        <is>
          <t>1</t>
        </is>
      </c>
      <c r="H1395" t="inlineStr">
        <is>
          <t>No</t>
        </is>
      </c>
      <c r="I1395" t="inlineStr">
        <is>
          <t>No</t>
        </is>
      </c>
      <c r="J1395" t="inlineStr">
        <is>
          <t>0</t>
        </is>
      </c>
      <c r="K1395" t="inlineStr">
        <is>
          <t>Nicholson, Nigel James.</t>
        </is>
      </c>
      <c r="L1395" t="inlineStr">
        <is>
          <t>Cambridge ; New York : Cambridge University Press, 2005.</t>
        </is>
      </c>
      <c r="M1395" t="inlineStr">
        <is>
          <t>2005</t>
        </is>
      </c>
      <c r="O1395" t="inlineStr">
        <is>
          <t>eng</t>
        </is>
      </c>
      <c r="P1395" t="inlineStr">
        <is>
          <t>enk</t>
        </is>
      </c>
      <c r="R1395" t="inlineStr">
        <is>
          <t xml:space="preserve">GV </t>
        </is>
      </c>
      <c r="S1395" t="n">
        <v>1</v>
      </c>
      <c r="T1395" t="n">
        <v>1</v>
      </c>
      <c r="U1395" t="inlineStr">
        <is>
          <t>2008-04-16</t>
        </is>
      </c>
      <c r="V1395" t="inlineStr">
        <is>
          <t>2008-04-16</t>
        </is>
      </c>
      <c r="W1395" t="inlineStr">
        <is>
          <t>2008-04-16</t>
        </is>
      </c>
      <c r="X1395" t="inlineStr">
        <is>
          <t>2008-04-16</t>
        </is>
      </c>
      <c r="Y1395" t="n">
        <v>342</v>
      </c>
      <c r="Z1395" t="n">
        <v>257</v>
      </c>
      <c r="AA1395" t="n">
        <v>266</v>
      </c>
      <c r="AB1395" t="n">
        <v>2</v>
      </c>
      <c r="AC1395" t="n">
        <v>2</v>
      </c>
      <c r="AD1395" t="n">
        <v>14</v>
      </c>
      <c r="AE1395" t="n">
        <v>14</v>
      </c>
      <c r="AF1395" t="n">
        <v>4</v>
      </c>
      <c r="AG1395" t="n">
        <v>4</v>
      </c>
      <c r="AH1395" t="n">
        <v>4</v>
      </c>
      <c r="AI1395" t="n">
        <v>4</v>
      </c>
      <c r="AJ1395" t="n">
        <v>9</v>
      </c>
      <c r="AK1395" t="n">
        <v>9</v>
      </c>
      <c r="AL1395" t="n">
        <v>1</v>
      </c>
      <c r="AM1395" t="n">
        <v>1</v>
      </c>
      <c r="AN1395" t="n">
        <v>0</v>
      </c>
      <c r="AO1395" t="n">
        <v>0</v>
      </c>
      <c r="AP1395" t="inlineStr">
        <is>
          <t>No</t>
        </is>
      </c>
      <c r="AQ1395" t="inlineStr">
        <is>
          <t>No</t>
        </is>
      </c>
      <c r="AS1395">
        <f>HYPERLINK("https://creighton-primo.hosted.exlibrisgroup.com/primo-explore/search?tab=default_tab&amp;search_scope=EVERYTHING&amp;vid=01CRU&amp;lang=en_US&amp;offset=0&amp;query=any,contains,991005204579702656","Catalog Record")</f>
        <v/>
      </c>
      <c r="AT1395">
        <f>HYPERLINK("http://www.worldcat.org/oclc/57422563","WorldCat Record")</f>
        <v/>
      </c>
      <c r="AU1395" t="inlineStr">
        <is>
          <t>358441:eng</t>
        </is>
      </c>
      <c r="AV1395" t="inlineStr">
        <is>
          <t>57422563</t>
        </is>
      </c>
      <c r="AW1395" t="inlineStr">
        <is>
          <t>991005204579702656</t>
        </is>
      </c>
      <c r="AX1395" t="inlineStr">
        <is>
          <t>991005204579702656</t>
        </is>
      </c>
      <c r="AY1395" t="inlineStr">
        <is>
          <t>2254919870002656</t>
        </is>
      </c>
      <c r="AZ1395" t="inlineStr">
        <is>
          <t>BOOK</t>
        </is>
      </c>
      <c r="BB1395" t="inlineStr">
        <is>
          <t>9780521845229</t>
        </is>
      </c>
      <c r="BC1395" t="inlineStr">
        <is>
          <t>32285005403281</t>
        </is>
      </c>
      <c r="BD1395" t="inlineStr">
        <is>
          <t>893533357</t>
        </is>
      </c>
    </row>
    <row r="1396">
      <c r="A1396" t="inlineStr">
        <is>
          <t>No</t>
        </is>
      </c>
      <c r="B1396" t="inlineStr">
        <is>
          <t>GV223 .H57 1997</t>
        </is>
      </c>
      <c r="C1396" t="inlineStr">
        <is>
          <t>0                      GV 0223000H  57          1997</t>
        </is>
      </c>
      <c r="D1396" t="inlineStr">
        <is>
          <t>The history of exercise and sport science / John D. Massengale, Richard A. Swanson, editors.</t>
        </is>
      </c>
      <c r="F1396" t="inlineStr">
        <is>
          <t>No</t>
        </is>
      </c>
      <c r="G1396" t="inlineStr">
        <is>
          <t>1</t>
        </is>
      </c>
      <c r="H1396" t="inlineStr">
        <is>
          <t>No</t>
        </is>
      </c>
      <c r="I1396" t="inlineStr">
        <is>
          <t>No</t>
        </is>
      </c>
      <c r="J1396" t="inlineStr">
        <is>
          <t>0</t>
        </is>
      </c>
      <c r="L1396" t="inlineStr">
        <is>
          <t>Champaign, IL : Human Kinetics, c1997.</t>
        </is>
      </c>
      <c r="M1396" t="inlineStr">
        <is>
          <t>1997</t>
        </is>
      </c>
      <c r="O1396" t="inlineStr">
        <is>
          <t>eng</t>
        </is>
      </c>
      <c r="P1396" t="inlineStr">
        <is>
          <t>ilu</t>
        </is>
      </c>
      <c r="R1396" t="inlineStr">
        <is>
          <t xml:space="preserve">GV </t>
        </is>
      </c>
      <c r="S1396" t="n">
        <v>2</v>
      </c>
      <c r="T1396" t="n">
        <v>2</v>
      </c>
      <c r="U1396" t="inlineStr">
        <is>
          <t>2004-10-21</t>
        </is>
      </c>
      <c r="V1396" t="inlineStr">
        <is>
          <t>2004-10-21</t>
        </is>
      </c>
      <c r="W1396" t="inlineStr">
        <is>
          <t>1997-10-14</t>
        </is>
      </c>
      <c r="X1396" t="inlineStr">
        <is>
          <t>1997-10-14</t>
        </is>
      </c>
      <c r="Y1396" t="n">
        <v>620</v>
      </c>
      <c r="Z1396" t="n">
        <v>503</v>
      </c>
      <c r="AA1396" t="n">
        <v>509</v>
      </c>
      <c r="AB1396" t="n">
        <v>7</v>
      </c>
      <c r="AC1396" t="n">
        <v>7</v>
      </c>
      <c r="AD1396" t="n">
        <v>20</v>
      </c>
      <c r="AE1396" t="n">
        <v>20</v>
      </c>
      <c r="AF1396" t="n">
        <v>9</v>
      </c>
      <c r="AG1396" t="n">
        <v>9</v>
      </c>
      <c r="AH1396" t="n">
        <v>2</v>
      </c>
      <c r="AI1396" t="n">
        <v>2</v>
      </c>
      <c r="AJ1396" t="n">
        <v>7</v>
      </c>
      <c r="AK1396" t="n">
        <v>7</v>
      </c>
      <c r="AL1396" t="n">
        <v>6</v>
      </c>
      <c r="AM1396" t="n">
        <v>6</v>
      </c>
      <c r="AN1396" t="n">
        <v>0</v>
      </c>
      <c r="AO1396" t="n">
        <v>0</v>
      </c>
      <c r="AP1396" t="inlineStr">
        <is>
          <t>No</t>
        </is>
      </c>
      <c r="AQ1396" t="inlineStr">
        <is>
          <t>Yes</t>
        </is>
      </c>
      <c r="AR1396">
        <f>HYPERLINK("http://catalog.hathitrust.org/Record/004925333","HathiTrust Record")</f>
        <v/>
      </c>
      <c r="AS1396">
        <f>HYPERLINK("https://creighton-primo.hosted.exlibrisgroup.com/primo-explore/search?tab=default_tab&amp;search_scope=EVERYTHING&amp;vid=01CRU&amp;lang=en_US&amp;offset=0&amp;query=any,contains,991002615649702656","Catalog Record")</f>
        <v/>
      </c>
      <c r="AT1396">
        <f>HYPERLINK("http://www.worldcat.org/oclc/34283631","WorldCat Record")</f>
        <v/>
      </c>
      <c r="AU1396" t="inlineStr">
        <is>
          <t>366582217:eng</t>
        </is>
      </c>
      <c r="AV1396" t="inlineStr">
        <is>
          <t>34283631</t>
        </is>
      </c>
      <c r="AW1396" t="inlineStr">
        <is>
          <t>991002615649702656</t>
        </is>
      </c>
      <c r="AX1396" t="inlineStr">
        <is>
          <t>991002615649702656</t>
        </is>
      </c>
      <c r="AY1396" t="inlineStr">
        <is>
          <t>2257693400002656</t>
        </is>
      </c>
      <c r="AZ1396" t="inlineStr">
        <is>
          <t>BOOK</t>
        </is>
      </c>
      <c r="BB1396" t="inlineStr">
        <is>
          <t>9780873225243</t>
        </is>
      </c>
      <c r="BC1396" t="inlineStr">
        <is>
          <t>32285003254108</t>
        </is>
      </c>
      <c r="BD1396" t="inlineStr">
        <is>
          <t>893341631</t>
        </is>
      </c>
    </row>
    <row r="1397">
      <c r="A1397" t="inlineStr">
        <is>
          <t>No</t>
        </is>
      </c>
      <c r="B1397" t="inlineStr">
        <is>
          <t>GV23 .F56 1976</t>
        </is>
      </c>
      <c r="C1397" t="inlineStr">
        <is>
          <t>0                      GV 0023000F  56          1976</t>
        </is>
      </c>
      <c r="D1397" t="inlineStr">
        <is>
          <t>The Olympic games : the first thousand years / M.I. Finley, H.W. Pleket.</t>
        </is>
      </c>
      <c r="F1397" t="inlineStr">
        <is>
          <t>No</t>
        </is>
      </c>
      <c r="G1397" t="inlineStr">
        <is>
          <t>1</t>
        </is>
      </c>
      <c r="H1397" t="inlineStr">
        <is>
          <t>No</t>
        </is>
      </c>
      <c r="I1397" t="inlineStr">
        <is>
          <t>No</t>
        </is>
      </c>
      <c r="J1397" t="inlineStr">
        <is>
          <t>0</t>
        </is>
      </c>
      <c r="K1397" t="inlineStr">
        <is>
          <t>Finley, M. I. (Moses I.), 1912-1986.</t>
        </is>
      </c>
      <c r="L1397" t="inlineStr">
        <is>
          <t>Toronto : Clark, Irwin ; London : Chatto &amp; Windus, 1976.</t>
        </is>
      </c>
      <c r="M1397" t="inlineStr">
        <is>
          <t>1976</t>
        </is>
      </c>
      <c r="O1397" t="inlineStr">
        <is>
          <t>eng</t>
        </is>
      </c>
      <c r="P1397" t="inlineStr">
        <is>
          <t>onc</t>
        </is>
      </c>
      <c r="R1397" t="inlineStr">
        <is>
          <t xml:space="preserve">GV </t>
        </is>
      </c>
      <c r="S1397" t="n">
        <v>5</v>
      </c>
      <c r="T1397" t="n">
        <v>5</v>
      </c>
      <c r="U1397" t="inlineStr">
        <is>
          <t>2007-10-29</t>
        </is>
      </c>
      <c r="V1397" t="inlineStr">
        <is>
          <t>2007-10-29</t>
        </is>
      </c>
      <c r="W1397" t="inlineStr">
        <is>
          <t>1999-11-30</t>
        </is>
      </c>
      <c r="X1397" t="inlineStr">
        <is>
          <t>1999-11-30</t>
        </is>
      </c>
      <c r="Y1397" t="n">
        <v>47</v>
      </c>
      <c r="Z1397" t="n">
        <v>21</v>
      </c>
      <c r="AA1397" t="n">
        <v>930</v>
      </c>
      <c r="AB1397" t="n">
        <v>1</v>
      </c>
      <c r="AC1397" t="n">
        <v>9</v>
      </c>
      <c r="AD1397" t="n">
        <v>0</v>
      </c>
      <c r="AE1397" t="n">
        <v>30</v>
      </c>
      <c r="AF1397" t="n">
        <v>0</v>
      </c>
      <c r="AG1397" t="n">
        <v>12</v>
      </c>
      <c r="AH1397" t="n">
        <v>0</v>
      </c>
      <c r="AI1397" t="n">
        <v>3</v>
      </c>
      <c r="AJ1397" t="n">
        <v>0</v>
      </c>
      <c r="AK1397" t="n">
        <v>15</v>
      </c>
      <c r="AL1397" t="n">
        <v>0</v>
      </c>
      <c r="AM1397" t="n">
        <v>5</v>
      </c>
      <c r="AN1397" t="n">
        <v>0</v>
      </c>
      <c r="AO1397" t="n">
        <v>0</v>
      </c>
      <c r="AP1397" t="inlineStr">
        <is>
          <t>No</t>
        </is>
      </c>
      <c r="AQ1397" t="inlineStr">
        <is>
          <t>No</t>
        </is>
      </c>
      <c r="AS1397">
        <f>HYPERLINK("https://creighton-primo.hosted.exlibrisgroup.com/primo-explore/search?tab=default_tab&amp;search_scope=EVERYTHING&amp;vid=01CRU&amp;lang=en_US&amp;offset=0&amp;query=any,contains,991001059939702656","Catalog Record")</f>
        <v/>
      </c>
      <c r="AT1397">
        <f>HYPERLINK("http://www.worldcat.org/oclc/15765299","WorldCat Record")</f>
        <v/>
      </c>
      <c r="AU1397" t="inlineStr">
        <is>
          <t>51149035:eng</t>
        </is>
      </c>
      <c r="AV1397" t="inlineStr">
        <is>
          <t>15765299</t>
        </is>
      </c>
      <c r="AW1397" t="inlineStr">
        <is>
          <t>991001059939702656</t>
        </is>
      </c>
      <c r="AX1397" t="inlineStr">
        <is>
          <t>991001059939702656</t>
        </is>
      </c>
      <c r="AY1397" t="inlineStr">
        <is>
          <t>2255866990002656</t>
        </is>
      </c>
      <c r="AZ1397" t="inlineStr">
        <is>
          <t>BOOK</t>
        </is>
      </c>
      <c r="BC1397" t="inlineStr">
        <is>
          <t>32285003626560</t>
        </is>
      </c>
      <c r="BD1397" t="inlineStr">
        <is>
          <t>893243824</t>
        </is>
      </c>
    </row>
    <row r="1398">
      <c r="A1398" t="inlineStr">
        <is>
          <t>No</t>
        </is>
      </c>
      <c r="B1398" t="inlineStr">
        <is>
          <t>GV23 .H5413 1979</t>
        </is>
      </c>
      <c r="C1398" t="inlineStr">
        <is>
          <t>0                      GV 0023000H  5413        1979</t>
        </is>
      </c>
      <c r="D1398" t="inlineStr">
        <is>
          <t>The Eternal Olympics : the art and history of sport / edited by Nicolaos Yalouris ; introd. by Manolis Andronicos.</t>
        </is>
      </c>
      <c r="F1398" t="inlineStr">
        <is>
          <t>No</t>
        </is>
      </c>
      <c r="G1398" t="inlineStr">
        <is>
          <t>1</t>
        </is>
      </c>
      <c r="H1398" t="inlineStr">
        <is>
          <t>No</t>
        </is>
      </c>
      <c r="I1398" t="inlineStr">
        <is>
          <t>No</t>
        </is>
      </c>
      <c r="J1398" t="inlineStr">
        <is>
          <t>0</t>
        </is>
      </c>
      <c r="L1398" t="inlineStr">
        <is>
          <t>New Rochelle, N.Y. : Caratzas Brothers, c1979.</t>
        </is>
      </c>
      <c r="M1398" t="inlineStr">
        <is>
          <t>1979</t>
        </is>
      </c>
      <c r="O1398" t="inlineStr">
        <is>
          <t>eng</t>
        </is>
      </c>
      <c r="P1398" t="inlineStr">
        <is>
          <t>nyu</t>
        </is>
      </c>
      <c r="R1398" t="inlineStr">
        <is>
          <t xml:space="preserve">GV </t>
        </is>
      </c>
      <c r="S1398" t="n">
        <v>14</v>
      </c>
      <c r="T1398" t="n">
        <v>14</v>
      </c>
      <c r="U1398" t="inlineStr">
        <is>
          <t>2007-10-29</t>
        </is>
      </c>
      <c r="V1398" t="inlineStr">
        <is>
          <t>2007-10-29</t>
        </is>
      </c>
      <c r="W1398" t="inlineStr">
        <is>
          <t>1990-10-03</t>
        </is>
      </c>
      <c r="X1398" t="inlineStr">
        <is>
          <t>1990-10-03</t>
        </is>
      </c>
      <c r="Y1398" t="n">
        <v>715</v>
      </c>
      <c r="Z1398" t="n">
        <v>616</v>
      </c>
      <c r="AA1398" t="n">
        <v>618</v>
      </c>
      <c r="AB1398" t="n">
        <v>2</v>
      </c>
      <c r="AC1398" t="n">
        <v>2</v>
      </c>
      <c r="AD1398" t="n">
        <v>26</v>
      </c>
      <c r="AE1398" t="n">
        <v>26</v>
      </c>
      <c r="AF1398" t="n">
        <v>13</v>
      </c>
      <c r="AG1398" t="n">
        <v>13</v>
      </c>
      <c r="AH1398" t="n">
        <v>7</v>
      </c>
      <c r="AI1398" t="n">
        <v>7</v>
      </c>
      <c r="AJ1398" t="n">
        <v>13</v>
      </c>
      <c r="AK1398" t="n">
        <v>13</v>
      </c>
      <c r="AL1398" t="n">
        <v>1</v>
      </c>
      <c r="AM1398" t="n">
        <v>1</v>
      </c>
      <c r="AN1398" t="n">
        <v>0</v>
      </c>
      <c r="AO1398" t="n">
        <v>0</v>
      </c>
      <c r="AP1398" t="inlineStr">
        <is>
          <t>No</t>
        </is>
      </c>
      <c r="AQ1398" t="inlineStr">
        <is>
          <t>Yes</t>
        </is>
      </c>
      <c r="AR1398">
        <f>HYPERLINK("http://catalog.hathitrust.org/Record/000729531","HathiTrust Record")</f>
        <v/>
      </c>
      <c r="AS1398">
        <f>HYPERLINK("https://creighton-primo.hosted.exlibrisgroup.com/primo-explore/search?tab=default_tab&amp;search_scope=EVERYTHING&amp;vid=01CRU&amp;lang=en_US&amp;offset=0&amp;query=any,contains,991004854869702656","Catalog Record")</f>
        <v/>
      </c>
      <c r="AT1398">
        <f>HYPERLINK("http://www.worldcat.org/oclc/5669481","WorldCat Record")</f>
        <v/>
      </c>
      <c r="AU1398" t="inlineStr">
        <is>
          <t>3856546207:eng</t>
        </is>
      </c>
      <c r="AV1398" t="inlineStr">
        <is>
          <t>5669481</t>
        </is>
      </c>
      <c r="AW1398" t="inlineStr">
        <is>
          <t>991004854869702656</t>
        </is>
      </c>
      <c r="AX1398" t="inlineStr">
        <is>
          <t>991004854869702656</t>
        </is>
      </c>
      <c r="AY1398" t="inlineStr">
        <is>
          <t>2262818590002656</t>
        </is>
      </c>
      <c r="AZ1398" t="inlineStr">
        <is>
          <t>BOOK</t>
        </is>
      </c>
      <c r="BB1398" t="inlineStr">
        <is>
          <t>9780892410927</t>
        </is>
      </c>
      <c r="BC1398" t="inlineStr">
        <is>
          <t>32285000319102</t>
        </is>
      </c>
      <c r="BD1398" t="inlineStr">
        <is>
          <t>893612855</t>
        </is>
      </c>
    </row>
    <row r="1399">
      <c r="A1399" t="inlineStr">
        <is>
          <t>No</t>
        </is>
      </c>
      <c r="B1399" t="inlineStr">
        <is>
          <t>GV23 .K5 1965</t>
        </is>
      </c>
      <c r="C1399" t="inlineStr">
        <is>
          <t>0                      GV 0023000K  5           1965</t>
        </is>
      </c>
      <c r="D1399" t="inlineStr">
        <is>
          <t>The story of the Olympic games, 776 B.C. to 1964 / by John Kieran and Arthur Daley.</t>
        </is>
      </c>
      <c r="F1399" t="inlineStr">
        <is>
          <t>No</t>
        </is>
      </c>
      <c r="G1399" t="inlineStr">
        <is>
          <t>1</t>
        </is>
      </c>
      <c r="H1399" t="inlineStr">
        <is>
          <t>No</t>
        </is>
      </c>
      <c r="I1399" t="inlineStr">
        <is>
          <t>No</t>
        </is>
      </c>
      <c r="J1399" t="inlineStr">
        <is>
          <t>0</t>
        </is>
      </c>
      <c r="K1399" t="inlineStr">
        <is>
          <t>Kieran, John, 1892-1981.</t>
        </is>
      </c>
      <c r="L1399" t="inlineStr">
        <is>
          <t>Philadelphia : Lippincott, [1965]</t>
        </is>
      </c>
      <c r="M1399" t="inlineStr">
        <is>
          <t>1965</t>
        </is>
      </c>
      <c r="N1399" t="inlineStr">
        <is>
          <t>[Rev. ed.]</t>
        </is>
      </c>
      <c r="O1399" t="inlineStr">
        <is>
          <t>eng</t>
        </is>
      </c>
      <c r="P1399" t="inlineStr">
        <is>
          <t>pau</t>
        </is>
      </c>
      <c r="R1399" t="inlineStr">
        <is>
          <t xml:space="preserve">GV </t>
        </is>
      </c>
      <c r="S1399" t="n">
        <v>15</v>
      </c>
      <c r="T1399" t="n">
        <v>15</v>
      </c>
      <c r="U1399" t="inlineStr">
        <is>
          <t>2007-10-29</t>
        </is>
      </c>
      <c r="V1399" t="inlineStr">
        <is>
          <t>2007-10-29</t>
        </is>
      </c>
      <c r="W1399" t="inlineStr">
        <is>
          <t>1994-03-16</t>
        </is>
      </c>
      <c r="X1399" t="inlineStr">
        <is>
          <t>1994-03-16</t>
        </is>
      </c>
      <c r="Y1399" t="n">
        <v>369</v>
      </c>
      <c r="Z1399" t="n">
        <v>351</v>
      </c>
      <c r="AA1399" t="n">
        <v>366</v>
      </c>
      <c r="AB1399" t="n">
        <v>3</v>
      </c>
      <c r="AC1399" t="n">
        <v>4</v>
      </c>
      <c r="AD1399" t="n">
        <v>6</v>
      </c>
      <c r="AE1399" t="n">
        <v>7</v>
      </c>
      <c r="AF1399" t="n">
        <v>2</v>
      </c>
      <c r="AG1399" t="n">
        <v>2</v>
      </c>
      <c r="AH1399" t="n">
        <v>2</v>
      </c>
      <c r="AI1399" t="n">
        <v>2</v>
      </c>
      <c r="AJ1399" t="n">
        <v>1</v>
      </c>
      <c r="AK1399" t="n">
        <v>1</v>
      </c>
      <c r="AL1399" t="n">
        <v>1</v>
      </c>
      <c r="AM1399" t="n">
        <v>2</v>
      </c>
      <c r="AN1399" t="n">
        <v>1</v>
      </c>
      <c r="AO1399" t="n">
        <v>1</v>
      </c>
      <c r="AP1399" t="inlineStr">
        <is>
          <t>No</t>
        </is>
      </c>
      <c r="AQ1399" t="inlineStr">
        <is>
          <t>Yes</t>
        </is>
      </c>
      <c r="AR1399">
        <f>HYPERLINK("http://catalog.hathitrust.org/Record/102071794","HathiTrust Record")</f>
        <v/>
      </c>
      <c r="AS1399">
        <f>HYPERLINK("https://creighton-primo.hosted.exlibrisgroup.com/primo-explore/search?tab=default_tab&amp;search_scope=EVERYTHING&amp;vid=01CRU&amp;lang=en_US&amp;offset=0&amp;query=any,contains,991002731389702656","Catalog Record")</f>
        <v/>
      </c>
      <c r="AT1399">
        <f>HYPERLINK("http://www.worldcat.org/oclc/416640","WorldCat Record")</f>
        <v/>
      </c>
      <c r="AU1399" t="inlineStr">
        <is>
          <t>10627802695:eng</t>
        </is>
      </c>
      <c r="AV1399" t="inlineStr">
        <is>
          <t>416640</t>
        </is>
      </c>
      <c r="AW1399" t="inlineStr">
        <is>
          <t>991002731389702656</t>
        </is>
      </c>
      <c r="AX1399" t="inlineStr">
        <is>
          <t>991002731389702656</t>
        </is>
      </c>
      <c r="AY1399" t="inlineStr">
        <is>
          <t>2268808530002656</t>
        </is>
      </c>
      <c r="AZ1399" t="inlineStr">
        <is>
          <t>BOOK</t>
        </is>
      </c>
      <c r="BC1399" t="inlineStr">
        <is>
          <t>32285001853844</t>
        </is>
      </c>
      <c r="BD1399" t="inlineStr">
        <is>
          <t>893517673</t>
        </is>
      </c>
    </row>
    <row r="1400">
      <c r="A1400" t="inlineStr">
        <is>
          <t>No</t>
        </is>
      </c>
      <c r="B1400" t="inlineStr">
        <is>
          <t>GV23 .Y7 1984</t>
        </is>
      </c>
      <c r="C1400" t="inlineStr">
        <is>
          <t>0                      GV 0023000Y  7           1984</t>
        </is>
      </c>
      <c r="D1400" t="inlineStr">
        <is>
          <t>The Olympic myth of Greek amateur athletics / by David C. Young.</t>
        </is>
      </c>
      <c r="F1400" t="inlineStr">
        <is>
          <t>No</t>
        </is>
      </c>
      <c r="G1400" t="inlineStr">
        <is>
          <t>1</t>
        </is>
      </c>
      <c r="H1400" t="inlineStr">
        <is>
          <t>No</t>
        </is>
      </c>
      <c r="I1400" t="inlineStr">
        <is>
          <t>No</t>
        </is>
      </c>
      <c r="J1400" t="inlineStr">
        <is>
          <t>0</t>
        </is>
      </c>
      <c r="K1400" t="inlineStr">
        <is>
          <t>Young, David C.</t>
        </is>
      </c>
      <c r="L1400" t="inlineStr">
        <is>
          <t>Chicago : Ares Publishers, 1984.</t>
        </is>
      </c>
      <c r="M1400" t="inlineStr">
        <is>
          <t>1984</t>
        </is>
      </c>
      <c r="N1400" t="inlineStr">
        <is>
          <t>1st ed.</t>
        </is>
      </c>
      <c r="O1400" t="inlineStr">
        <is>
          <t>eng</t>
        </is>
      </c>
      <c r="P1400" t="inlineStr">
        <is>
          <t>ilu</t>
        </is>
      </c>
      <c r="Q1400" t="inlineStr">
        <is>
          <t>Library of ancient athletics</t>
        </is>
      </c>
      <c r="R1400" t="inlineStr">
        <is>
          <t xml:space="preserve">GV </t>
        </is>
      </c>
      <c r="S1400" t="n">
        <v>10</v>
      </c>
      <c r="T1400" t="n">
        <v>10</v>
      </c>
      <c r="U1400" t="inlineStr">
        <is>
          <t>2005-02-19</t>
        </is>
      </c>
      <c r="V1400" t="inlineStr">
        <is>
          <t>2005-02-19</t>
        </is>
      </c>
      <c r="W1400" t="inlineStr">
        <is>
          <t>1990-10-03</t>
        </is>
      </c>
      <c r="X1400" t="inlineStr">
        <is>
          <t>1990-10-03</t>
        </is>
      </c>
      <c r="Y1400" t="n">
        <v>289</v>
      </c>
      <c r="Z1400" t="n">
        <v>232</v>
      </c>
      <c r="AA1400" t="n">
        <v>246</v>
      </c>
      <c r="AB1400" t="n">
        <v>2</v>
      </c>
      <c r="AC1400" t="n">
        <v>2</v>
      </c>
      <c r="AD1400" t="n">
        <v>17</v>
      </c>
      <c r="AE1400" t="n">
        <v>17</v>
      </c>
      <c r="AF1400" t="n">
        <v>5</v>
      </c>
      <c r="AG1400" t="n">
        <v>5</v>
      </c>
      <c r="AH1400" t="n">
        <v>5</v>
      </c>
      <c r="AI1400" t="n">
        <v>5</v>
      </c>
      <c r="AJ1400" t="n">
        <v>13</v>
      </c>
      <c r="AK1400" t="n">
        <v>13</v>
      </c>
      <c r="AL1400" t="n">
        <v>0</v>
      </c>
      <c r="AM1400" t="n">
        <v>0</v>
      </c>
      <c r="AN1400" t="n">
        <v>0</v>
      </c>
      <c r="AO1400" t="n">
        <v>0</v>
      </c>
      <c r="AP1400" t="inlineStr">
        <is>
          <t>No</t>
        </is>
      </c>
      <c r="AQ1400" t="inlineStr">
        <is>
          <t>Yes</t>
        </is>
      </c>
      <c r="AR1400">
        <f>HYPERLINK("http://catalog.hathitrust.org/Record/007103218","HathiTrust Record")</f>
        <v/>
      </c>
      <c r="AS1400">
        <f>HYPERLINK("https://creighton-primo.hosted.exlibrisgroup.com/primo-explore/search?tab=default_tab&amp;search_scope=EVERYTHING&amp;vid=01CRU&amp;lang=en_US&amp;offset=0&amp;query=any,contains,991000453239702656","Catalog Record")</f>
        <v/>
      </c>
      <c r="AT1400">
        <f>HYPERLINK("http://www.worldcat.org/oclc/10911356","WorldCat Record")</f>
        <v/>
      </c>
      <c r="AU1400" t="inlineStr">
        <is>
          <t>2943625:eng</t>
        </is>
      </c>
      <c r="AV1400" t="inlineStr">
        <is>
          <t>10911356</t>
        </is>
      </c>
      <c r="AW1400" t="inlineStr">
        <is>
          <t>991000453239702656</t>
        </is>
      </c>
      <c r="AX1400" t="inlineStr">
        <is>
          <t>991000453239702656</t>
        </is>
      </c>
      <c r="AY1400" t="inlineStr">
        <is>
          <t>2257404280002656</t>
        </is>
      </c>
      <c r="AZ1400" t="inlineStr">
        <is>
          <t>BOOK</t>
        </is>
      </c>
      <c r="BB1400" t="inlineStr">
        <is>
          <t>9780890055236</t>
        </is>
      </c>
      <c r="BC1400" t="inlineStr">
        <is>
          <t>32285000319128</t>
        </is>
      </c>
      <c r="BD1400" t="inlineStr">
        <is>
          <t>893425720</t>
        </is>
      </c>
    </row>
    <row r="1401">
      <c r="A1401" t="inlineStr">
        <is>
          <t>No</t>
        </is>
      </c>
      <c r="B1401" t="inlineStr">
        <is>
          <t>GV31 .N37 2005</t>
        </is>
      </c>
      <c r="C1401" t="inlineStr">
        <is>
          <t>0                      GV 0031000N  37          2005</t>
        </is>
      </c>
      <c r="D1401" t="inlineStr">
        <is>
          <t>Games of ancient Rome / Don Nardo.</t>
        </is>
      </c>
      <c r="F1401" t="inlineStr">
        <is>
          <t>No</t>
        </is>
      </c>
      <c r="G1401" t="inlineStr">
        <is>
          <t>1</t>
        </is>
      </c>
      <c r="H1401" t="inlineStr">
        <is>
          <t>No</t>
        </is>
      </c>
      <c r="I1401" t="inlineStr">
        <is>
          <t>No</t>
        </is>
      </c>
      <c r="J1401" t="inlineStr">
        <is>
          <t>0</t>
        </is>
      </c>
      <c r="K1401" t="inlineStr">
        <is>
          <t>Nardo, Don, 1947-</t>
        </is>
      </c>
      <c r="L1401" t="inlineStr">
        <is>
          <t>San Diego, Calif. : KidHaven Press, c2005.</t>
        </is>
      </c>
      <c r="M1401" t="inlineStr">
        <is>
          <t>2005</t>
        </is>
      </c>
      <c r="O1401" t="inlineStr">
        <is>
          <t>eng</t>
        </is>
      </c>
      <c r="P1401" t="inlineStr">
        <is>
          <t>cau</t>
        </is>
      </c>
      <c r="Q1401" t="inlineStr">
        <is>
          <t>Daily life</t>
        </is>
      </c>
      <c r="R1401" t="inlineStr">
        <is>
          <t xml:space="preserve">GV </t>
        </is>
      </c>
      <c r="S1401" t="n">
        <v>2</v>
      </c>
      <c r="T1401" t="n">
        <v>2</v>
      </c>
      <c r="U1401" t="inlineStr">
        <is>
          <t>2007-10-27</t>
        </is>
      </c>
      <c r="V1401" t="inlineStr">
        <is>
          <t>2007-10-27</t>
        </is>
      </c>
      <c r="W1401" t="inlineStr">
        <is>
          <t>2005-05-24</t>
        </is>
      </c>
      <c r="X1401" t="inlineStr">
        <is>
          <t>2005-05-24</t>
        </is>
      </c>
      <c r="Y1401" t="n">
        <v>81</v>
      </c>
      <c r="Z1401" t="n">
        <v>77</v>
      </c>
      <c r="AA1401" t="n">
        <v>415</v>
      </c>
      <c r="AB1401" t="n">
        <v>1</v>
      </c>
      <c r="AC1401" t="n">
        <v>3</v>
      </c>
      <c r="AD1401" t="n">
        <v>2</v>
      </c>
      <c r="AE1401" t="n">
        <v>4</v>
      </c>
      <c r="AF1401" t="n">
        <v>2</v>
      </c>
      <c r="AG1401" t="n">
        <v>3</v>
      </c>
      <c r="AH1401" t="n">
        <v>0</v>
      </c>
      <c r="AI1401" t="n">
        <v>0</v>
      </c>
      <c r="AJ1401" t="n">
        <v>0</v>
      </c>
      <c r="AK1401" t="n">
        <v>2</v>
      </c>
      <c r="AL1401" t="n">
        <v>0</v>
      </c>
      <c r="AM1401" t="n">
        <v>0</v>
      </c>
      <c r="AN1401" t="n">
        <v>0</v>
      </c>
      <c r="AO1401" t="n">
        <v>0</v>
      </c>
      <c r="AP1401" t="inlineStr">
        <is>
          <t>No</t>
        </is>
      </c>
      <c r="AQ1401" t="inlineStr">
        <is>
          <t>No</t>
        </is>
      </c>
      <c r="AS1401">
        <f>HYPERLINK("https://creighton-primo.hosted.exlibrisgroup.com/primo-explore/search?tab=default_tab&amp;search_scope=EVERYTHING&amp;vid=01CRU&amp;lang=en_US&amp;offset=0&amp;query=any,contains,991004547829702656","Catalog Record")</f>
        <v/>
      </c>
      <c r="AT1401">
        <f>HYPERLINK("http://www.worldcat.org/oclc/56104175","WorldCat Record")</f>
        <v/>
      </c>
      <c r="AU1401" t="inlineStr">
        <is>
          <t>942066:eng</t>
        </is>
      </c>
      <c r="AV1401" t="inlineStr">
        <is>
          <t>56104175</t>
        </is>
      </c>
      <c r="AW1401" t="inlineStr">
        <is>
          <t>991004547829702656</t>
        </is>
      </c>
      <c r="AX1401" t="inlineStr">
        <is>
          <t>991004547829702656</t>
        </is>
      </c>
      <c r="AY1401" t="inlineStr">
        <is>
          <t>2263866300002656</t>
        </is>
      </c>
      <c r="AZ1401" t="inlineStr">
        <is>
          <t>BOOK</t>
        </is>
      </c>
      <c r="BB1401" t="inlineStr">
        <is>
          <t>9780737723458</t>
        </is>
      </c>
      <c r="BC1401" t="inlineStr">
        <is>
          <t>32285005039069</t>
        </is>
      </c>
      <c r="BD1401" t="inlineStr">
        <is>
          <t>893767916</t>
        </is>
      </c>
    </row>
    <row r="1402">
      <c r="A1402" t="inlineStr">
        <is>
          <t>No</t>
        </is>
      </c>
      <c r="B1402" t="inlineStr">
        <is>
          <t>GV343.5 .J46 1992</t>
        </is>
      </c>
      <c r="C1402" t="inlineStr">
        <is>
          <t>0                      GV 0343500J  46          1992</t>
        </is>
      </c>
      <c r="D1402" t="inlineStr">
        <is>
          <t>Administrative management of physical education and athletic programs / Clayne R. Jensen.</t>
        </is>
      </c>
      <c r="F1402" t="inlineStr">
        <is>
          <t>No</t>
        </is>
      </c>
      <c r="G1402" t="inlineStr">
        <is>
          <t>1</t>
        </is>
      </c>
      <c r="H1402" t="inlineStr">
        <is>
          <t>No</t>
        </is>
      </c>
      <c r="I1402" t="inlineStr">
        <is>
          <t>No</t>
        </is>
      </c>
      <c r="J1402" t="inlineStr">
        <is>
          <t>0</t>
        </is>
      </c>
      <c r="K1402" t="inlineStr">
        <is>
          <t>Jensen, Clayne R.</t>
        </is>
      </c>
      <c r="L1402" t="inlineStr">
        <is>
          <t>Phildadelphia : Lea &amp; Febiger, 1992.</t>
        </is>
      </c>
      <c r="M1402" t="inlineStr">
        <is>
          <t>1992</t>
        </is>
      </c>
      <c r="N1402" t="inlineStr">
        <is>
          <t>3rd ed.</t>
        </is>
      </c>
      <c r="O1402" t="inlineStr">
        <is>
          <t>eng</t>
        </is>
      </c>
      <c r="P1402" t="inlineStr">
        <is>
          <t>pau</t>
        </is>
      </c>
      <c r="R1402" t="inlineStr">
        <is>
          <t xml:space="preserve">GV </t>
        </is>
      </c>
      <c r="S1402" t="n">
        <v>2</v>
      </c>
      <c r="T1402" t="n">
        <v>2</v>
      </c>
      <c r="U1402" t="inlineStr">
        <is>
          <t>2006-08-10</t>
        </is>
      </c>
      <c r="V1402" t="inlineStr">
        <is>
          <t>2006-08-10</t>
        </is>
      </c>
      <c r="W1402" t="inlineStr">
        <is>
          <t>1992-10-08</t>
        </is>
      </c>
      <c r="X1402" t="inlineStr">
        <is>
          <t>1992-10-08</t>
        </is>
      </c>
      <c r="Y1402" t="n">
        <v>199</v>
      </c>
      <c r="Z1402" t="n">
        <v>163</v>
      </c>
      <c r="AA1402" t="n">
        <v>503</v>
      </c>
      <c r="AB1402" t="n">
        <v>4</v>
      </c>
      <c r="AC1402" t="n">
        <v>8</v>
      </c>
      <c r="AD1402" t="n">
        <v>11</v>
      </c>
      <c r="AE1402" t="n">
        <v>21</v>
      </c>
      <c r="AF1402" t="n">
        <v>3</v>
      </c>
      <c r="AG1402" t="n">
        <v>7</v>
      </c>
      <c r="AH1402" t="n">
        <v>4</v>
      </c>
      <c r="AI1402" t="n">
        <v>5</v>
      </c>
      <c r="AJ1402" t="n">
        <v>4</v>
      </c>
      <c r="AK1402" t="n">
        <v>6</v>
      </c>
      <c r="AL1402" t="n">
        <v>3</v>
      </c>
      <c r="AM1402" t="n">
        <v>7</v>
      </c>
      <c r="AN1402" t="n">
        <v>0</v>
      </c>
      <c r="AO1402" t="n">
        <v>0</v>
      </c>
      <c r="AP1402" t="inlineStr">
        <is>
          <t>No</t>
        </is>
      </c>
      <c r="AQ1402" t="inlineStr">
        <is>
          <t>No</t>
        </is>
      </c>
      <c r="AS1402">
        <f>HYPERLINK("https://creighton-primo.hosted.exlibrisgroup.com/primo-explore/search?tab=default_tab&amp;search_scope=EVERYTHING&amp;vid=01CRU&amp;lang=en_US&amp;offset=0&amp;query=any,contains,991002047499702656","Catalog Record")</f>
        <v/>
      </c>
      <c r="AT1402">
        <f>HYPERLINK("http://www.worldcat.org/oclc/26132309","WorldCat Record")</f>
        <v/>
      </c>
      <c r="AU1402" t="inlineStr">
        <is>
          <t>11532701:eng</t>
        </is>
      </c>
      <c r="AV1402" t="inlineStr">
        <is>
          <t>26132309</t>
        </is>
      </c>
      <c r="AW1402" t="inlineStr">
        <is>
          <t>991002047499702656</t>
        </is>
      </c>
      <c r="AX1402" t="inlineStr">
        <is>
          <t>991002047499702656</t>
        </is>
      </c>
      <c r="AY1402" t="inlineStr">
        <is>
          <t>2261752400002656</t>
        </is>
      </c>
      <c r="AZ1402" t="inlineStr">
        <is>
          <t>BOOK</t>
        </is>
      </c>
      <c r="BB1402" t="inlineStr">
        <is>
          <t>9780812115383</t>
        </is>
      </c>
      <c r="BC1402" t="inlineStr">
        <is>
          <t>32285001316289</t>
        </is>
      </c>
      <c r="BD1402" t="inlineStr">
        <is>
          <t>893715982</t>
        </is>
      </c>
    </row>
    <row r="1403">
      <c r="A1403" t="inlineStr">
        <is>
          <t>No</t>
        </is>
      </c>
      <c r="B1403" t="inlineStr">
        <is>
          <t>GV344 .K57 2010</t>
        </is>
      </c>
      <c r="C1403" t="inlineStr">
        <is>
          <t>0                      GV 0344000K  57          2010</t>
        </is>
      </c>
      <c r="D1403" t="inlineStr">
        <is>
          <t>Developing clinical proficiency in athletic training : a modular approach / Kenneth L. Knight, Kirk Brumels.</t>
        </is>
      </c>
      <c r="F1403" t="inlineStr">
        <is>
          <t>No</t>
        </is>
      </c>
      <c r="G1403" t="inlineStr">
        <is>
          <t>1</t>
        </is>
      </c>
      <c r="H1403" t="inlineStr">
        <is>
          <t>No</t>
        </is>
      </c>
      <c r="I1403" t="inlineStr">
        <is>
          <t>No</t>
        </is>
      </c>
      <c r="J1403" t="inlineStr">
        <is>
          <t>0</t>
        </is>
      </c>
      <c r="K1403" t="inlineStr">
        <is>
          <t>Knight, Kenneth L.</t>
        </is>
      </c>
      <c r="L1403" t="inlineStr">
        <is>
          <t>Champaign, IL : Human Kinetics, c2010.</t>
        </is>
      </c>
      <c r="M1403" t="inlineStr">
        <is>
          <t>2010</t>
        </is>
      </c>
      <c r="N1403" t="inlineStr">
        <is>
          <t>4th ed.</t>
        </is>
      </c>
      <c r="O1403" t="inlineStr">
        <is>
          <t>eng</t>
        </is>
      </c>
      <c r="P1403" t="inlineStr">
        <is>
          <t>ilu</t>
        </is>
      </c>
      <c r="Q1403" t="inlineStr">
        <is>
          <t>Athletic training education series</t>
        </is>
      </c>
      <c r="R1403" t="inlineStr">
        <is>
          <t xml:space="preserve">GV </t>
        </is>
      </c>
      <c r="S1403" t="n">
        <v>1</v>
      </c>
      <c r="T1403" t="n">
        <v>1</v>
      </c>
      <c r="U1403" t="inlineStr">
        <is>
          <t>2010-03-03</t>
        </is>
      </c>
      <c r="V1403" t="inlineStr">
        <is>
          <t>2010-03-03</t>
        </is>
      </c>
      <c r="W1403" t="inlineStr">
        <is>
          <t>2010-03-03</t>
        </is>
      </c>
      <c r="X1403" t="inlineStr">
        <is>
          <t>2010-03-03</t>
        </is>
      </c>
      <c r="Y1403" t="n">
        <v>142</v>
      </c>
      <c r="Z1403" t="n">
        <v>98</v>
      </c>
      <c r="AA1403" t="n">
        <v>100</v>
      </c>
      <c r="AB1403" t="n">
        <v>3</v>
      </c>
      <c r="AC1403" t="n">
        <v>3</v>
      </c>
      <c r="AD1403" t="n">
        <v>6</v>
      </c>
      <c r="AE1403" t="n">
        <v>6</v>
      </c>
      <c r="AF1403" t="n">
        <v>3</v>
      </c>
      <c r="AG1403" t="n">
        <v>3</v>
      </c>
      <c r="AH1403" t="n">
        <v>2</v>
      </c>
      <c r="AI1403" t="n">
        <v>2</v>
      </c>
      <c r="AJ1403" t="n">
        <v>3</v>
      </c>
      <c r="AK1403" t="n">
        <v>3</v>
      </c>
      <c r="AL1403" t="n">
        <v>2</v>
      </c>
      <c r="AM1403" t="n">
        <v>2</v>
      </c>
      <c r="AN1403" t="n">
        <v>0</v>
      </c>
      <c r="AO1403" t="n">
        <v>0</v>
      </c>
      <c r="AP1403" t="inlineStr">
        <is>
          <t>No</t>
        </is>
      </c>
      <c r="AQ1403" t="inlineStr">
        <is>
          <t>No</t>
        </is>
      </c>
      <c r="AS1403">
        <f>HYPERLINK("https://creighton-primo.hosted.exlibrisgroup.com/primo-explore/search?tab=default_tab&amp;search_scope=EVERYTHING&amp;vid=01CRU&amp;lang=en_US&amp;offset=0&amp;query=any,contains,991005367659702656","Catalog Record")</f>
        <v/>
      </c>
      <c r="AT1403">
        <f>HYPERLINK("http://www.worldcat.org/oclc/359240274","WorldCat Record")</f>
        <v/>
      </c>
      <c r="AU1403" t="inlineStr">
        <is>
          <t>246282685:eng</t>
        </is>
      </c>
      <c r="AV1403" t="inlineStr">
        <is>
          <t>359240274</t>
        </is>
      </c>
      <c r="AW1403" t="inlineStr">
        <is>
          <t>991005367659702656</t>
        </is>
      </c>
      <c r="AX1403" t="inlineStr">
        <is>
          <t>991005367659702656</t>
        </is>
      </c>
      <c r="AY1403" t="inlineStr">
        <is>
          <t>2261899350002656</t>
        </is>
      </c>
      <c r="AZ1403" t="inlineStr">
        <is>
          <t>BOOK</t>
        </is>
      </c>
      <c r="BB1403" t="inlineStr">
        <is>
          <t>9780736083614</t>
        </is>
      </c>
      <c r="BC1403" t="inlineStr">
        <is>
          <t>32285005576078</t>
        </is>
      </c>
      <c r="BD1403" t="inlineStr">
        <is>
          <t>893412754</t>
        </is>
      </c>
    </row>
    <row r="1404">
      <c r="A1404" t="inlineStr">
        <is>
          <t>No</t>
        </is>
      </c>
      <c r="B1404" t="inlineStr">
        <is>
          <t>GV351 .C76 2006</t>
        </is>
      </c>
      <c r="C1404" t="inlineStr">
        <is>
          <t>0                      GV 0351000C  76          2006</t>
        </is>
      </c>
      <c r="D1404" t="inlineStr">
        <is>
          <t>In the arena : the NCAA's first century / by Joseph N. Crowley.</t>
        </is>
      </c>
      <c r="F1404" t="inlineStr">
        <is>
          <t>No</t>
        </is>
      </c>
      <c r="G1404" t="inlineStr">
        <is>
          <t>1</t>
        </is>
      </c>
      <c r="H1404" t="inlineStr">
        <is>
          <t>No</t>
        </is>
      </c>
      <c r="I1404" t="inlineStr">
        <is>
          <t>No</t>
        </is>
      </c>
      <c r="J1404" t="inlineStr">
        <is>
          <t>0</t>
        </is>
      </c>
      <c r="K1404" t="inlineStr">
        <is>
          <t>Crowley, Joseph N., 1933-2017.</t>
        </is>
      </c>
      <c r="L1404" t="inlineStr">
        <is>
          <t>Indianapolis, IN : NCAA, 2006.</t>
        </is>
      </c>
      <c r="M1404" t="inlineStr">
        <is>
          <t>2006</t>
        </is>
      </c>
      <c r="O1404" t="inlineStr">
        <is>
          <t>eng</t>
        </is>
      </c>
      <c r="P1404" t="inlineStr">
        <is>
          <t>inu</t>
        </is>
      </c>
      <c r="R1404" t="inlineStr">
        <is>
          <t xml:space="preserve">GV </t>
        </is>
      </c>
      <c r="S1404" t="n">
        <v>2</v>
      </c>
      <c r="T1404" t="n">
        <v>2</v>
      </c>
      <c r="U1404" t="inlineStr">
        <is>
          <t>2006-09-22</t>
        </is>
      </c>
      <c r="V1404" t="inlineStr">
        <is>
          <t>2006-09-22</t>
        </is>
      </c>
      <c r="W1404" t="inlineStr">
        <is>
          <t>2006-05-01</t>
        </is>
      </c>
      <c r="X1404" t="inlineStr">
        <is>
          <t>2006-05-01</t>
        </is>
      </c>
      <c r="Y1404" t="n">
        <v>353</v>
      </c>
      <c r="Z1404" t="n">
        <v>342</v>
      </c>
      <c r="AA1404" t="n">
        <v>352</v>
      </c>
      <c r="AB1404" t="n">
        <v>2</v>
      </c>
      <c r="AC1404" t="n">
        <v>2</v>
      </c>
      <c r="AD1404" t="n">
        <v>18</v>
      </c>
      <c r="AE1404" t="n">
        <v>18</v>
      </c>
      <c r="AF1404" t="n">
        <v>6</v>
      </c>
      <c r="AG1404" t="n">
        <v>6</v>
      </c>
      <c r="AH1404" t="n">
        <v>5</v>
      </c>
      <c r="AI1404" t="n">
        <v>5</v>
      </c>
      <c r="AJ1404" t="n">
        <v>6</v>
      </c>
      <c r="AK1404" t="n">
        <v>6</v>
      </c>
      <c r="AL1404" t="n">
        <v>1</v>
      </c>
      <c r="AM1404" t="n">
        <v>1</v>
      </c>
      <c r="AN1404" t="n">
        <v>3</v>
      </c>
      <c r="AO1404" t="n">
        <v>3</v>
      </c>
      <c r="AP1404" t="inlineStr">
        <is>
          <t>No</t>
        </is>
      </c>
      <c r="AQ1404" t="inlineStr">
        <is>
          <t>Yes</t>
        </is>
      </c>
      <c r="AR1404">
        <f>HYPERLINK("http://catalog.hathitrust.org/Record/005213700","HathiTrust Record")</f>
        <v/>
      </c>
      <c r="AS1404">
        <f>HYPERLINK("https://creighton-primo.hosted.exlibrisgroup.com/primo-explore/search?tab=default_tab&amp;search_scope=EVERYTHING&amp;vid=01CRU&amp;lang=en_US&amp;offset=0&amp;query=any,contains,991004806649702656","Catalog Record")</f>
        <v/>
      </c>
      <c r="AT1404">
        <f>HYPERLINK("http://www.worldcat.org/oclc/62901897","WorldCat Record")</f>
        <v/>
      </c>
      <c r="AU1404" t="inlineStr">
        <is>
          <t>479731130:eng</t>
        </is>
      </c>
      <c r="AV1404" t="inlineStr">
        <is>
          <t>62901897</t>
        </is>
      </c>
      <c r="AW1404" t="inlineStr">
        <is>
          <t>991004806649702656</t>
        </is>
      </c>
      <c r="AX1404" t="inlineStr">
        <is>
          <t>991004806649702656</t>
        </is>
      </c>
      <c r="AY1404" t="inlineStr">
        <is>
          <t>2263600700002656</t>
        </is>
      </c>
      <c r="AZ1404" t="inlineStr">
        <is>
          <t>BOOK</t>
        </is>
      </c>
      <c r="BB1404" t="inlineStr">
        <is>
          <t>9780977494606</t>
        </is>
      </c>
      <c r="BC1404" t="inlineStr">
        <is>
          <t>32285005183933</t>
        </is>
      </c>
      <c r="BD1404" t="inlineStr">
        <is>
          <t>893612794</t>
        </is>
      </c>
    </row>
    <row r="1405">
      <c r="A1405" t="inlineStr">
        <is>
          <t>No</t>
        </is>
      </c>
      <c r="B1405" t="inlineStr">
        <is>
          <t>GV351 .F86 1991</t>
        </is>
      </c>
      <c r="C1405" t="inlineStr">
        <is>
          <t>0                      GV 0351000F  86          1991</t>
        </is>
      </c>
      <c r="D1405" t="inlineStr">
        <is>
          <t>Major violation : the unbalanced priorities in athletics and academics / Gary D. Funk.</t>
        </is>
      </c>
      <c r="F1405" t="inlineStr">
        <is>
          <t>No</t>
        </is>
      </c>
      <c r="G1405" t="inlineStr">
        <is>
          <t>1</t>
        </is>
      </c>
      <c r="H1405" t="inlineStr">
        <is>
          <t>No</t>
        </is>
      </c>
      <c r="I1405" t="inlineStr">
        <is>
          <t>No</t>
        </is>
      </c>
      <c r="J1405" t="inlineStr">
        <is>
          <t>0</t>
        </is>
      </c>
      <c r="K1405" t="inlineStr">
        <is>
          <t>Funk, Gary D., 1958-</t>
        </is>
      </c>
      <c r="L1405" t="inlineStr">
        <is>
          <t>Champaign, Ill. : Leisure Press, c1991.</t>
        </is>
      </c>
      <c r="M1405" t="inlineStr">
        <is>
          <t>1991</t>
        </is>
      </c>
      <c r="O1405" t="inlineStr">
        <is>
          <t>eng</t>
        </is>
      </c>
      <c r="P1405" t="inlineStr">
        <is>
          <t>ilu</t>
        </is>
      </c>
      <c r="R1405" t="inlineStr">
        <is>
          <t xml:space="preserve">GV </t>
        </is>
      </c>
      <c r="S1405" t="n">
        <v>2</v>
      </c>
      <c r="T1405" t="n">
        <v>2</v>
      </c>
      <c r="U1405" t="inlineStr">
        <is>
          <t>2006-11-16</t>
        </is>
      </c>
      <c r="V1405" t="inlineStr">
        <is>
          <t>2006-11-16</t>
        </is>
      </c>
      <c r="W1405" t="inlineStr">
        <is>
          <t>2006-11-16</t>
        </is>
      </c>
      <c r="X1405" t="inlineStr">
        <is>
          <t>2006-11-16</t>
        </is>
      </c>
      <c r="Y1405" t="n">
        <v>705</v>
      </c>
      <c r="Z1405" t="n">
        <v>644</v>
      </c>
      <c r="AA1405" t="n">
        <v>651</v>
      </c>
      <c r="AB1405" t="n">
        <v>11</v>
      </c>
      <c r="AC1405" t="n">
        <v>11</v>
      </c>
      <c r="AD1405" t="n">
        <v>27</v>
      </c>
      <c r="AE1405" t="n">
        <v>27</v>
      </c>
      <c r="AF1405" t="n">
        <v>9</v>
      </c>
      <c r="AG1405" t="n">
        <v>9</v>
      </c>
      <c r="AH1405" t="n">
        <v>6</v>
      </c>
      <c r="AI1405" t="n">
        <v>6</v>
      </c>
      <c r="AJ1405" t="n">
        <v>9</v>
      </c>
      <c r="AK1405" t="n">
        <v>9</v>
      </c>
      <c r="AL1405" t="n">
        <v>7</v>
      </c>
      <c r="AM1405" t="n">
        <v>7</v>
      </c>
      <c r="AN1405" t="n">
        <v>0</v>
      </c>
      <c r="AO1405" t="n">
        <v>0</v>
      </c>
      <c r="AP1405" t="inlineStr">
        <is>
          <t>No</t>
        </is>
      </c>
      <c r="AQ1405" t="inlineStr">
        <is>
          <t>Yes</t>
        </is>
      </c>
      <c r="AR1405">
        <f>HYPERLINK("http://catalog.hathitrust.org/Record/002450291","HathiTrust Record")</f>
        <v/>
      </c>
      <c r="AS1405">
        <f>HYPERLINK("https://creighton-primo.hosted.exlibrisgroup.com/primo-explore/search?tab=default_tab&amp;search_scope=EVERYTHING&amp;vid=01CRU&amp;lang=en_US&amp;offset=0&amp;query=any,contains,991004981949702656","Catalog Record")</f>
        <v/>
      </c>
      <c r="AT1405">
        <f>HYPERLINK("http://www.worldcat.org/oclc/22593037","WorldCat Record")</f>
        <v/>
      </c>
      <c r="AU1405" t="inlineStr">
        <is>
          <t>476042610:eng</t>
        </is>
      </c>
      <c r="AV1405" t="inlineStr">
        <is>
          <t>22593037</t>
        </is>
      </c>
      <c r="AW1405" t="inlineStr">
        <is>
          <t>991004981949702656</t>
        </is>
      </c>
      <c r="AX1405" t="inlineStr">
        <is>
          <t>991004981949702656</t>
        </is>
      </c>
      <c r="AY1405" t="inlineStr">
        <is>
          <t>2263111320002656</t>
        </is>
      </c>
      <c r="AZ1405" t="inlineStr">
        <is>
          <t>BOOK</t>
        </is>
      </c>
      <c r="BB1405" t="inlineStr">
        <is>
          <t>9780880114417</t>
        </is>
      </c>
      <c r="BC1405" t="inlineStr">
        <is>
          <t>32285005260293</t>
        </is>
      </c>
      <c r="BD1405" t="inlineStr">
        <is>
          <t>893507445</t>
        </is>
      </c>
    </row>
    <row r="1406">
      <c r="A1406" t="inlineStr">
        <is>
          <t>No</t>
        </is>
      </c>
      <c r="B1406" t="inlineStr">
        <is>
          <t>GV351 .R53 2006</t>
        </is>
      </c>
      <c r="C1406" t="inlineStr">
        <is>
          <t>0                      GV 0351000R  53          2006</t>
        </is>
      </c>
      <c r="D1406" t="inlineStr">
        <is>
          <t>A century of sports : Missouri Valley Conference 1907-2007 / by Steve Richardson.</t>
        </is>
      </c>
      <c r="F1406" t="inlineStr">
        <is>
          <t>No</t>
        </is>
      </c>
      <c r="G1406" t="inlineStr">
        <is>
          <t>1</t>
        </is>
      </c>
      <c r="H1406" t="inlineStr">
        <is>
          <t>No</t>
        </is>
      </c>
      <c r="I1406" t="inlineStr">
        <is>
          <t>No</t>
        </is>
      </c>
      <c r="J1406" t="inlineStr">
        <is>
          <t>0</t>
        </is>
      </c>
      <c r="K1406" t="inlineStr">
        <is>
          <t>Richardson, Steve.</t>
        </is>
      </c>
      <c r="L1406" t="inlineStr">
        <is>
          <t>St. Louis, Mo. : Reedy Press ; Eureka, Mo. : MathisJones Communications, c2006.</t>
        </is>
      </c>
      <c r="M1406" t="inlineStr">
        <is>
          <t>2006</t>
        </is>
      </c>
      <c r="O1406" t="inlineStr">
        <is>
          <t>eng</t>
        </is>
      </c>
      <c r="P1406" t="inlineStr">
        <is>
          <t>mou</t>
        </is>
      </c>
      <c r="R1406" t="inlineStr">
        <is>
          <t xml:space="preserve">GV </t>
        </is>
      </c>
      <c r="S1406" t="n">
        <v>3</v>
      </c>
      <c r="T1406" t="n">
        <v>3</v>
      </c>
      <c r="U1406" t="inlineStr">
        <is>
          <t>2007-01-29</t>
        </is>
      </c>
      <c r="V1406" t="inlineStr">
        <is>
          <t>2007-01-29</t>
        </is>
      </c>
      <c r="W1406" t="inlineStr">
        <is>
          <t>2007-01-29</t>
        </is>
      </c>
      <c r="X1406" t="inlineStr">
        <is>
          <t>2007-01-29</t>
        </is>
      </c>
      <c r="Y1406" t="n">
        <v>25</v>
      </c>
      <c r="Z1406" t="n">
        <v>25</v>
      </c>
      <c r="AA1406" t="n">
        <v>25</v>
      </c>
      <c r="AB1406" t="n">
        <v>1</v>
      </c>
      <c r="AC1406" t="n">
        <v>1</v>
      </c>
      <c r="AD1406" t="n">
        <v>2</v>
      </c>
      <c r="AE1406" t="n">
        <v>2</v>
      </c>
      <c r="AF1406" t="n">
        <v>2</v>
      </c>
      <c r="AG1406" t="n">
        <v>2</v>
      </c>
      <c r="AH1406" t="n">
        <v>0</v>
      </c>
      <c r="AI1406" t="n">
        <v>0</v>
      </c>
      <c r="AJ1406" t="n">
        <v>0</v>
      </c>
      <c r="AK1406" t="n">
        <v>0</v>
      </c>
      <c r="AL1406" t="n">
        <v>0</v>
      </c>
      <c r="AM1406" t="n">
        <v>0</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HYPERLINK("https://creighton-primo.hosted.exlibrisgroup.com/primo-explore/search?tab=default_tab&amp;search_scope=EVERYTHING&amp;vid=01CRU&amp;lang=en_US&amp;offset=0&amp;query=any,contains,991004945949702656","Catalog Record")</f>
        <v/>
      </c>
      <c r="AT1406">
        <f>HYPERLINK("http://www.worldcat.org/oclc/74716055","WorldCat Record")</f>
        <v/>
      </c>
      <c r="AU1406" t="inlineStr">
        <is>
          <t>60946005:eng</t>
        </is>
      </c>
      <c r="AV1406" t="inlineStr">
        <is>
          <t>74716055</t>
        </is>
      </c>
      <c r="AW1406" t="inlineStr">
        <is>
          <t>991004945949702656</t>
        </is>
      </c>
      <c r="AX1406" t="inlineStr">
        <is>
          <t>991004945949702656</t>
        </is>
      </c>
      <c r="AY1406" t="inlineStr">
        <is>
          <t>2271109870002656</t>
        </is>
      </c>
      <c r="AZ1406" t="inlineStr">
        <is>
          <t>BOOK</t>
        </is>
      </c>
      <c r="BB1406" t="inlineStr">
        <is>
          <t>9781933370095</t>
        </is>
      </c>
      <c r="BC1406" t="inlineStr">
        <is>
          <t>32285005231914</t>
        </is>
      </c>
      <c r="BD1406" t="inlineStr">
        <is>
          <t>893810761</t>
        </is>
      </c>
    </row>
    <row r="1407">
      <c r="A1407" t="inlineStr">
        <is>
          <t>No</t>
        </is>
      </c>
      <c r="B1407" t="inlineStr">
        <is>
          <t>GV351 .S63 2000</t>
        </is>
      </c>
      <c r="C1407" t="inlineStr">
        <is>
          <t>0                      GV 0351000S  63          2000</t>
        </is>
      </c>
      <c r="D1407" t="inlineStr">
        <is>
          <t>Beer and circus : how big-time college sports is crippling undergraduate education / Murray Sperber.</t>
        </is>
      </c>
      <c r="F1407" t="inlineStr">
        <is>
          <t>No</t>
        </is>
      </c>
      <c r="G1407" t="inlineStr">
        <is>
          <t>1</t>
        </is>
      </c>
      <c r="H1407" t="inlineStr">
        <is>
          <t>No</t>
        </is>
      </c>
      <c r="I1407" t="inlineStr">
        <is>
          <t>No</t>
        </is>
      </c>
      <c r="J1407" t="inlineStr">
        <is>
          <t>0</t>
        </is>
      </c>
      <c r="K1407" t="inlineStr">
        <is>
          <t>Sperber, Murray A.</t>
        </is>
      </c>
      <c r="L1407" t="inlineStr">
        <is>
          <t>New York : H. Holt, 2000.</t>
        </is>
      </c>
      <c r="M1407" t="inlineStr">
        <is>
          <t>2000</t>
        </is>
      </c>
      <c r="N1407" t="inlineStr">
        <is>
          <t>1st ed.</t>
        </is>
      </c>
      <c r="O1407" t="inlineStr">
        <is>
          <t>eng</t>
        </is>
      </c>
      <c r="P1407" t="inlineStr">
        <is>
          <t>nyu</t>
        </is>
      </c>
      <c r="R1407" t="inlineStr">
        <is>
          <t xml:space="preserve">GV </t>
        </is>
      </c>
      <c r="S1407" t="n">
        <v>5</v>
      </c>
      <c r="T1407" t="n">
        <v>5</v>
      </c>
      <c r="U1407" t="inlineStr">
        <is>
          <t>2005-11-10</t>
        </is>
      </c>
      <c r="V1407" t="inlineStr">
        <is>
          <t>2005-11-10</t>
        </is>
      </c>
      <c r="W1407" t="inlineStr">
        <is>
          <t>2000-11-29</t>
        </is>
      </c>
      <c r="X1407" t="inlineStr">
        <is>
          <t>2000-11-29</t>
        </is>
      </c>
      <c r="Y1407" t="n">
        <v>1087</v>
      </c>
      <c r="Z1407" t="n">
        <v>1054</v>
      </c>
      <c r="AA1407" t="n">
        <v>1208</v>
      </c>
      <c r="AB1407" t="n">
        <v>11</v>
      </c>
      <c r="AC1407" t="n">
        <v>12</v>
      </c>
      <c r="AD1407" t="n">
        <v>45</v>
      </c>
      <c r="AE1407" t="n">
        <v>49</v>
      </c>
      <c r="AF1407" t="n">
        <v>19</v>
      </c>
      <c r="AG1407" t="n">
        <v>22</v>
      </c>
      <c r="AH1407" t="n">
        <v>9</v>
      </c>
      <c r="AI1407" t="n">
        <v>10</v>
      </c>
      <c r="AJ1407" t="n">
        <v>19</v>
      </c>
      <c r="AK1407" t="n">
        <v>20</v>
      </c>
      <c r="AL1407" t="n">
        <v>9</v>
      </c>
      <c r="AM1407" t="n">
        <v>9</v>
      </c>
      <c r="AN1407" t="n">
        <v>1</v>
      </c>
      <c r="AO1407" t="n">
        <v>1</v>
      </c>
      <c r="AP1407" t="inlineStr">
        <is>
          <t>No</t>
        </is>
      </c>
      <c r="AQ1407" t="inlineStr">
        <is>
          <t>No</t>
        </is>
      </c>
      <c r="AS1407">
        <f>HYPERLINK("https://creighton-primo.hosted.exlibrisgroup.com/primo-explore/search?tab=default_tab&amp;search_scope=EVERYTHING&amp;vid=01CRU&amp;lang=en_US&amp;offset=0&amp;query=any,contains,991003328239702656","Catalog Record")</f>
        <v/>
      </c>
      <c r="AT1407">
        <f>HYPERLINK("http://www.worldcat.org/oclc/43790906","WorldCat Record")</f>
        <v/>
      </c>
      <c r="AU1407" t="inlineStr">
        <is>
          <t>863907721:eng</t>
        </is>
      </c>
      <c r="AV1407" t="inlineStr">
        <is>
          <t>43790906</t>
        </is>
      </c>
      <c r="AW1407" t="inlineStr">
        <is>
          <t>991003328239702656</t>
        </is>
      </c>
      <c r="AX1407" t="inlineStr">
        <is>
          <t>991003328239702656</t>
        </is>
      </c>
      <c r="AY1407" t="inlineStr">
        <is>
          <t>2263008150002656</t>
        </is>
      </c>
      <c r="AZ1407" t="inlineStr">
        <is>
          <t>BOOK</t>
        </is>
      </c>
      <c r="BB1407" t="inlineStr">
        <is>
          <t>9780805038644</t>
        </is>
      </c>
      <c r="BC1407" t="inlineStr">
        <is>
          <t>32285004267711</t>
        </is>
      </c>
      <c r="BD1407" t="inlineStr">
        <is>
          <t>893780866</t>
        </is>
      </c>
    </row>
    <row r="1408">
      <c r="A1408" t="inlineStr">
        <is>
          <t>No</t>
        </is>
      </c>
      <c r="B1408" t="inlineStr">
        <is>
          <t>GV351 .S646 1998</t>
        </is>
      </c>
      <c r="C1408" t="inlineStr">
        <is>
          <t>0                      GV 0351000S  646         1998</t>
        </is>
      </c>
      <c r="D1408" t="inlineStr">
        <is>
          <t>Onward to victory : the crises that shaped college sports / Murray Sperber.</t>
        </is>
      </c>
      <c r="F1408" t="inlineStr">
        <is>
          <t>No</t>
        </is>
      </c>
      <c r="G1408" t="inlineStr">
        <is>
          <t>1</t>
        </is>
      </c>
      <c r="H1408" t="inlineStr">
        <is>
          <t>No</t>
        </is>
      </c>
      <c r="I1408" t="inlineStr">
        <is>
          <t>No</t>
        </is>
      </c>
      <c r="J1408" t="inlineStr">
        <is>
          <t>0</t>
        </is>
      </c>
      <c r="K1408" t="inlineStr">
        <is>
          <t>Sperber, Murray A.</t>
        </is>
      </c>
      <c r="L1408" t="inlineStr">
        <is>
          <t>New York : H. Holt, 1998.</t>
        </is>
      </c>
      <c r="M1408" t="inlineStr">
        <is>
          <t>1998</t>
        </is>
      </c>
      <c r="N1408" t="inlineStr">
        <is>
          <t>1st ed.</t>
        </is>
      </c>
      <c r="O1408" t="inlineStr">
        <is>
          <t>eng</t>
        </is>
      </c>
      <c r="P1408" t="inlineStr">
        <is>
          <t>nyu</t>
        </is>
      </c>
      <c r="R1408" t="inlineStr">
        <is>
          <t xml:space="preserve">GV </t>
        </is>
      </c>
      <c r="S1408" t="n">
        <v>1</v>
      </c>
      <c r="T1408" t="n">
        <v>1</v>
      </c>
      <c r="U1408" t="inlineStr">
        <is>
          <t>2006-11-16</t>
        </is>
      </c>
      <c r="V1408" t="inlineStr">
        <is>
          <t>2006-11-16</t>
        </is>
      </c>
      <c r="W1408" t="inlineStr">
        <is>
          <t>2006-11-16</t>
        </is>
      </c>
      <c r="X1408" t="inlineStr">
        <is>
          <t>2006-11-16</t>
        </is>
      </c>
      <c r="Y1408" t="n">
        <v>432</v>
      </c>
      <c r="Z1408" t="n">
        <v>415</v>
      </c>
      <c r="AA1408" t="n">
        <v>420</v>
      </c>
      <c r="AB1408" t="n">
        <v>4</v>
      </c>
      <c r="AC1408" t="n">
        <v>4</v>
      </c>
      <c r="AD1408" t="n">
        <v>12</v>
      </c>
      <c r="AE1408" t="n">
        <v>12</v>
      </c>
      <c r="AF1408" t="n">
        <v>4</v>
      </c>
      <c r="AG1408" t="n">
        <v>4</v>
      </c>
      <c r="AH1408" t="n">
        <v>2</v>
      </c>
      <c r="AI1408" t="n">
        <v>2</v>
      </c>
      <c r="AJ1408" t="n">
        <v>7</v>
      </c>
      <c r="AK1408" t="n">
        <v>7</v>
      </c>
      <c r="AL1408" t="n">
        <v>3</v>
      </c>
      <c r="AM1408" t="n">
        <v>3</v>
      </c>
      <c r="AN1408" t="n">
        <v>0</v>
      </c>
      <c r="AO1408" t="n">
        <v>0</v>
      </c>
      <c r="AP1408" t="inlineStr">
        <is>
          <t>No</t>
        </is>
      </c>
      <c r="AQ1408" t="inlineStr">
        <is>
          <t>No</t>
        </is>
      </c>
      <c r="AS1408">
        <f>HYPERLINK("https://creighton-primo.hosted.exlibrisgroup.com/primo-explore/search?tab=default_tab&amp;search_scope=EVERYTHING&amp;vid=01CRU&amp;lang=en_US&amp;offset=0&amp;query=any,contains,991004982069702656","Catalog Record")</f>
        <v/>
      </c>
      <c r="AT1408">
        <f>HYPERLINK("http://www.worldcat.org/oclc/38765161","WorldCat Record")</f>
        <v/>
      </c>
      <c r="AU1408" t="inlineStr">
        <is>
          <t>375451987:eng</t>
        </is>
      </c>
      <c r="AV1408" t="inlineStr">
        <is>
          <t>38765161</t>
        </is>
      </c>
      <c r="AW1408" t="inlineStr">
        <is>
          <t>991004982069702656</t>
        </is>
      </c>
      <c r="AX1408" t="inlineStr">
        <is>
          <t>991004982069702656</t>
        </is>
      </c>
      <c r="AY1408" t="inlineStr">
        <is>
          <t>2271580020002656</t>
        </is>
      </c>
      <c r="AZ1408" t="inlineStr">
        <is>
          <t>BOOK</t>
        </is>
      </c>
      <c r="BB1408" t="inlineStr">
        <is>
          <t>9780805038651</t>
        </is>
      </c>
      <c r="BC1408" t="inlineStr">
        <is>
          <t>32285005260327</t>
        </is>
      </c>
      <c r="BD1408" t="inlineStr">
        <is>
          <t>893536291</t>
        </is>
      </c>
    </row>
    <row r="1409">
      <c r="A1409" t="inlineStr">
        <is>
          <t>No</t>
        </is>
      </c>
      <c r="B1409" t="inlineStr">
        <is>
          <t>GV351 .T43 1994</t>
        </is>
      </c>
      <c r="C1409" t="inlineStr">
        <is>
          <t>0                      GV 0351000T  43          1994</t>
        </is>
      </c>
      <c r="D1409" t="inlineStr">
        <is>
          <t>Games colleges play : scandal and reform in intercollegiate athletics / John R. Thelin.</t>
        </is>
      </c>
      <c r="F1409" t="inlineStr">
        <is>
          <t>No</t>
        </is>
      </c>
      <c r="G1409" t="inlineStr">
        <is>
          <t>1</t>
        </is>
      </c>
      <c r="H1409" t="inlineStr">
        <is>
          <t>No</t>
        </is>
      </c>
      <c r="I1409" t="inlineStr">
        <is>
          <t>No</t>
        </is>
      </c>
      <c r="J1409" t="inlineStr">
        <is>
          <t>0</t>
        </is>
      </c>
      <c r="K1409" t="inlineStr">
        <is>
          <t>Thelin, John R., 1947-</t>
        </is>
      </c>
      <c r="L1409" t="inlineStr">
        <is>
          <t>Baltimore : Johns Hopins University Press, c1994.</t>
        </is>
      </c>
      <c r="M1409" t="inlineStr">
        <is>
          <t>1994</t>
        </is>
      </c>
      <c r="O1409" t="inlineStr">
        <is>
          <t>eng</t>
        </is>
      </c>
      <c r="P1409" t="inlineStr">
        <is>
          <t>mdu</t>
        </is>
      </c>
      <c r="R1409" t="inlineStr">
        <is>
          <t xml:space="preserve">GV </t>
        </is>
      </c>
      <c r="S1409" t="n">
        <v>15</v>
      </c>
      <c r="T1409" t="n">
        <v>15</v>
      </c>
      <c r="U1409" t="inlineStr">
        <is>
          <t>2007-09-19</t>
        </is>
      </c>
      <c r="V1409" t="inlineStr">
        <is>
          <t>2007-09-19</t>
        </is>
      </c>
      <c r="W1409" t="inlineStr">
        <is>
          <t>1994-05-06</t>
        </is>
      </c>
      <c r="X1409" t="inlineStr">
        <is>
          <t>1994-05-06</t>
        </is>
      </c>
      <c r="Y1409" t="n">
        <v>715</v>
      </c>
      <c r="Z1409" t="n">
        <v>676</v>
      </c>
      <c r="AA1409" t="n">
        <v>748</v>
      </c>
      <c r="AB1409" t="n">
        <v>5</v>
      </c>
      <c r="AC1409" t="n">
        <v>5</v>
      </c>
      <c r="AD1409" t="n">
        <v>40</v>
      </c>
      <c r="AE1409" t="n">
        <v>41</v>
      </c>
      <c r="AF1409" t="n">
        <v>20</v>
      </c>
      <c r="AG1409" t="n">
        <v>20</v>
      </c>
      <c r="AH1409" t="n">
        <v>7</v>
      </c>
      <c r="AI1409" t="n">
        <v>8</v>
      </c>
      <c r="AJ1409" t="n">
        <v>16</v>
      </c>
      <c r="AK1409" t="n">
        <v>17</v>
      </c>
      <c r="AL1409" t="n">
        <v>4</v>
      </c>
      <c r="AM1409" t="n">
        <v>4</v>
      </c>
      <c r="AN1409" t="n">
        <v>2</v>
      </c>
      <c r="AO1409" t="n">
        <v>2</v>
      </c>
      <c r="AP1409" t="inlineStr">
        <is>
          <t>No</t>
        </is>
      </c>
      <c r="AQ1409" t="inlineStr">
        <is>
          <t>Yes</t>
        </is>
      </c>
      <c r="AR1409">
        <f>HYPERLINK("http://catalog.hathitrust.org/Record/002801905","HathiTrust Record")</f>
        <v/>
      </c>
      <c r="AS1409">
        <f>HYPERLINK("https://creighton-primo.hosted.exlibrisgroup.com/primo-explore/search?tab=default_tab&amp;search_scope=EVERYTHING&amp;vid=01CRU&amp;lang=en_US&amp;offset=0&amp;query=any,contains,991002216789702656","Catalog Record")</f>
        <v/>
      </c>
      <c r="AT1409">
        <f>HYPERLINK("http://www.worldcat.org/oclc/28548193","WorldCat Record")</f>
        <v/>
      </c>
      <c r="AU1409" t="inlineStr">
        <is>
          <t>903700:eng</t>
        </is>
      </c>
      <c r="AV1409" t="inlineStr">
        <is>
          <t>28548193</t>
        </is>
      </c>
      <c r="AW1409" t="inlineStr">
        <is>
          <t>991002216789702656</t>
        </is>
      </c>
      <c r="AX1409" t="inlineStr">
        <is>
          <t>991002216789702656</t>
        </is>
      </c>
      <c r="AY1409" t="inlineStr">
        <is>
          <t>2257572750002656</t>
        </is>
      </c>
      <c r="AZ1409" t="inlineStr">
        <is>
          <t>BOOK</t>
        </is>
      </c>
      <c r="BB1409" t="inlineStr">
        <is>
          <t>9780801847165</t>
        </is>
      </c>
      <c r="BC1409" t="inlineStr">
        <is>
          <t>32285001878585</t>
        </is>
      </c>
      <c r="BD1409" t="inlineStr">
        <is>
          <t>893609586</t>
        </is>
      </c>
    </row>
    <row r="1410">
      <c r="A1410" t="inlineStr">
        <is>
          <t>No</t>
        </is>
      </c>
      <c r="B1410" t="inlineStr">
        <is>
          <t>GV361 .F64 2004</t>
        </is>
      </c>
      <c r="C1410" t="inlineStr">
        <is>
          <t>0                      GV 0361000F  64          2004</t>
        </is>
      </c>
      <c r="D1410" t="inlineStr">
        <is>
          <t>Ethics and college sports : ethics, sports, and the university / Peter A. French.</t>
        </is>
      </c>
      <c r="F1410" t="inlineStr">
        <is>
          <t>No</t>
        </is>
      </c>
      <c r="G1410" t="inlineStr">
        <is>
          <t>1</t>
        </is>
      </c>
      <c r="H1410" t="inlineStr">
        <is>
          <t>No</t>
        </is>
      </c>
      <c r="I1410" t="inlineStr">
        <is>
          <t>No</t>
        </is>
      </c>
      <c r="J1410" t="inlineStr">
        <is>
          <t>0</t>
        </is>
      </c>
      <c r="K1410" t="inlineStr">
        <is>
          <t>French, Peter A.</t>
        </is>
      </c>
      <c r="L1410" t="inlineStr">
        <is>
          <t>Lanham, Md. : Rowman &amp; Littlefield Publishers, c2004.</t>
        </is>
      </c>
      <c r="M1410" t="inlineStr">
        <is>
          <t>2004</t>
        </is>
      </c>
      <c r="O1410" t="inlineStr">
        <is>
          <t>eng</t>
        </is>
      </c>
      <c r="P1410" t="inlineStr">
        <is>
          <t>mdu</t>
        </is>
      </c>
      <c r="Q1410" t="inlineStr">
        <is>
          <t>Issues in academic ethics</t>
        </is>
      </c>
      <c r="R1410" t="inlineStr">
        <is>
          <t xml:space="preserve">GV </t>
        </is>
      </c>
      <c r="S1410" t="n">
        <v>5</v>
      </c>
      <c r="T1410" t="n">
        <v>5</v>
      </c>
      <c r="U1410" t="inlineStr">
        <is>
          <t>2010-12-17</t>
        </is>
      </c>
      <c r="V1410" t="inlineStr">
        <is>
          <t>2010-12-17</t>
        </is>
      </c>
      <c r="W1410" t="inlineStr">
        <is>
          <t>2004-11-30</t>
        </is>
      </c>
      <c r="X1410" t="inlineStr">
        <is>
          <t>2004-11-30</t>
        </is>
      </c>
      <c r="Y1410" t="n">
        <v>623</v>
      </c>
      <c r="Z1410" t="n">
        <v>574</v>
      </c>
      <c r="AA1410" t="n">
        <v>578</v>
      </c>
      <c r="AB1410" t="n">
        <v>7</v>
      </c>
      <c r="AC1410" t="n">
        <v>7</v>
      </c>
      <c r="AD1410" t="n">
        <v>27</v>
      </c>
      <c r="AE1410" t="n">
        <v>27</v>
      </c>
      <c r="AF1410" t="n">
        <v>13</v>
      </c>
      <c r="AG1410" t="n">
        <v>13</v>
      </c>
      <c r="AH1410" t="n">
        <v>4</v>
      </c>
      <c r="AI1410" t="n">
        <v>4</v>
      </c>
      <c r="AJ1410" t="n">
        <v>9</v>
      </c>
      <c r="AK1410" t="n">
        <v>9</v>
      </c>
      <c r="AL1410" t="n">
        <v>6</v>
      </c>
      <c r="AM1410" t="n">
        <v>6</v>
      </c>
      <c r="AN1410" t="n">
        <v>1</v>
      </c>
      <c r="AO1410" t="n">
        <v>1</v>
      </c>
      <c r="AP1410" t="inlineStr">
        <is>
          <t>No</t>
        </is>
      </c>
      <c r="AQ1410" t="inlineStr">
        <is>
          <t>No</t>
        </is>
      </c>
      <c r="AS1410">
        <f>HYPERLINK("https://creighton-primo.hosted.exlibrisgroup.com/primo-explore/search?tab=default_tab&amp;search_scope=EVERYTHING&amp;vid=01CRU&amp;lang=en_US&amp;offset=0&amp;query=any,contains,991004406939702656","Catalog Record")</f>
        <v/>
      </c>
      <c r="AT1410">
        <f>HYPERLINK("http://www.worldcat.org/oclc/54503787","WorldCat Record")</f>
        <v/>
      </c>
      <c r="AU1410" t="inlineStr">
        <is>
          <t>52831411:eng</t>
        </is>
      </c>
      <c r="AV1410" t="inlineStr">
        <is>
          <t>54503787</t>
        </is>
      </c>
      <c r="AW1410" t="inlineStr">
        <is>
          <t>991004406939702656</t>
        </is>
      </c>
      <c r="AX1410" t="inlineStr">
        <is>
          <t>991004406939702656</t>
        </is>
      </c>
      <c r="AY1410" t="inlineStr">
        <is>
          <t>2266093690002656</t>
        </is>
      </c>
      <c r="AZ1410" t="inlineStr">
        <is>
          <t>BOOK</t>
        </is>
      </c>
      <c r="BB1410" t="inlineStr">
        <is>
          <t>9780742512726</t>
        </is>
      </c>
      <c r="BC1410" t="inlineStr">
        <is>
          <t>32285005014013</t>
        </is>
      </c>
      <c r="BD1410" t="inlineStr">
        <is>
          <t>893417587</t>
        </is>
      </c>
    </row>
    <row r="1411">
      <c r="A1411" t="inlineStr">
        <is>
          <t>No</t>
        </is>
      </c>
      <c r="B1411" t="inlineStr">
        <is>
          <t>GV361 .Q35 2005</t>
        </is>
      </c>
      <c r="C1411" t="inlineStr">
        <is>
          <t>0                      GV 0361000Q  35          2005</t>
        </is>
      </c>
      <c r="D1411" t="inlineStr">
        <is>
          <t>Qualitative methods in sports studies / edited by David L. Andrews, Daniel S. Mason and Michael L. Silk.</t>
        </is>
      </c>
      <c r="F1411" t="inlineStr">
        <is>
          <t>No</t>
        </is>
      </c>
      <c r="G1411" t="inlineStr">
        <is>
          <t>1</t>
        </is>
      </c>
      <c r="H1411" t="inlineStr">
        <is>
          <t>No</t>
        </is>
      </c>
      <c r="I1411" t="inlineStr">
        <is>
          <t>No</t>
        </is>
      </c>
      <c r="J1411" t="inlineStr">
        <is>
          <t>0</t>
        </is>
      </c>
      <c r="L1411" t="inlineStr">
        <is>
          <t>Oxford ; New York, NY : Berg, 2005.</t>
        </is>
      </c>
      <c r="M1411" t="inlineStr">
        <is>
          <t>2005</t>
        </is>
      </c>
      <c r="N1411" t="inlineStr">
        <is>
          <t>English ed.</t>
        </is>
      </c>
      <c r="O1411" t="inlineStr">
        <is>
          <t>eng</t>
        </is>
      </c>
      <c r="P1411" t="inlineStr">
        <is>
          <t>enk</t>
        </is>
      </c>
      <c r="Q1411" t="inlineStr">
        <is>
          <t>Sport, commerce and culture</t>
        </is>
      </c>
      <c r="R1411" t="inlineStr">
        <is>
          <t xml:space="preserve">GV </t>
        </is>
      </c>
      <c r="S1411" t="n">
        <v>1</v>
      </c>
      <c r="T1411" t="n">
        <v>1</v>
      </c>
      <c r="U1411" t="inlineStr">
        <is>
          <t>2006-11-13</t>
        </is>
      </c>
      <c r="V1411" t="inlineStr">
        <is>
          <t>2006-11-13</t>
        </is>
      </c>
      <c r="W1411" t="inlineStr">
        <is>
          <t>2006-11-13</t>
        </is>
      </c>
      <c r="X1411" t="inlineStr">
        <is>
          <t>2006-11-13</t>
        </is>
      </c>
      <c r="Y1411" t="n">
        <v>345</v>
      </c>
      <c r="Z1411" t="n">
        <v>262</v>
      </c>
      <c r="AA1411" t="n">
        <v>553</v>
      </c>
      <c r="AB1411" t="n">
        <v>3</v>
      </c>
      <c r="AC1411" t="n">
        <v>5</v>
      </c>
      <c r="AD1411" t="n">
        <v>14</v>
      </c>
      <c r="AE1411" t="n">
        <v>21</v>
      </c>
      <c r="AF1411" t="n">
        <v>7</v>
      </c>
      <c r="AG1411" t="n">
        <v>10</v>
      </c>
      <c r="AH1411" t="n">
        <v>2</v>
      </c>
      <c r="AI1411" t="n">
        <v>4</v>
      </c>
      <c r="AJ1411" t="n">
        <v>6</v>
      </c>
      <c r="AK1411" t="n">
        <v>9</v>
      </c>
      <c r="AL1411" t="n">
        <v>2</v>
      </c>
      <c r="AM1411" t="n">
        <v>4</v>
      </c>
      <c r="AN1411" t="n">
        <v>0</v>
      </c>
      <c r="AO1411" t="n">
        <v>0</v>
      </c>
      <c r="AP1411" t="inlineStr">
        <is>
          <t>No</t>
        </is>
      </c>
      <c r="AQ1411" t="inlineStr">
        <is>
          <t>Yes</t>
        </is>
      </c>
      <c r="AR1411">
        <f>HYPERLINK("http://catalog.hathitrust.org/Record/005118880","HathiTrust Record")</f>
        <v/>
      </c>
      <c r="AS1411">
        <f>HYPERLINK("https://creighton-primo.hosted.exlibrisgroup.com/primo-explore/search?tab=default_tab&amp;search_scope=EVERYTHING&amp;vid=01CRU&amp;lang=en_US&amp;offset=0&amp;query=any,contains,991004936469702656","Catalog Record")</f>
        <v/>
      </c>
      <c r="AT1411">
        <f>HYPERLINK("http://www.worldcat.org/oclc/60741985","WorldCat Record")</f>
        <v/>
      </c>
      <c r="AU1411" t="inlineStr">
        <is>
          <t>532199464:eng</t>
        </is>
      </c>
      <c r="AV1411" t="inlineStr">
        <is>
          <t>60741985</t>
        </is>
      </c>
      <c r="AW1411" t="inlineStr">
        <is>
          <t>991004936469702656</t>
        </is>
      </c>
      <c r="AX1411" t="inlineStr">
        <is>
          <t>991004936469702656</t>
        </is>
      </c>
      <c r="AY1411" t="inlineStr">
        <is>
          <t>2271981320002656</t>
        </is>
      </c>
      <c r="AZ1411" t="inlineStr">
        <is>
          <t>BOOK</t>
        </is>
      </c>
      <c r="BB1411" t="inlineStr">
        <is>
          <t>9781859737842</t>
        </is>
      </c>
      <c r="BC1411" t="inlineStr">
        <is>
          <t>32285005239008</t>
        </is>
      </c>
      <c r="BD1411" t="inlineStr">
        <is>
          <t>893776604</t>
        </is>
      </c>
    </row>
    <row r="1412">
      <c r="A1412" t="inlineStr">
        <is>
          <t>No</t>
        </is>
      </c>
      <c r="B1412" t="inlineStr">
        <is>
          <t>GV365 .T46 2003</t>
        </is>
      </c>
      <c r="C1412" t="inlineStr">
        <is>
          <t>0                      GV 0365000T  46          2003</t>
        </is>
      </c>
      <c r="D1412" t="inlineStr">
        <is>
          <t>Team sports, gymnastics, and dance in community settings : a guide for teachers, coaches, and parents / [edited by] Patricia A. Sullivan (ERIC Clearinghouse on Teaching and Teacher Education).</t>
        </is>
      </c>
      <c r="F1412" t="inlineStr">
        <is>
          <t>No</t>
        </is>
      </c>
      <c r="G1412" t="inlineStr">
        <is>
          <t>1</t>
        </is>
      </c>
      <c r="H1412" t="inlineStr">
        <is>
          <t>No</t>
        </is>
      </c>
      <c r="I1412" t="inlineStr">
        <is>
          <t>No</t>
        </is>
      </c>
      <c r="J1412" t="inlineStr">
        <is>
          <t>0</t>
        </is>
      </c>
      <c r="L1412" t="inlineStr">
        <is>
          <t>Champaign, IL : Human Kinetics, c2003.</t>
        </is>
      </c>
      <c r="M1412" t="inlineStr">
        <is>
          <t>2003</t>
        </is>
      </c>
      <c r="O1412" t="inlineStr">
        <is>
          <t>eng</t>
        </is>
      </c>
      <c r="P1412" t="inlineStr">
        <is>
          <t>ilu</t>
        </is>
      </c>
      <c r="R1412" t="inlineStr">
        <is>
          <t xml:space="preserve">GV </t>
        </is>
      </c>
      <c r="S1412" t="n">
        <v>1</v>
      </c>
      <c r="T1412" t="n">
        <v>1</v>
      </c>
      <c r="U1412" t="inlineStr">
        <is>
          <t>2003-11-04</t>
        </is>
      </c>
      <c r="V1412" t="inlineStr">
        <is>
          <t>2003-11-04</t>
        </is>
      </c>
      <c r="W1412" t="inlineStr">
        <is>
          <t>2003-09-30</t>
        </is>
      </c>
      <c r="X1412" t="inlineStr">
        <is>
          <t>2003-09-30</t>
        </is>
      </c>
      <c r="Y1412" t="n">
        <v>178</v>
      </c>
      <c r="Z1412" t="n">
        <v>134</v>
      </c>
      <c r="AA1412" t="n">
        <v>140</v>
      </c>
      <c r="AB1412" t="n">
        <v>4</v>
      </c>
      <c r="AC1412" t="n">
        <v>4</v>
      </c>
      <c r="AD1412" t="n">
        <v>5</v>
      </c>
      <c r="AE1412" t="n">
        <v>5</v>
      </c>
      <c r="AF1412" t="n">
        <v>2</v>
      </c>
      <c r="AG1412" t="n">
        <v>2</v>
      </c>
      <c r="AH1412" t="n">
        <v>0</v>
      </c>
      <c r="AI1412" t="n">
        <v>0</v>
      </c>
      <c r="AJ1412" t="n">
        <v>1</v>
      </c>
      <c r="AK1412" t="n">
        <v>1</v>
      </c>
      <c r="AL1412" t="n">
        <v>3</v>
      </c>
      <c r="AM1412" t="n">
        <v>3</v>
      </c>
      <c r="AN1412" t="n">
        <v>0</v>
      </c>
      <c r="AO1412" t="n">
        <v>0</v>
      </c>
      <c r="AP1412" t="inlineStr">
        <is>
          <t>No</t>
        </is>
      </c>
      <c r="AQ1412" t="inlineStr">
        <is>
          <t>Yes</t>
        </is>
      </c>
      <c r="AR1412">
        <f>HYPERLINK("http://catalog.hathitrust.org/Record/004925350","HathiTrust Record")</f>
        <v/>
      </c>
      <c r="AS1412">
        <f>HYPERLINK("https://creighton-primo.hosted.exlibrisgroup.com/primo-explore/search?tab=default_tab&amp;search_scope=EVERYTHING&amp;vid=01CRU&amp;lang=en_US&amp;offset=0&amp;query=any,contains,991004144309702656","Catalog Record")</f>
        <v/>
      </c>
      <c r="AT1412">
        <f>HYPERLINK("http://www.worldcat.org/oclc/51046946","WorldCat Record")</f>
        <v/>
      </c>
      <c r="AU1412" t="inlineStr">
        <is>
          <t>733612:eng</t>
        </is>
      </c>
      <c r="AV1412" t="inlineStr">
        <is>
          <t>51046946</t>
        </is>
      </c>
      <c r="AW1412" t="inlineStr">
        <is>
          <t>991004144309702656</t>
        </is>
      </c>
      <c r="AX1412" t="inlineStr">
        <is>
          <t>991004144309702656</t>
        </is>
      </c>
      <c r="AY1412" t="inlineStr">
        <is>
          <t>2270659270002656</t>
        </is>
      </c>
      <c r="AZ1412" t="inlineStr">
        <is>
          <t>BOOK</t>
        </is>
      </c>
      <c r="BB1412" t="inlineStr">
        <is>
          <t>9780736048620</t>
        </is>
      </c>
      <c r="BC1412" t="inlineStr">
        <is>
          <t>32285004792569</t>
        </is>
      </c>
      <c r="BD1412" t="inlineStr">
        <is>
          <t>893429709</t>
        </is>
      </c>
    </row>
    <row r="1413">
      <c r="A1413" t="inlineStr">
        <is>
          <t>No</t>
        </is>
      </c>
      <c r="B1413" t="inlineStr">
        <is>
          <t>GV428.7 .C68 2007</t>
        </is>
      </c>
      <c r="C1413" t="inlineStr">
        <is>
          <t>0                      GV 0428700C  68          2007</t>
        </is>
      </c>
      <c r="D1413" t="inlineStr">
        <is>
          <t>The fitness instructor's handbook : a complete guide to health and fitness / Morc Coulson.</t>
        </is>
      </c>
      <c r="F1413" t="inlineStr">
        <is>
          <t>No</t>
        </is>
      </c>
      <c r="G1413" t="inlineStr">
        <is>
          <t>1</t>
        </is>
      </c>
      <c r="H1413" t="inlineStr">
        <is>
          <t>No</t>
        </is>
      </c>
      <c r="I1413" t="inlineStr">
        <is>
          <t>No</t>
        </is>
      </c>
      <c r="J1413" t="inlineStr">
        <is>
          <t>0</t>
        </is>
      </c>
      <c r="K1413" t="inlineStr">
        <is>
          <t>Coulson, Morc.</t>
        </is>
      </c>
      <c r="L1413" t="inlineStr">
        <is>
          <t>London : A &amp; C Black, 2007.</t>
        </is>
      </c>
      <c r="M1413" t="inlineStr">
        <is>
          <t>2007</t>
        </is>
      </c>
      <c r="O1413" t="inlineStr">
        <is>
          <t>eng</t>
        </is>
      </c>
      <c r="P1413" t="inlineStr">
        <is>
          <t>enk</t>
        </is>
      </c>
      <c r="Q1413" t="inlineStr">
        <is>
          <t>Fitness professionals</t>
        </is>
      </c>
      <c r="R1413" t="inlineStr">
        <is>
          <t xml:space="preserve">GV </t>
        </is>
      </c>
      <c r="S1413" t="n">
        <v>1</v>
      </c>
      <c r="T1413" t="n">
        <v>1</v>
      </c>
      <c r="U1413" t="inlineStr">
        <is>
          <t>2007-08-20</t>
        </is>
      </c>
      <c r="V1413" t="inlineStr">
        <is>
          <t>2007-08-20</t>
        </is>
      </c>
      <c r="W1413" t="inlineStr">
        <is>
          <t>2007-08-20</t>
        </is>
      </c>
      <c r="X1413" t="inlineStr">
        <is>
          <t>2007-08-20</t>
        </is>
      </c>
      <c r="Y1413" t="n">
        <v>92</v>
      </c>
      <c r="Z1413" t="n">
        <v>9</v>
      </c>
      <c r="AA1413" t="n">
        <v>222</v>
      </c>
      <c r="AB1413" t="n">
        <v>1</v>
      </c>
      <c r="AC1413" t="n">
        <v>2</v>
      </c>
      <c r="AD1413" t="n">
        <v>0</v>
      </c>
      <c r="AE1413" t="n">
        <v>1</v>
      </c>
      <c r="AF1413" t="n">
        <v>0</v>
      </c>
      <c r="AG1413" t="n">
        <v>0</v>
      </c>
      <c r="AH1413" t="n">
        <v>0</v>
      </c>
      <c r="AI1413" t="n">
        <v>0</v>
      </c>
      <c r="AJ1413" t="n">
        <v>0</v>
      </c>
      <c r="AK1413" t="n">
        <v>0</v>
      </c>
      <c r="AL1413" t="n">
        <v>0</v>
      </c>
      <c r="AM1413" t="n">
        <v>1</v>
      </c>
      <c r="AN1413" t="n">
        <v>0</v>
      </c>
      <c r="AO1413" t="n">
        <v>0</v>
      </c>
      <c r="AP1413" t="inlineStr">
        <is>
          <t>No</t>
        </is>
      </c>
      <c r="AQ1413" t="inlineStr">
        <is>
          <t>No</t>
        </is>
      </c>
      <c r="AS1413">
        <f>HYPERLINK("https://creighton-primo.hosted.exlibrisgroup.com/primo-explore/search?tab=default_tab&amp;search_scope=EVERYTHING&amp;vid=01CRU&amp;lang=en_US&amp;offset=0&amp;query=any,contains,991005084289702656","Catalog Record")</f>
        <v/>
      </c>
      <c r="AT1413">
        <f>HYPERLINK("http://www.worldcat.org/oclc/84996818","WorldCat Record")</f>
        <v/>
      </c>
      <c r="AU1413" t="inlineStr">
        <is>
          <t>220188729:eng</t>
        </is>
      </c>
      <c r="AV1413" t="inlineStr">
        <is>
          <t>84996818</t>
        </is>
      </c>
      <c r="AW1413" t="inlineStr">
        <is>
          <t>991005084289702656</t>
        </is>
      </c>
      <c r="AX1413" t="inlineStr">
        <is>
          <t>991005084289702656</t>
        </is>
      </c>
      <c r="AY1413" t="inlineStr">
        <is>
          <t>2271442360002656</t>
        </is>
      </c>
      <c r="AZ1413" t="inlineStr">
        <is>
          <t>BOOK</t>
        </is>
      </c>
      <c r="BB1413" t="inlineStr">
        <is>
          <t>9780713682250</t>
        </is>
      </c>
      <c r="BC1413" t="inlineStr">
        <is>
          <t>32285005322671</t>
        </is>
      </c>
      <c r="BD1413" t="inlineStr">
        <is>
          <t>893424522</t>
        </is>
      </c>
    </row>
    <row r="1414">
      <c r="A1414" t="inlineStr">
        <is>
          <t>No</t>
        </is>
      </c>
      <c r="B1414" t="inlineStr">
        <is>
          <t>GV429 .A45 1992</t>
        </is>
      </c>
      <c r="C1414" t="inlineStr">
        <is>
          <t>0                      GV 0429000A  45          1992</t>
        </is>
      </c>
      <c r="D1414" t="inlineStr">
        <is>
          <t>ACSM's health/fitness facility standards and guidelines / American College of Sports Medicine ; Neil Sol, Carl Foster, editors.</t>
        </is>
      </c>
      <c r="F1414" t="inlineStr">
        <is>
          <t>No</t>
        </is>
      </c>
      <c r="G1414" t="inlineStr">
        <is>
          <t>1</t>
        </is>
      </c>
      <c r="H1414" t="inlineStr">
        <is>
          <t>No</t>
        </is>
      </c>
      <c r="I1414" t="inlineStr">
        <is>
          <t>No</t>
        </is>
      </c>
      <c r="J1414" t="inlineStr">
        <is>
          <t>0</t>
        </is>
      </c>
      <c r="K1414" t="inlineStr">
        <is>
          <t>American College of Sports Medicine.</t>
        </is>
      </c>
      <c r="L1414" t="inlineStr">
        <is>
          <t>Champaign, Ill. : Human Kinetics Books, c1992.</t>
        </is>
      </c>
      <c r="M1414" t="inlineStr">
        <is>
          <t>1992</t>
        </is>
      </c>
      <c r="O1414" t="inlineStr">
        <is>
          <t>eng</t>
        </is>
      </c>
      <c r="P1414" t="inlineStr">
        <is>
          <t>ilu</t>
        </is>
      </c>
      <c r="R1414" t="inlineStr">
        <is>
          <t xml:space="preserve">GV </t>
        </is>
      </c>
      <c r="S1414" t="n">
        <v>15</v>
      </c>
      <c r="T1414" t="n">
        <v>15</v>
      </c>
      <c r="U1414" t="inlineStr">
        <is>
          <t>2007-09-10</t>
        </is>
      </c>
      <c r="V1414" t="inlineStr">
        <is>
          <t>2007-09-10</t>
        </is>
      </c>
      <c r="W1414" t="inlineStr">
        <is>
          <t>1994-02-07</t>
        </is>
      </c>
      <c r="X1414" t="inlineStr">
        <is>
          <t>1994-02-07</t>
        </is>
      </c>
      <c r="Y1414" t="n">
        <v>298</v>
      </c>
      <c r="Z1414" t="n">
        <v>232</v>
      </c>
      <c r="AA1414" t="n">
        <v>235</v>
      </c>
      <c r="AB1414" t="n">
        <v>5</v>
      </c>
      <c r="AC1414" t="n">
        <v>5</v>
      </c>
      <c r="AD1414" t="n">
        <v>4</v>
      </c>
      <c r="AE1414" t="n">
        <v>4</v>
      </c>
      <c r="AF1414" t="n">
        <v>0</v>
      </c>
      <c r="AG1414" t="n">
        <v>0</v>
      </c>
      <c r="AH1414" t="n">
        <v>0</v>
      </c>
      <c r="AI1414" t="n">
        <v>0</v>
      </c>
      <c r="AJ1414" t="n">
        <v>0</v>
      </c>
      <c r="AK1414" t="n">
        <v>0</v>
      </c>
      <c r="AL1414" t="n">
        <v>4</v>
      </c>
      <c r="AM1414" t="n">
        <v>4</v>
      </c>
      <c r="AN1414" t="n">
        <v>0</v>
      </c>
      <c r="AO1414" t="n">
        <v>0</v>
      </c>
      <c r="AP1414" t="inlineStr">
        <is>
          <t>No</t>
        </is>
      </c>
      <c r="AQ1414" t="inlineStr">
        <is>
          <t>Yes</t>
        </is>
      </c>
      <c r="AR1414">
        <f>HYPERLINK("http://catalog.hathitrust.org/Record/004534456","HathiTrust Record")</f>
        <v/>
      </c>
      <c r="AS1414">
        <f>HYPERLINK("https://creighton-primo.hosted.exlibrisgroup.com/primo-explore/search?tab=default_tab&amp;search_scope=EVERYTHING&amp;vid=01CRU&amp;lang=en_US&amp;offset=0&amp;query=any,contains,991001983209702656","Catalog Record")</f>
        <v/>
      </c>
      <c r="AT1414">
        <f>HYPERLINK("http://www.worldcat.org/oclc/25165070","WorldCat Record")</f>
        <v/>
      </c>
      <c r="AU1414" t="inlineStr">
        <is>
          <t>3372911075:eng</t>
        </is>
      </c>
      <c r="AV1414" t="inlineStr">
        <is>
          <t>25165070</t>
        </is>
      </c>
      <c r="AW1414" t="inlineStr">
        <is>
          <t>991001983209702656</t>
        </is>
      </c>
      <c r="AX1414" t="inlineStr">
        <is>
          <t>991001983209702656</t>
        </is>
      </c>
      <c r="AY1414" t="inlineStr">
        <is>
          <t>2257148950002656</t>
        </is>
      </c>
      <c r="AZ1414" t="inlineStr">
        <is>
          <t>BOOK</t>
        </is>
      </c>
      <c r="BB1414" t="inlineStr">
        <is>
          <t>9780873223751</t>
        </is>
      </c>
      <c r="BC1414" t="inlineStr">
        <is>
          <t>32285001840338</t>
        </is>
      </c>
      <c r="BD1414" t="inlineStr">
        <is>
          <t>893529402</t>
        </is>
      </c>
    </row>
    <row r="1415">
      <c r="A1415" t="inlineStr">
        <is>
          <t>No</t>
        </is>
      </c>
      <c r="B1415" t="inlineStr">
        <is>
          <t>GV436 .A35 2010</t>
        </is>
      </c>
      <c r="C1415" t="inlineStr">
        <is>
          <t>0                      GV 0436000A  35          2010</t>
        </is>
      </c>
      <c r="D1415" t="inlineStr">
        <is>
          <t>ACSM's health-related physical fitness assessment manual.</t>
        </is>
      </c>
      <c r="F1415" t="inlineStr">
        <is>
          <t>No</t>
        </is>
      </c>
      <c r="G1415" t="inlineStr">
        <is>
          <t>1</t>
        </is>
      </c>
      <c r="H1415" t="inlineStr">
        <is>
          <t>No</t>
        </is>
      </c>
      <c r="I1415" t="inlineStr">
        <is>
          <t>No</t>
        </is>
      </c>
      <c r="J1415" t="inlineStr">
        <is>
          <t>0</t>
        </is>
      </c>
      <c r="L1415" t="inlineStr">
        <is>
          <t>Philadelphia : Wolters Kluwer Health/Lippincott Williams &amp; Wilkins Health, c2010.</t>
        </is>
      </c>
      <c r="M1415" t="inlineStr">
        <is>
          <t>2010</t>
        </is>
      </c>
      <c r="N1415" t="inlineStr">
        <is>
          <t>3rd ed. / editor, Leonard Kaminsky</t>
        </is>
      </c>
      <c r="O1415" t="inlineStr">
        <is>
          <t>eng</t>
        </is>
      </c>
      <c r="P1415" t="inlineStr">
        <is>
          <t>pau</t>
        </is>
      </c>
      <c r="R1415" t="inlineStr">
        <is>
          <t xml:space="preserve">GV </t>
        </is>
      </c>
      <c r="S1415" t="n">
        <v>1</v>
      </c>
      <c r="T1415" t="n">
        <v>1</v>
      </c>
      <c r="U1415" t="inlineStr">
        <is>
          <t>2010-01-12</t>
        </is>
      </c>
      <c r="V1415" t="inlineStr">
        <is>
          <t>2010-01-12</t>
        </is>
      </c>
      <c r="W1415" t="inlineStr">
        <is>
          <t>2010-01-12</t>
        </is>
      </c>
      <c r="X1415" t="inlineStr">
        <is>
          <t>2010-01-12</t>
        </is>
      </c>
      <c r="Y1415" t="n">
        <v>312</v>
      </c>
      <c r="Z1415" t="n">
        <v>207</v>
      </c>
      <c r="AA1415" t="n">
        <v>364</v>
      </c>
      <c r="AB1415" t="n">
        <v>1</v>
      </c>
      <c r="AC1415" t="n">
        <v>1</v>
      </c>
      <c r="AD1415" t="n">
        <v>6</v>
      </c>
      <c r="AE1415" t="n">
        <v>11</v>
      </c>
      <c r="AF1415" t="n">
        <v>4</v>
      </c>
      <c r="AG1415" t="n">
        <v>7</v>
      </c>
      <c r="AH1415" t="n">
        <v>1</v>
      </c>
      <c r="AI1415" t="n">
        <v>4</v>
      </c>
      <c r="AJ1415" t="n">
        <v>4</v>
      </c>
      <c r="AK1415" t="n">
        <v>4</v>
      </c>
      <c r="AL1415" t="n">
        <v>0</v>
      </c>
      <c r="AM1415" t="n">
        <v>0</v>
      </c>
      <c r="AN1415" t="n">
        <v>0</v>
      </c>
      <c r="AO1415" t="n">
        <v>0</v>
      </c>
      <c r="AP1415" t="inlineStr">
        <is>
          <t>No</t>
        </is>
      </c>
      <c r="AQ1415" t="inlineStr">
        <is>
          <t>Yes</t>
        </is>
      </c>
      <c r="AR1415">
        <f>HYPERLINK("http://catalog.hathitrust.org/Record/006836831","HathiTrust Record")</f>
        <v/>
      </c>
      <c r="AS1415">
        <f>HYPERLINK("https://creighton-primo.hosted.exlibrisgroup.com/primo-explore/search?tab=default_tab&amp;search_scope=EVERYTHING&amp;vid=01CRU&amp;lang=en_US&amp;offset=0&amp;query=any,contains,991005344759702656","Catalog Record")</f>
        <v/>
      </c>
      <c r="AT1415">
        <f>HYPERLINK("http://www.worldcat.org/oclc/312625395","WorldCat Record")</f>
        <v/>
      </c>
      <c r="AU1415" t="inlineStr">
        <is>
          <t>350236402:eng</t>
        </is>
      </c>
      <c r="AV1415" t="inlineStr">
        <is>
          <t>312625395</t>
        </is>
      </c>
      <c r="AW1415" t="inlineStr">
        <is>
          <t>991005344759702656</t>
        </is>
      </c>
      <c r="AX1415" t="inlineStr">
        <is>
          <t>991005344759702656</t>
        </is>
      </c>
      <c r="AY1415" t="inlineStr">
        <is>
          <t>2260141460002656</t>
        </is>
      </c>
      <c r="AZ1415" t="inlineStr">
        <is>
          <t>BOOK</t>
        </is>
      </c>
      <c r="BB1415" t="inlineStr">
        <is>
          <t>9780781797719</t>
        </is>
      </c>
      <c r="BC1415" t="inlineStr">
        <is>
          <t>32285005556724</t>
        </is>
      </c>
      <c r="BD1415" t="inlineStr">
        <is>
          <t>893260950</t>
        </is>
      </c>
    </row>
    <row r="1416">
      <c r="A1416" t="inlineStr">
        <is>
          <t>No</t>
        </is>
      </c>
      <c r="B1416" t="inlineStr">
        <is>
          <t>GV436 .P49 1991</t>
        </is>
      </c>
      <c r="C1416" t="inlineStr">
        <is>
          <t>0                      GV 0436000P  49          1991</t>
        </is>
      </c>
      <c r="D1416" t="inlineStr">
        <is>
          <t>Physiological testing of the high-performance athlete / J. Duncan MacDougall, Howard A. Wenger, Howard J. Green, editors.</t>
        </is>
      </c>
      <c r="F1416" t="inlineStr">
        <is>
          <t>No</t>
        </is>
      </c>
      <c r="G1416" t="inlineStr">
        <is>
          <t>1</t>
        </is>
      </c>
      <c r="H1416" t="inlineStr">
        <is>
          <t>No</t>
        </is>
      </c>
      <c r="I1416" t="inlineStr">
        <is>
          <t>No</t>
        </is>
      </c>
      <c r="J1416" t="inlineStr">
        <is>
          <t>0</t>
        </is>
      </c>
      <c r="L1416" t="inlineStr">
        <is>
          <t>Champaign, Ill. : Human Kinetics Books, c1991.</t>
        </is>
      </c>
      <c r="M1416" t="inlineStr">
        <is>
          <t>1991</t>
        </is>
      </c>
      <c r="N1416" t="inlineStr">
        <is>
          <t>2nd ed.</t>
        </is>
      </c>
      <c r="O1416" t="inlineStr">
        <is>
          <t>eng</t>
        </is>
      </c>
      <c r="P1416" t="inlineStr">
        <is>
          <t>ilu</t>
        </is>
      </c>
      <c r="R1416" t="inlineStr">
        <is>
          <t xml:space="preserve">GV </t>
        </is>
      </c>
      <c r="S1416" t="n">
        <v>3</v>
      </c>
      <c r="T1416" t="n">
        <v>3</v>
      </c>
      <c r="U1416" t="inlineStr">
        <is>
          <t>2007-09-10</t>
        </is>
      </c>
      <c r="V1416" t="inlineStr">
        <is>
          <t>2007-09-10</t>
        </is>
      </c>
      <c r="W1416" t="inlineStr">
        <is>
          <t>1991-06-11</t>
        </is>
      </c>
      <c r="X1416" t="inlineStr">
        <is>
          <t>1991-06-11</t>
        </is>
      </c>
      <c r="Y1416" t="n">
        <v>552</v>
      </c>
      <c r="Z1416" t="n">
        <v>395</v>
      </c>
      <c r="AA1416" t="n">
        <v>402</v>
      </c>
      <c r="AB1416" t="n">
        <v>6</v>
      </c>
      <c r="AC1416" t="n">
        <v>6</v>
      </c>
      <c r="AD1416" t="n">
        <v>20</v>
      </c>
      <c r="AE1416" t="n">
        <v>20</v>
      </c>
      <c r="AF1416" t="n">
        <v>8</v>
      </c>
      <c r="AG1416" t="n">
        <v>8</v>
      </c>
      <c r="AH1416" t="n">
        <v>3</v>
      </c>
      <c r="AI1416" t="n">
        <v>3</v>
      </c>
      <c r="AJ1416" t="n">
        <v>8</v>
      </c>
      <c r="AK1416" t="n">
        <v>8</v>
      </c>
      <c r="AL1416" t="n">
        <v>5</v>
      </c>
      <c r="AM1416" t="n">
        <v>5</v>
      </c>
      <c r="AN1416" t="n">
        <v>0</v>
      </c>
      <c r="AO1416" t="n">
        <v>0</v>
      </c>
      <c r="AP1416" t="inlineStr">
        <is>
          <t>No</t>
        </is>
      </c>
      <c r="AQ1416" t="inlineStr">
        <is>
          <t>Yes</t>
        </is>
      </c>
      <c r="AR1416">
        <f>HYPERLINK("http://catalog.hathitrust.org/Record/101928251","HathiTrust Record")</f>
        <v/>
      </c>
      <c r="AS1416">
        <f>HYPERLINK("https://creighton-primo.hosted.exlibrisgroup.com/primo-explore/search?tab=default_tab&amp;search_scope=EVERYTHING&amp;vid=01CRU&amp;lang=en_US&amp;offset=0&amp;query=any,contains,991001692349702656","Catalog Record")</f>
        <v/>
      </c>
      <c r="AT1416">
        <f>HYPERLINK("http://www.worldcat.org/oclc/21447219","WorldCat Record")</f>
        <v/>
      </c>
      <c r="AU1416" t="inlineStr">
        <is>
          <t>355610188:eng</t>
        </is>
      </c>
      <c r="AV1416" t="inlineStr">
        <is>
          <t>21447219</t>
        </is>
      </c>
      <c r="AW1416" t="inlineStr">
        <is>
          <t>991001692349702656</t>
        </is>
      </c>
      <c r="AX1416" t="inlineStr">
        <is>
          <t>991001692349702656</t>
        </is>
      </c>
      <c r="AY1416" t="inlineStr">
        <is>
          <t>2258569050002656</t>
        </is>
      </c>
      <c r="AZ1416" t="inlineStr">
        <is>
          <t>BOOK</t>
        </is>
      </c>
      <c r="BB1416" t="inlineStr">
        <is>
          <t>9780873223003</t>
        </is>
      </c>
      <c r="BC1416" t="inlineStr">
        <is>
          <t>32285000594381</t>
        </is>
      </c>
      <c r="BD1416" t="inlineStr">
        <is>
          <t>893529136</t>
        </is>
      </c>
    </row>
    <row r="1417">
      <c r="A1417" t="inlineStr">
        <is>
          <t>No</t>
        </is>
      </c>
      <c r="B1417" t="inlineStr">
        <is>
          <t>GV443 .A27 1998</t>
        </is>
      </c>
      <c r="C1417" t="inlineStr">
        <is>
          <t>0                      GV 0443000A  27          1998</t>
        </is>
      </c>
      <c r="D1417" t="inlineStr">
        <is>
          <t>Active youth : ideas for implementing CDC physical activity promotion guidelines / Patricia Sammann, writer.</t>
        </is>
      </c>
      <c r="F1417" t="inlineStr">
        <is>
          <t>No</t>
        </is>
      </c>
      <c r="G1417" t="inlineStr">
        <is>
          <t>1</t>
        </is>
      </c>
      <c r="H1417" t="inlineStr">
        <is>
          <t>No</t>
        </is>
      </c>
      <c r="I1417" t="inlineStr">
        <is>
          <t>No</t>
        </is>
      </c>
      <c r="J1417" t="inlineStr">
        <is>
          <t>0</t>
        </is>
      </c>
      <c r="K1417" t="inlineStr">
        <is>
          <t>Sammann, Patricia, 1951-</t>
        </is>
      </c>
      <c r="L1417" t="inlineStr">
        <is>
          <t>Champaign, IL : Human Kinetics, c1998.</t>
        </is>
      </c>
      <c r="M1417" t="inlineStr">
        <is>
          <t>1998</t>
        </is>
      </c>
      <c r="O1417" t="inlineStr">
        <is>
          <t>eng</t>
        </is>
      </c>
      <c r="P1417" t="inlineStr">
        <is>
          <t>ilu</t>
        </is>
      </c>
      <c r="R1417" t="inlineStr">
        <is>
          <t xml:space="preserve">GV </t>
        </is>
      </c>
      <c r="S1417" t="n">
        <v>5</v>
      </c>
      <c r="T1417" t="n">
        <v>5</v>
      </c>
      <c r="U1417" t="inlineStr">
        <is>
          <t>2009-03-05</t>
        </is>
      </c>
      <c r="V1417" t="inlineStr">
        <is>
          <t>2009-03-05</t>
        </is>
      </c>
      <c r="W1417" t="inlineStr">
        <is>
          <t>1998-09-14</t>
        </is>
      </c>
      <c r="X1417" t="inlineStr">
        <is>
          <t>1998-09-14</t>
        </is>
      </c>
      <c r="Y1417" t="n">
        <v>577</v>
      </c>
      <c r="Z1417" t="n">
        <v>508</v>
      </c>
      <c r="AA1417" t="n">
        <v>515</v>
      </c>
      <c r="AB1417" t="n">
        <v>5</v>
      </c>
      <c r="AC1417" t="n">
        <v>5</v>
      </c>
      <c r="AD1417" t="n">
        <v>23</v>
      </c>
      <c r="AE1417" t="n">
        <v>23</v>
      </c>
      <c r="AF1417" t="n">
        <v>10</v>
      </c>
      <c r="AG1417" t="n">
        <v>10</v>
      </c>
      <c r="AH1417" t="n">
        <v>5</v>
      </c>
      <c r="AI1417" t="n">
        <v>5</v>
      </c>
      <c r="AJ1417" t="n">
        <v>10</v>
      </c>
      <c r="AK1417" t="n">
        <v>10</v>
      </c>
      <c r="AL1417" t="n">
        <v>4</v>
      </c>
      <c r="AM1417" t="n">
        <v>4</v>
      </c>
      <c r="AN1417" t="n">
        <v>0</v>
      </c>
      <c r="AO1417" t="n">
        <v>0</v>
      </c>
      <c r="AP1417" t="inlineStr">
        <is>
          <t>No</t>
        </is>
      </c>
      <c r="AQ1417" t="inlineStr">
        <is>
          <t>Yes</t>
        </is>
      </c>
      <c r="AR1417">
        <f>HYPERLINK("http://catalog.hathitrust.org/Record/004372428","HathiTrust Record")</f>
        <v/>
      </c>
      <c r="AS1417">
        <f>HYPERLINK("https://creighton-primo.hosted.exlibrisgroup.com/primo-explore/search?tab=default_tab&amp;search_scope=EVERYTHING&amp;vid=01CRU&amp;lang=en_US&amp;offset=0&amp;query=any,contains,991002814289702656","Catalog Record")</f>
        <v/>
      </c>
      <c r="AT1417">
        <f>HYPERLINK("http://www.worldcat.org/oclc/36969689","WorldCat Record")</f>
        <v/>
      </c>
      <c r="AU1417" t="inlineStr">
        <is>
          <t>836961446:eng</t>
        </is>
      </c>
      <c r="AV1417" t="inlineStr">
        <is>
          <t>36969689</t>
        </is>
      </c>
      <c r="AW1417" t="inlineStr">
        <is>
          <t>991002814289702656</t>
        </is>
      </c>
      <c r="AX1417" t="inlineStr">
        <is>
          <t>991002814289702656</t>
        </is>
      </c>
      <c r="AY1417" t="inlineStr">
        <is>
          <t>2271012560002656</t>
        </is>
      </c>
      <c r="AZ1417" t="inlineStr">
        <is>
          <t>BOOK</t>
        </is>
      </c>
      <c r="BB1417" t="inlineStr">
        <is>
          <t>9780880116695</t>
        </is>
      </c>
      <c r="BC1417" t="inlineStr">
        <is>
          <t>32285003467767</t>
        </is>
      </c>
      <c r="BD1417" t="inlineStr">
        <is>
          <t>893421833</t>
        </is>
      </c>
    </row>
    <row r="1418">
      <c r="A1418" t="inlineStr">
        <is>
          <t>No</t>
        </is>
      </c>
      <c r="B1418" t="inlineStr">
        <is>
          <t>GV443 .G85 2000</t>
        </is>
      </c>
      <c r="C1418" t="inlineStr">
        <is>
          <t>0                      GV 0443000G  85          2000</t>
        </is>
      </c>
      <c r="D1418" t="inlineStr">
        <is>
          <t>Guidelines for physical education programs, grades K-12 : standards, objectives, and assessments / edited by Steveda Chepko, Ree K. Arnold ; Eastern District Association of the American Alliance for Health, Physical Education, Recreation and Dance.</t>
        </is>
      </c>
      <c r="F1418" t="inlineStr">
        <is>
          <t>No</t>
        </is>
      </c>
      <c r="G1418" t="inlineStr">
        <is>
          <t>1</t>
        </is>
      </c>
      <c r="H1418" t="inlineStr">
        <is>
          <t>No</t>
        </is>
      </c>
      <c r="I1418" t="inlineStr">
        <is>
          <t>No</t>
        </is>
      </c>
      <c r="J1418" t="inlineStr">
        <is>
          <t>0</t>
        </is>
      </c>
      <c r="L1418" t="inlineStr">
        <is>
          <t>Boston : Allyn and Bacon, c2000.</t>
        </is>
      </c>
      <c r="M1418" t="inlineStr">
        <is>
          <t>2000</t>
        </is>
      </c>
      <c r="O1418" t="inlineStr">
        <is>
          <t>eng</t>
        </is>
      </c>
      <c r="P1418" t="inlineStr">
        <is>
          <t>mau</t>
        </is>
      </c>
      <c r="R1418" t="inlineStr">
        <is>
          <t xml:space="preserve">GV </t>
        </is>
      </c>
      <c r="S1418" t="n">
        <v>4</v>
      </c>
      <c r="T1418" t="n">
        <v>4</v>
      </c>
      <c r="U1418" t="inlineStr">
        <is>
          <t>2007-10-12</t>
        </is>
      </c>
      <c r="V1418" t="inlineStr">
        <is>
          <t>2007-10-12</t>
        </is>
      </c>
      <c r="W1418" t="inlineStr">
        <is>
          <t>1999-10-12</t>
        </is>
      </c>
      <c r="X1418" t="inlineStr">
        <is>
          <t>1999-10-12</t>
        </is>
      </c>
      <c r="Y1418" t="n">
        <v>221</v>
      </c>
      <c r="Z1418" t="n">
        <v>202</v>
      </c>
      <c r="AA1418" t="n">
        <v>202</v>
      </c>
      <c r="AB1418" t="n">
        <v>5</v>
      </c>
      <c r="AC1418" t="n">
        <v>5</v>
      </c>
      <c r="AD1418" t="n">
        <v>10</v>
      </c>
      <c r="AE1418" t="n">
        <v>10</v>
      </c>
      <c r="AF1418" t="n">
        <v>5</v>
      </c>
      <c r="AG1418" t="n">
        <v>5</v>
      </c>
      <c r="AH1418" t="n">
        <v>1</v>
      </c>
      <c r="AI1418" t="n">
        <v>1</v>
      </c>
      <c r="AJ1418" t="n">
        <v>2</v>
      </c>
      <c r="AK1418" t="n">
        <v>2</v>
      </c>
      <c r="AL1418" t="n">
        <v>4</v>
      </c>
      <c r="AM1418" t="n">
        <v>4</v>
      </c>
      <c r="AN1418" t="n">
        <v>0</v>
      </c>
      <c r="AO1418" t="n">
        <v>0</v>
      </c>
      <c r="AP1418" t="inlineStr">
        <is>
          <t>No</t>
        </is>
      </c>
      <c r="AQ1418" t="inlineStr">
        <is>
          <t>No</t>
        </is>
      </c>
      <c r="AS1418">
        <f>HYPERLINK("https://creighton-primo.hosted.exlibrisgroup.com/primo-explore/search?tab=default_tab&amp;search_scope=EVERYTHING&amp;vid=01CRU&amp;lang=en_US&amp;offset=0&amp;query=any,contains,991003041579702656","Catalog Record")</f>
        <v/>
      </c>
      <c r="AT1418">
        <f>HYPERLINK("http://www.worldcat.org/oclc/42207696","WorldCat Record")</f>
        <v/>
      </c>
      <c r="AU1418" t="inlineStr">
        <is>
          <t>27636323:eng</t>
        </is>
      </c>
      <c r="AV1418" t="inlineStr">
        <is>
          <t>42207696</t>
        </is>
      </c>
      <c r="AW1418" t="inlineStr">
        <is>
          <t>991003041579702656</t>
        </is>
      </c>
      <c r="AX1418" t="inlineStr">
        <is>
          <t>991003041579702656</t>
        </is>
      </c>
      <c r="AY1418" t="inlineStr">
        <is>
          <t>2262265520002656</t>
        </is>
      </c>
      <c r="AZ1418" t="inlineStr">
        <is>
          <t>BOOK</t>
        </is>
      </c>
      <c r="BB1418" t="inlineStr">
        <is>
          <t>9780205283262</t>
        </is>
      </c>
      <c r="BC1418" t="inlineStr">
        <is>
          <t>32285003594974</t>
        </is>
      </c>
      <c r="BD1418" t="inlineStr">
        <is>
          <t>893704852</t>
        </is>
      </c>
    </row>
    <row r="1419">
      <c r="A1419" t="inlineStr">
        <is>
          <t>No</t>
        </is>
      </c>
      <c r="B1419" t="inlineStr">
        <is>
          <t>GV443 .H15 2009</t>
        </is>
      </c>
      <c r="C1419" t="inlineStr">
        <is>
          <t>0                      GV 0443000H  15          2009</t>
        </is>
      </c>
      <c r="D1419" t="inlineStr">
        <is>
          <t>Strong kids, healthy kids : the revolutionary program for increasing your child's fitness in 30 minutes a week / Fredrick Hahn ; foreword by Wayne L. Westcott.</t>
        </is>
      </c>
      <c r="F1419" t="inlineStr">
        <is>
          <t>No</t>
        </is>
      </c>
      <c r="G1419" t="inlineStr">
        <is>
          <t>1</t>
        </is>
      </c>
      <c r="H1419" t="inlineStr">
        <is>
          <t>No</t>
        </is>
      </c>
      <c r="I1419" t="inlineStr">
        <is>
          <t>No</t>
        </is>
      </c>
      <c r="J1419" t="inlineStr">
        <is>
          <t>0</t>
        </is>
      </c>
      <c r="K1419" t="inlineStr">
        <is>
          <t>Hahn, Fredrick.</t>
        </is>
      </c>
      <c r="L1419" t="inlineStr">
        <is>
          <t>New York : AMACOM, c2009.</t>
        </is>
      </c>
      <c r="M1419" t="inlineStr">
        <is>
          <t>2009</t>
        </is>
      </c>
      <c r="O1419" t="inlineStr">
        <is>
          <t>eng</t>
        </is>
      </c>
      <c r="P1419" t="inlineStr">
        <is>
          <t>nyu</t>
        </is>
      </c>
      <c r="R1419" t="inlineStr">
        <is>
          <t xml:space="preserve">GV </t>
        </is>
      </c>
      <c r="S1419" t="n">
        <v>4</v>
      </c>
      <c r="T1419" t="n">
        <v>4</v>
      </c>
      <c r="U1419" t="inlineStr">
        <is>
          <t>2010-01-15</t>
        </is>
      </c>
      <c r="V1419" t="inlineStr">
        <is>
          <t>2010-01-15</t>
        </is>
      </c>
      <c r="W1419" t="inlineStr">
        <is>
          <t>2008-11-24</t>
        </is>
      </c>
      <c r="X1419" t="inlineStr">
        <is>
          <t>2008-11-24</t>
        </is>
      </c>
      <c r="Y1419" t="n">
        <v>228</v>
      </c>
      <c r="Z1419" t="n">
        <v>197</v>
      </c>
      <c r="AA1419" t="n">
        <v>928</v>
      </c>
      <c r="AB1419" t="n">
        <v>2</v>
      </c>
      <c r="AC1419" t="n">
        <v>22</v>
      </c>
      <c r="AD1419" t="n">
        <v>1</v>
      </c>
      <c r="AE1419" t="n">
        <v>16</v>
      </c>
      <c r="AF1419" t="n">
        <v>0</v>
      </c>
      <c r="AG1419" t="n">
        <v>5</v>
      </c>
      <c r="AH1419" t="n">
        <v>0</v>
      </c>
      <c r="AI1419" t="n">
        <v>2</v>
      </c>
      <c r="AJ1419" t="n">
        <v>0</v>
      </c>
      <c r="AK1419" t="n">
        <v>1</v>
      </c>
      <c r="AL1419" t="n">
        <v>1</v>
      </c>
      <c r="AM1419" t="n">
        <v>10</v>
      </c>
      <c r="AN1419" t="n">
        <v>0</v>
      </c>
      <c r="AO1419" t="n">
        <v>0</v>
      </c>
      <c r="AP1419" t="inlineStr">
        <is>
          <t>No</t>
        </is>
      </c>
      <c r="AQ1419" t="inlineStr">
        <is>
          <t>No</t>
        </is>
      </c>
      <c r="AS1419">
        <f>HYPERLINK("https://creighton-primo.hosted.exlibrisgroup.com/primo-explore/search?tab=default_tab&amp;search_scope=EVERYTHING&amp;vid=01CRU&amp;lang=en_US&amp;offset=0&amp;query=any,contains,991005277499702656","Catalog Record")</f>
        <v/>
      </c>
      <c r="AT1419">
        <f>HYPERLINK("http://www.worldcat.org/oclc/227033761","WorldCat Record")</f>
        <v/>
      </c>
      <c r="AU1419" t="inlineStr">
        <is>
          <t>802992167:eng</t>
        </is>
      </c>
      <c r="AV1419" t="inlineStr">
        <is>
          <t>227033761</t>
        </is>
      </c>
      <c r="AW1419" t="inlineStr">
        <is>
          <t>991005277499702656</t>
        </is>
      </c>
      <c r="AX1419" t="inlineStr">
        <is>
          <t>991005277499702656</t>
        </is>
      </c>
      <c r="AY1419" t="inlineStr">
        <is>
          <t>2260767040002656</t>
        </is>
      </c>
      <c r="AZ1419" t="inlineStr">
        <is>
          <t>BOOK</t>
        </is>
      </c>
      <c r="BB1419" t="inlineStr">
        <is>
          <t>9780814409428</t>
        </is>
      </c>
      <c r="BC1419" t="inlineStr">
        <is>
          <t>32285005468532</t>
        </is>
      </c>
      <c r="BD1419" t="inlineStr">
        <is>
          <t>893802046</t>
        </is>
      </c>
    </row>
    <row r="1420">
      <c r="A1420" t="inlineStr">
        <is>
          <t>No</t>
        </is>
      </c>
      <c r="B1420" t="inlineStr">
        <is>
          <t>GV443 .N258 2004</t>
        </is>
      </c>
      <c r="C1420" t="inlineStr">
        <is>
          <t>0                      GV 0443000N  258         2004</t>
        </is>
      </c>
      <c r="D1420" t="inlineStr">
        <is>
          <t>Moving into the future : national standards for physical education / developed by the National Association for Sport and Physical Education.</t>
        </is>
      </c>
      <c r="F1420" t="inlineStr">
        <is>
          <t>No</t>
        </is>
      </c>
      <c r="G1420" t="inlineStr">
        <is>
          <t>1</t>
        </is>
      </c>
      <c r="H1420" t="inlineStr">
        <is>
          <t>No</t>
        </is>
      </c>
      <c r="I1420" t="inlineStr">
        <is>
          <t>No</t>
        </is>
      </c>
      <c r="J1420" t="inlineStr">
        <is>
          <t>0</t>
        </is>
      </c>
      <c r="K1420" t="inlineStr">
        <is>
          <t>National Association for Sport and Physical Education.</t>
        </is>
      </c>
      <c r="L1420" t="inlineStr">
        <is>
          <t>Reston, Va. : NASPE Publications ; [S.l.] : produced and distributed exclusively by McGraw-Hill by special agreement, c2004.</t>
        </is>
      </c>
      <c r="M1420" t="inlineStr">
        <is>
          <t>2004</t>
        </is>
      </c>
      <c r="O1420" t="inlineStr">
        <is>
          <t>eng</t>
        </is>
      </c>
      <c r="P1420" t="inlineStr">
        <is>
          <t>vau</t>
        </is>
      </c>
      <c r="R1420" t="inlineStr">
        <is>
          <t xml:space="preserve">GV </t>
        </is>
      </c>
      <c r="S1420" t="n">
        <v>2</v>
      </c>
      <c r="T1420" t="n">
        <v>2</v>
      </c>
      <c r="U1420" t="inlineStr">
        <is>
          <t>2007-10-12</t>
        </is>
      </c>
      <c r="V1420" t="inlineStr">
        <is>
          <t>2007-10-12</t>
        </is>
      </c>
      <c r="W1420" t="inlineStr">
        <is>
          <t>2004-06-23</t>
        </is>
      </c>
      <c r="X1420" t="inlineStr">
        <is>
          <t>2004-06-23</t>
        </is>
      </c>
      <c r="Y1420" t="n">
        <v>426</v>
      </c>
      <c r="Z1420" t="n">
        <v>327</v>
      </c>
      <c r="AA1420" t="n">
        <v>514</v>
      </c>
      <c r="AB1420" t="n">
        <v>10</v>
      </c>
      <c r="AC1420" t="n">
        <v>12</v>
      </c>
      <c r="AD1420" t="n">
        <v>16</v>
      </c>
      <c r="AE1420" t="n">
        <v>18</v>
      </c>
      <c r="AF1420" t="n">
        <v>6</v>
      </c>
      <c r="AG1420" t="n">
        <v>6</v>
      </c>
      <c r="AH1420" t="n">
        <v>0</v>
      </c>
      <c r="AI1420" t="n">
        <v>1</v>
      </c>
      <c r="AJ1420" t="n">
        <v>4</v>
      </c>
      <c r="AK1420" t="n">
        <v>4</v>
      </c>
      <c r="AL1420" t="n">
        <v>9</v>
      </c>
      <c r="AM1420" t="n">
        <v>10</v>
      </c>
      <c r="AN1420" t="n">
        <v>0</v>
      </c>
      <c r="AO1420" t="n">
        <v>0</v>
      </c>
      <c r="AP1420" t="inlineStr">
        <is>
          <t>No</t>
        </is>
      </c>
      <c r="AQ1420" t="inlineStr">
        <is>
          <t>Yes</t>
        </is>
      </c>
      <c r="AR1420">
        <f>HYPERLINK("http://catalog.hathitrust.org/Record/004946958","HathiTrust Record")</f>
        <v/>
      </c>
      <c r="AS1420">
        <f>HYPERLINK("https://creighton-primo.hosted.exlibrisgroup.com/primo-explore/search?tab=default_tab&amp;search_scope=EVERYTHING&amp;vid=01CRU&amp;lang=en_US&amp;offset=0&amp;query=any,contains,991004303619702656","Catalog Record")</f>
        <v/>
      </c>
      <c r="AT1420">
        <f>HYPERLINK("http://www.worldcat.org/oclc/55216357","WorldCat Record")</f>
        <v/>
      </c>
      <c r="AU1420" t="inlineStr">
        <is>
          <t>982249:eng</t>
        </is>
      </c>
      <c r="AV1420" t="inlineStr">
        <is>
          <t>55216357</t>
        </is>
      </c>
      <c r="AW1420" t="inlineStr">
        <is>
          <t>991004303619702656</t>
        </is>
      </c>
      <c r="AX1420" t="inlineStr">
        <is>
          <t>991004303619702656</t>
        </is>
      </c>
      <c r="AY1420" t="inlineStr">
        <is>
          <t>2270112150002656</t>
        </is>
      </c>
      <c r="AZ1420" t="inlineStr">
        <is>
          <t>BOOK</t>
        </is>
      </c>
      <c r="BB1420" t="inlineStr">
        <is>
          <t>9780883149096</t>
        </is>
      </c>
      <c r="BC1420" t="inlineStr">
        <is>
          <t>32285004920921</t>
        </is>
      </c>
      <c r="BD1420" t="inlineStr">
        <is>
          <t>893259565</t>
        </is>
      </c>
    </row>
    <row r="1421">
      <c r="A1421" t="inlineStr">
        <is>
          <t>No</t>
        </is>
      </c>
      <c r="B1421" t="inlineStr">
        <is>
          <t>GV443 .P383 2007</t>
        </is>
      </c>
      <c r="C1421" t="inlineStr">
        <is>
          <t>0                      GV 0443000P  383         2007</t>
        </is>
      </c>
      <c r="D1421" t="inlineStr">
        <is>
          <t>PE4life : developing and promoting quality physical education / PE4life.</t>
        </is>
      </c>
      <c r="F1421" t="inlineStr">
        <is>
          <t>No</t>
        </is>
      </c>
      <c r="G1421" t="inlineStr">
        <is>
          <t>1</t>
        </is>
      </c>
      <c r="H1421" t="inlineStr">
        <is>
          <t>No</t>
        </is>
      </c>
      <c r="I1421" t="inlineStr">
        <is>
          <t>No</t>
        </is>
      </c>
      <c r="J1421" t="inlineStr">
        <is>
          <t>0</t>
        </is>
      </c>
      <c r="K1421" t="inlineStr">
        <is>
          <t>PE4life.</t>
        </is>
      </c>
      <c r="L1421" t="inlineStr">
        <is>
          <t>Champaign, IL : Human Kinetics, c2007.</t>
        </is>
      </c>
      <c r="M1421" t="inlineStr">
        <is>
          <t>2007</t>
        </is>
      </c>
      <c r="O1421" t="inlineStr">
        <is>
          <t>eng</t>
        </is>
      </c>
      <c r="P1421" t="inlineStr">
        <is>
          <t>ilu</t>
        </is>
      </c>
      <c r="R1421" t="inlineStr">
        <is>
          <t xml:space="preserve">GV </t>
        </is>
      </c>
      <c r="S1421" t="n">
        <v>1</v>
      </c>
      <c r="T1421" t="n">
        <v>1</v>
      </c>
      <c r="U1421" t="inlineStr">
        <is>
          <t>2007-05-31</t>
        </is>
      </c>
      <c r="V1421" t="inlineStr">
        <is>
          <t>2007-05-31</t>
        </is>
      </c>
      <c r="W1421" t="inlineStr">
        <is>
          <t>2007-05-31</t>
        </is>
      </c>
      <c r="X1421" t="inlineStr">
        <is>
          <t>2007-05-31</t>
        </is>
      </c>
      <c r="Y1421" t="n">
        <v>204</v>
      </c>
      <c r="Z1421" t="n">
        <v>149</v>
      </c>
      <c r="AA1421" t="n">
        <v>150</v>
      </c>
      <c r="AB1421" t="n">
        <v>5</v>
      </c>
      <c r="AC1421" t="n">
        <v>5</v>
      </c>
      <c r="AD1421" t="n">
        <v>8</v>
      </c>
      <c r="AE1421" t="n">
        <v>8</v>
      </c>
      <c r="AF1421" t="n">
        <v>4</v>
      </c>
      <c r="AG1421" t="n">
        <v>4</v>
      </c>
      <c r="AH1421" t="n">
        <v>1</v>
      </c>
      <c r="AI1421" t="n">
        <v>1</v>
      </c>
      <c r="AJ1421" t="n">
        <v>1</v>
      </c>
      <c r="AK1421" t="n">
        <v>1</v>
      </c>
      <c r="AL1421" t="n">
        <v>4</v>
      </c>
      <c r="AM1421" t="n">
        <v>4</v>
      </c>
      <c r="AN1421" t="n">
        <v>0</v>
      </c>
      <c r="AO1421" t="n">
        <v>0</v>
      </c>
      <c r="AP1421" t="inlineStr">
        <is>
          <t>No</t>
        </is>
      </c>
      <c r="AQ1421" t="inlineStr">
        <is>
          <t>No</t>
        </is>
      </c>
      <c r="AS1421">
        <f>HYPERLINK("https://creighton-primo.hosted.exlibrisgroup.com/primo-explore/search?tab=default_tab&amp;search_scope=EVERYTHING&amp;vid=01CRU&amp;lang=en_US&amp;offset=0&amp;query=any,contains,991005081789702656","Catalog Record")</f>
        <v/>
      </c>
      <c r="AT1421">
        <f>HYPERLINK("http://www.worldcat.org/oclc/71241825","WorldCat Record")</f>
        <v/>
      </c>
      <c r="AU1421" t="inlineStr">
        <is>
          <t>285599525:eng</t>
        </is>
      </c>
      <c r="AV1421" t="inlineStr">
        <is>
          <t>71241825</t>
        </is>
      </c>
      <c r="AW1421" t="inlineStr">
        <is>
          <t>991005081789702656</t>
        </is>
      </c>
      <c r="AX1421" t="inlineStr">
        <is>
          <t>991005081789702656</t>
        </is>
      </c>
      <c r="AY1421" t="inlineStr">
        <is>
          <t>2260756350002656</t>
        </is>
      </c>
      <c r="AZ1421" t="inlineStr">
        <is>
          <t>BOOK</t>
        </is>
      </c>
      <c r="BB1421" t="inlineStr">
        <is>
          <t>9780736057783</t>
        </is>
      </c>
      <c r="BC1421" t="inlineStr">
        <is>
          <t>32285005303374</t>
        </is>
      </c>
      <c r="BD1421" t="inlineStr">
        <is>
          <t>893501283</t>
        </is>
      </c>
    </row>
    <row r="1422">
      <c r="A1422" t="inlineStr">
        <is>
          <t>No</t>
        </is>
      </c>
      <c r="B1422" t="inlineStr">
        <is>
          <t>GV461 .M54 2002</t>
        </is>
      </c>
      <c r="C1422" t="inlineStr">
        <is>
          <t>0                      GV 0461000M  54          2002</t>
        </is>
      </c>
      <c r="D1422" t="inlineStr">
        <is>
          <t>Teaching fundamental gymnastics skills / Debby Mitchell, Barbara Davis, Raim Lopez ; illustrated by Stormy Gunter.</t>
        </is>
      </c>
      <c r="F1422" t="inlineStr">
        <is>
          <t>No</t>
        </is>
      </c>
      <c r="G1422" t="inlineStr">
        <is>
          <t>1</t>
        </is>
      </c>
      <c r="H1422" t="inlineStr">
        <is>
          <t>No</t>
        </is>
      </c>
      <c r="I1422" t="inlineStr">
        <is>
          <t>No</t>
        </is>
      </c>
      <c r="J1422" t="inlineStr">
        <is>
          <t>0</t>
        </is>
      </c>
      <c r="K1422" t="inlineStr">
        <is>
          <t>Mitchell, Debby, 1953-</t>
        </is>
      </c>
      <c r="L1422" t="inlineStr">
        <is>
          <t>Champaign, IL : Human Kinetics, c2002.</t>
        </is>
      </c>
      <c r="M1422" t="inlineStr">
        <is>
          <t>2002</t>
        </is>
      </c>
      <c r="O1422" t="inlineStr">
        <is>
          <t>eng</t>
        </is>
      </c>
      <c r="P1422" t="inlineStr">
        <is>
          <t>ilu</t>
        </is>
      </c>
      <c r="R1422" t="inlineStr">
        <is>
          <t xml:space="preserve">GV </t>
        </is>
      </c>
      <c r="S1422" t="n">
        <v>3</v>
      </c>
      <c r="T1422" t="n">
        <v>3</v>
      </c>
      <c r="U1422" t="inlineStr">
        <is>
          <t>2003-12-18</t>
        </is>
      </c>
      <c r="V1422" t="inlineStr">
        <is>
          <t>2003-12-18</t>
        </is>
      </c>
      <c r="W1422" t="inlineStr">
        <is>
          <t>2002-11-04</t>
        </is>
      </c>
      <c r="X1422" t="inlineStr">
        <is>
          <t>2002-11-04</t>
        </is>
      </c>
      <c r="Y1422" t="n">
        <v>459</v>
      </c>
      <c r="Z1422" t="n">
        <v>331</v>
      </c>
      <c r="AA1422" t="n">
        <v>336</v>
      </c>
      <c r="AB1422" t="n">
        <v>4</v>
      </c>
      <c r="AC1422" t="n">
        <v>4</v>
      </c>
      <c r="AD1422" t="n">
        <v>4</v>
      </c>
      <c r="AE1422" t="n">
        <v>4</v>
      </c>
      <c r="AF1422" t="n">
        <v>1</v>
      </c>
      <c r="AG1422" t="n">
        <v>1</v>
      </c>
      <c r="AH1422" t="n">
        <v>1</v>
      </c>
      <c r="AI1422" t="n">
        <v>1</v>
      </c>
      <c r="AJ1422" t="n">
        <v>0</v>
      </c>
      <c r="AK1422" t="n">
        <v>0</v>
      </c>
      <c r="AL1422" t="n">
        <v>3</v>
      </c>
      <c r="AM1422" t="n">
        <v>3</v>
      </c>
      <c r="AN1422" t="n">
        <v>0</v>
      </c>
      <c r="AO1422" t="n">
        <v>0</v>
      </c>
      <c r="AP1422" t="inlineStr">
        <is>
          <t>No</t>
        </is>
      </c>
      <c r="AQ1422" t="inlineStr">
        <is>
          <t>Yes</t>
        </is>
      </c>
      <c r="AR1422">
        <f>HYPERLINK("http://catalog.hathitrust.org/Record/004925349","HathiTrust Record")</f>
        <v/>
      </c>
      <c r="AS1422">
        <f>HYPERLINK("https://creighton-primo.hosted.exlibrisgroup.com/primo-explore/search?tab=default_tab&amp;search_scope=EVERYTHING&amp;vid=01CRU&amp;lang=en_US&amp;offset=0&amp;query=any,contains,991003917109702656","Catalog Record")</f>
        <v/>
      </c>
      <c r="AT1422">
        <f>HYPERLINK("http://www.worldcat.org/oclc/48810811","WorldCat Record")</f>
        <v/>
      </c>
      <c r="AU1422" t="inlineStr">
        <is>
          <t>37868978:eng</t>
        </is>
      </c>
      <c r="AV1422" t="inlineStr">
        <is>
          <t>48810811</t>
        </is>
      </c>
      <c r="AW1422" t="inlineStr">
        <is>
          <t>991003917109702656</t>
        </is>
      </c>
      <c r="AX1422" t="inlineStr">
        <is>
          <t>991003917109702656</t>
        </is>
      </c>
      <c r="AY1422" t="inlineStr">
        <is>
          <t>2268044950002656</t>
        </is>
      </c>
      <c r="AZ1422" t="inlineStr">
        <is>
          <t>BOOK</t>
        </is>
      </c>
      <c r="BB1422" t="inlineStr">
        <is>
          <t>9780736001243</t>
        </is>
      </c>
      <c r="BC1422" t="inlineStr">
        <is>
          <t>32285004660659</t>
        </is>
      </c>
      <c r="BD1422" t="inlineStr">
        <is>
          <t>893593061</t>
        </is>
      </c>
    </row>
    <row r="1423">
      <c r="A1423" t="inlineStr">
        <is>
          <t>No</t>
        </is>
      </c>
      <c r="B1423" t="inlineStr">
        <is>
          <t>GV464 .B59 1981</t>
        </is>
      </c>
      <c r="C1423" t="inlineStr">
        <is>
          <t>0                      GV 0464000B  59          1981</t>
        </is>
      </c>
      <c r="D1423" t="inlineStr">
        <is>
          <t>Judging and coaching women's gymnastics / Carolyn Osborn Bowers, Jacquelyn Klein Fie, Andrea Bodó Schmid ; illustrations by Diana Attie Seeman.</t>
        </is>
      </c>
      <c r="F1423" t="inlineStr">
        <is>
          <t>No</t>
        </is>
      </c>
      <c r="G1423" t="inlineStr">
        <is>
          <t>1</t>
        </is>
      </c>
      <c r="H1423" t="inlineStr">
        <is>
          <t>No</t>
        </is>
      </c>
      <c r="I1423" t="inlineStr">
        <is>
          <t>No</t>
        </is>
      </c>
      <c r="J1423" t="inlineStr">
        <is>
          <t>0</t>
        </is>
      </c>
      <c r="K1423" t="inlineStr">
        <is>
          <t>Bowers, Carolyn O.</t>
        </is>
      </c>
      <c r="L1423" t="inlineStr">
        <is>
          <t>Palo Alto, Calif. : Mayfield Pub. Co., 1981.</t>
        </is>
      </c>
      <c r="M1423" t="inlineStr">
        <is>
          <t>1981</t>
        </is>
      </c>
      <c r="N1423" t="inlineStr">
        <is>
          <t>2nd ed.</t>
        </is>
      </c>
      <c r="O1423" t="inlineStr">
        <is>
          <t>eng</t>
        </is>
      </c>
      <c r="P1423" t="inlineStr">
        <is>
          <t>cau</t>
        </is>
      </c>
      <c r="R1423" t="inlineStr">
        <is>
          <t xml:space="preserve">GV </t>
        </is>
      </c>
      <c r="S1423" t="n">
        <v>2</v>
      </c>
      <c r="T1423" t="n">
        <v>2</v>
      </c>
      <c r="U1423" t="inlineStr">
        <is>
          <t>2010-10-29</t>
        </is>
      </c>
      <c r="V1423" t="inlineStr">
        <is>
          <t>2010-10-29</t>
        </is>
      </c>
      <c r="W1423" t="inlineStr">
        <is>
          <t>1997-06-17</t>
        </is>
      </c>
      <c r="X1423" t="inlineStr">
        <is>
          <t>1997-06-17</t>
        </is>
      </c>
      <c r="Y1423" t="n">
        <v>189</v>
      </c>
      <c r="Z1423" t="n">
        <v>161</v>
      </c>
      <c r="AA1423" t="n">
        <v>381</v>
      </c>
      <c r="AB1423" t="n">
        <v>3</v>
      </c>
      <c r="AC1423" t="n">
        <v>6</v>
      </c>
      <c r="AD1423" t="n">
        <v>4</v>
      </c>
      <c r="AE1423" t="n">
        <v>12</v>
      </c>
      <c r="AF1423" t="n">
        <v>2</v>
      </c>
      <c r="AG1423" t="n">
        <v>4</v>
      </c>
      <c r="AH1423" t="n">
        <v>0</v>
      </c>
      <c r="AI1423" t="n">
        <v>1</v>
      </c>
      <c r="AJ1423" t="n">
        <v>0</v>
      </c>
      <c r="AK1423" t="n">
        <v>1</v>
      </c>
      <c r="AL1423" t="n">
        <v>2</v>
      </c>
      <c r="AM1423" t="n">
        <v>5</v>
      </c>
      <c r="AN1423" t="n">
        <v>0</v>
      </c>
      <c r="AO1423" t="n">
        <v>1</v>
      </c>
      <c r="AP1423" t="inlineStr">
        <is>
          <t>No</t>
        </is>
      </c>
      <c r="AQ1423" t="inlineStr">
        <is>
          <t>Yes</t>
        </is>
      </c>
      <c r="AR1423">
        <f>HYPERLINK("http://catalog.hathitrust.org/Record/000228044","HathiTrust Record")</f>
        <v/>
      </c>
      <c r="AS1423">
        <f>HYPERLINK("https://creighton-primo.hosted.exlibrisgroup.com/primo-explore/search?tab=default_tab&amp;search_scope=EVERYTHING&amp;vid=01CRU&amp;lang=en_US&amp;offset=0&amp;query=any,contains,991005160109702656","Catalog Record")</f>
        <v/>
      </c>
      <c r="AT1423">
        <f>HYPERLINK("http://www.worldcat.org/oclc/7774502","WorldCat Record")</f>
        <v/>
      </c>
      <c r="AU1423" t="inlineStr">
        <is>
          <t>29570572:eng</t>
        </is>
      </c>
      <c r="AV1423" t="inlineStr">
        <is>
          <t>7774502</t>
        </is>
      </c>
      <c r="AW1423" t="inlineStr">
        <is>
          <t>991005160109702656</t>
        </is>
      </c>
      <c r="AX1423" t="inlineStr">
        <is>
          <t>991005160109702656</t>
        </is>
      </c>
      <c r="AY1423" t="inlineStr">
        <is>
          <t>2267089360002656</t>
        </is>
      </c>
      <c r="AZ1423" t="inlineStr">
        <is>
          <t>BOOK</t>
        </is>
      </c>
      <c r="BB1423" t="inlineStr">
        <is>
          <t>9780874843910</t>
        </is>
      </c>
      <c r="BC1423" t="inlineStr">
        <is>
          <t>32285000340942</t>
        </is>
      </c>
      <c r="BD1423" t="inlineStr">
        <is>
          <t>893260646</t>
        </is>
      </c>
    </row>
    <row r="1424">
      <c r="A1424" t="inlineStr">
        <is>
          <t>No</t>
        </is>
      </c>
      <c r="B1424" t="inlineStr">
        <is>
          <t>GV464 .G46</t>
        </is>
      </c>
      <c r="C1424" t="inlineStr">
        <is>
          <t>0                      GV 0464000G  46</t>
        </is>
      </c>
      <c r="D1424" t="inlineStr">
        <is>
          <t>Biomechanics of women's gymnastics / Gerald S. George.</t>
        </is>
      </c>
      <c r="F1424" t="inlineStr">
        <is>
          <t>No</t>
        </is>
      </c>
      <c r="G1424" t="inlineStr">
        <is>
          <t>1</t>
        </is>
      </c>
      <c r="H1424" t="inlineStr">
        <is>
          <t>No</t>
        </is>
      </c>
      <c r="I1424" t="inlineStr">
        <is>
          <t>No</t>
        </is>
      </c>
      <c r="J1424" t="inlineStr">
        <is>
          <t>0</t>
        </is>
      </c>
      <c r="K1424" t="inlineStr">
        <is>
          <t>George, Gerald S.</t>
        </is>
      </c>
      <c r="L1424" t="inlineStr">
        <is>
          <t>Englewood Cliffs, N.J. : Prentice-Hall, c1980.</t>
        </is>
      </c>
      <c r="M1424" t="inlineStr">
        <is>
          <t>1980</t>
        </is>
      </c>
      <c r="O1424" t="inlineStr">
        <is>
          <t>eng</t>
        </is>
      </c>
      <c r="P1424" t="inlineStr">
        <is>
          <t>nju</t>
        </is>
      </c>
      <c r="R1424" t="inlineStr">
        <is>
          <t xml:space="preserve">GV </t>
        </is>
      </c>
      <c r="S1424" t="n">
        <v>13</v>
      </c>
      <c r="T1424" t="n">
        <v>13</v>
      </c>
      <c r="U1424" t="inlineStr">
        <is>
          <t>2010-10-29</t>
        </is>
      </c>
      <c r="V1424" t="inlineStr">
        <is>
          <t>2010-10-29</t>
        </is>
      </c>
      <c r="W1424" t="inlineStr">
        <is>
          <t>1990-10-11</t>
        </is>
      </c>
      <c r="X1424" t="inlineStr">
        <is>
          <t>1990-10-11</t>
        </is>
      </c>
      <c r="Y1424" t="n">
        <v>637</v>
      </c>
      <c r="Z1424" t="n">
        <v>520</v>
      </c>
      <c r="AA1424" t="n">
        <v>534</v>
      </c>
      <c r="AB1424" t="n">
        <v>6</v>
      </c>
      <c r="AC1424" t="n">
        <v>6</v>
      </c>
      <c r="AD1424" t="n">
        <v>13</v>
      </c>
      <c r="AE1424" t="n">
        <v>15</v>
      </c>
      <c r="AF1424" t="n">
        <v>5</v>
      </c>
      <c r="AG1424" t="n">
        <v>6</v>
      </c>
      <c r="AH1424" t="n">
        <v>2</v>
      </c>
      <c r="AI1424" t="n">
        <v>3</v>
      </c>
      <c r="AJ1424" t="n">
        <v>2</v>
      </c>
      <c r="AK1424" t="n">
        <v>2</v>
      </c>
      <c r="AL1424" t="n">
        <v>5</v>
      </c>
      <c r="AM1424" t="n">
        <v>5</v>
      </c>
      <c r="AN1424" t="n">
        <v>0</v>
      </c>
      <c r="AO1424" t="n">
        <v>0</v>
      </c>
      <c r="AP1424" t="inlineStr">
        <is>
          <t>No</t>
        </is>
      </c>
      <c r="AQ1424" t="inlineStr">
        <is>
          <t>Yes</t>
        </is>
      </c>
      <c r="AR1424">
        <f>HYPERLINK("http://catalog.hathitrust.org/Record/000720993","HathiTrust Record")</f>
        <v/>
      </c>
      <c r="AS1424">
        <f>HYPERLINK("https://creighton-primo.hosted.exlibrisgroup.com/primo-explore/search?tab=default_tab&amp;search_scope=EVERYTHING&amp;vid=01CRU&amp;lang=en_US&amp;offset=0&amp;query=any,contains,991004812799702656","Catalog Record")</f>
        <v/>
      </c>
      <c r="AT1424">
        <f>HYPERLINK("http://www.worldcat.org/oclc/5286366","WorldCat Record")</f>
        <v/>
      </c>
      <c r="AU1424" t="inlineStr">
        <is>
          <t>16803140:eng</t>
        </is>
      </c>
      <c r="AV1424" t="inlineStr">
        <is>
          <t>5286366</t>
        </is>
      </c>
      <c r="AW1424" t="inlineStr">
        <is>
          <t>991004812799702656</t>
        </is>
      </c>
      <c r="AX1424" t="inlineStr">
        <is>
          <t>991004812799702656</t>
        </is>
      </c>
      <c r="AY1424" t="inlineStr">
        <is>
          <t>2271710380002656</t>
        </is>
      </c>
      <c r="AZ1424" t="inlineStr">
        <is>
          <t>BOOK</t>
        </is>
      </c>
      <c r="BB1424" t="inlineStr">
        <is>
          <t>9780130774613</t>
        </is>
      </c>
      <c r="BC1424" t="inlineStr">
        <is>
          <t>32285000341015</t>
        </is>
      </c>
      <c r="BD1424" t="inlineStr">
        <is>
          <t>893895516</t>
        </is>
      </c>
    </row>
    <row r="1425">
      <c r="A1425" t="inlineStr">
        <is>
          <t>No</t>
        </is>
      </c>
      <c r="B1425" t="inlineStr">
        <is>
          <t>GV481 .A48 1988</t>
        </is>
      </c>
      <c r="C1425" t="inlineStr">
        <is>
          <t>0                      GV 0481000A  48          1988</t>
        </is>
      </c>
      <c r="D1425" t="inlineStr">
        <is>
          <t>Choices in health and fitness for life / Sally A. Althoff, Milan Svoboda, Daniel A. Girdano.</t>
        </is>
      </c>
      <c r="F1425" t="inlineStr">
        <is>
          <t>No</t>
        </is>
      </c>
      <c r="G1425" t="inlineStr">
        <is>
          <t>1</t>
        </is>
      </c>
      <c r="H1425" t="inlineStr">
        <is>
          <t>No</t>
        </is>
      </c>
      <c r="I1425" t="inlineStr">
        <is>
          <t>No</t>
        </is>
      </c>
      <c r="J1425" t="inlineStr">
        <is>
          <t>0</t>
        </is>
      </c>
      <c r="K1425" t="inlineStr">
        <is>
          <t>Althoff, Sally A.</t>
        </is>
      </c>
      <c r="L1425" t="inlineStr">
        <is>
          <t>Scottsdale, Ariz. : Gorsuch Scarisbrick, c1988.</t>
        </is>
      </c>
      <c r="M1425" t="inlineStr">
        <is>
          <t>1988</t>
        </is>
      </c>
      <c r="O1425" t="inlineStr">
        <is>
          <t>eng</t>
        </is>
      </c>
      <c r="P1425" t="inlineStr">
        <is>
          <t>azu</t>
        </is>
      </c>
      <c r="R1425" t="inlineStr">
        <is>
          <t xml:space="preserve">GV </t>
        </is>
      </c>
      <c r="S1425" t="n">
        <v>10</v>
      </c>
      <c r="T1425" t="n">
        <v>10</v>
      </c>
      <c r="U1425" t="inlineStr">
        <is>
          <t>2009-10-15</t>
        </is>
      </c>
      <c r="V1425" t="inlineStr">
        <is>
          <t>2009-10-15</t>
        </is>
      </c>
      <c r="W1425" t="inlineStr">
        <is>
          <t>1990-03-02</t>
        </is>
      </c>
      <c r="X1425" t="inlineStr">
        <is>
          <t>1990-03-02</t>
        </is>
      </c>
      <c r="Y1425" t="n">
        <v>40</v>
      </c>
      <c r="Z1425" t="n">
        <v>36</v>
      </c>
      <c r="AA1425" t="n">
        <v>61</v>
      </c>
      <c r="AB1425" t="n">
        <v>2</v>
      </c>
      <c r="AC1425" t="n">
        <v>2</v>
      </c>
      <c r="AD1425" t="n">
        <v>1</v>
      </c>
      <c r="AE1425" t="n">
        <v>1</v>
      </c>
      <c r="AF1425" t="n">
        <v>0</v>
      </c>
      <c r="AG1425" t="n">
        <v>0</v>
      </c>
      <c r="AH1425" t="n">
        <v>0</v>
      </c>
      <c r="AI1425" t="n">
        <v>0</v>
      </c>
      <c r="AJ1425" t="n">
        <v>0</v>
      </c>
      <c r="AK1425" t="n">
        <v>0</v>
      </c>
      <c r="AL1425" t="n">
        <v>1</v>
      </c>
      <c r="AM1425" t="n">
        <v>1</v>
      </c>
      <c r="AN1425" t="n">
        <v>0</v>
      </c>
      <c r="AO1425" t="n">
        <v>0</v>
      </c>
      <c r="AP1425" t="inlineStr">
        <is>
          <t>No</t>
        </is>
      </c>
      <c r="AQ1425" t="inlineStr">
        <is>
          <t>No</t>
        </is>
      </c>
      <c r="AS1425">
        <f>HYPERLINK("https://creighton-primo.hosted.exlibrisgroup.com/primo-explore/search?tab=default_tab&amp;search_scope=EVERYTHING&amp;vid=01CRU&amp;lang=en_US&amp;offset=0&amp;query=any,contains,991001243899702656","Catalog Record")</f>
        <v/>
      </c>
      <c r="AT1425">
        <f>HYPERLINK("http://www.worldcat.org/oclc/17639731","WorldCat Record")</f>
        <v/>
      </c>
      <c r="AU1425" t="inlineStr">
        <is>
          <t>16048274:eng</t>
        </is>
      </c>
      <c r="AV1425" t="inlineStr">
        <is>
          <t>17639731</t>
        </is>
      </c>
      <c r="AW1425" t="inlineStr">
        <is>
          <t>991001243899702656</t>
        </is>
      </c>
      <c r="AX1425" t="inlineStr">
        <is>
          <t>991001243899702656</t>
        </is>
      </c>
      <c r="AY1425" t="inlineStr">
        <is>
          <t>2255688940002656</t>
        </is>
      </c>
      <c r="AZ1425" t="inlineStr">
        <is>
          <t>BOOK</t>
        </is>
      </c>
      <c r="BB1425" t="inlineStr">
        <is>
          <t>9780897876087</t>
        </is>
      </c>
      <c r="BC1425" t="inlineStr">
        <is>
          <t>32285000073899</t>
        </is>
      </c>
      <c r="BD1425" t="inlineStr">
        <is>
          <t>893772442</t>
        </is>
      </c>
    </row>
    <row r="1426">
      <c r="A1426" t="inlineStr">
        <is>
          <t>No</t>
        </is>
      </c>
      <c r="B1426" t="inlineStr">
        <is>
          <t>GV481 .C672 1989</t>
        </is>
      </c>
      <c r="C1426" t="inlineStr">
        <is>
          <t>0                      GV 0481000C  672         1989</t>
        </is>
      </c>
      <c r="D1426" t="inlineStr">
        <is>
          <t>Teaching strategies for improving youth fitness / Charles B. Corbin, Robert P. Pangrazi.</t>
        </is>
      </c>
      <c r="F1426" t="inlineStr">
        <is>
          <t>No</t>
        </is>
      </c>
      <c r="G1426" t="inlineStr">
        <is>
          <t>1</t>
        </is>
      </c>
      <c r="H1426" t="inlineStr">
        <is>
          <t>No</t>
        </is>
      </c>
      <c r="I1426" t="inlineStr">
        <is>
          <t>No</t>
        </is>
      </c>
      <c r="J1426" t="inlineStr">
        <is>
          <t>0</t>
        </is>
      </c>
      <c r="K1426" t="inlineStr">
        <is>
          <t>Corbin, Charles B.</t>
        </is>
      </c>
      <c r="L1426" t="inlineStr">
        <is>
          <t>Dallas, TX : Institute for Aerobics Research, [1989]</t>
        </is>
      </c>
      <c r="M1426" t="inlineStr">
        <is>
          <t>1989</t>
        </is>
      </c>
      <c r="N1426" t="inlineStr">
        <is>
          <t>1st ed.</t>
        </is>
      </c>
      <c r="O1426" t="inlineStr">
        <is>
          <t>eng</t>
        </is>
      </c>
      <c r="P1426" t="inlineStr">
        <is>
          <t>txu</t>
        </is>
      </c>
      <c r="R1426" t="inlineStr">
        <is>
          <t xml:space="preserve">GV </t>
        </is>
      </c>
      <c r="S1426" t="n">
        <v>13</v>
      </c>
      <c r="T1426" t="n">
        <v>13</v>
      </c>
      <c r="U1426" t="inlineStr">
        <is>
          <t>2002-10-01</t>
        </is>
      </c>
      <c r="V1426" t="inlineStr">
        <is>
          <t>2002-10-01</t>
        </is>
      </c>
      <c r="W1426" t="inlineStr">
        <is>
          <t>1992-01-30</t>
        </is>
      </c>
      <c r="X1426" t="inlineStr">
        <is>
          <t>1992-01-30</t>
        </is>
      </c>
      <c r="Y1426" t="n">
        <v>104</v>
      </c>
      <c r="Z1426" t="n">
        <v>94</v>
      </c>
      <c r="AA1426" t="n">
        <v>150</v>
      </c>
      <c r="AB1426" t="n">
        <v>2</v>
      </c>
      <c r="AC1426" t="n">
        <v>4</v>
      </c>
      <c r="AD1426" t="n">
        <v>2</v>
      </c>
      <c r="AE1426" t="n">
        <v>4</v>
      </c>
      <c r="AF1426" t="n">
        <v>1</v>
      </c>
      <c r="AG1426" t="n">
        <v>1</v>
      </c>
      <c r="AH1426" t="n">
        <v>0</v>
      </c>
      <c r="AI1426" t="n">
        <v>0</v>
      </c>
      <c r="AJ1426" t="n">
        <v>1</v>
      </c>
      <c r="AK1426" t="n">
        <v>1</v>
      </c>
      <c r="AL1426" t="n">
        <v>1</v>
      </c>
      <c r="AM1426" t="n">
        <v>3</v>
      </c>
      <c r="AN1426" t="n">
        <v>0</v>
      </c>
      <c r="AO1426" t="n">
        <v>0</v>
      </c>
      <c r="AP1426" t="inlineStr">
        <is>
          <t>No</t>
        </is>
      </c>
      <c r="AQ1426" t="inlineStr">
        <is>
          <t>No</t>
        </is>
      </c>
      <c r="AS1426">
        <f>HYPERLINK("https://creighton-primo.hosted.exlibrisgroup.com/primo-explore/search?tab=default_tab&amp;search_scope=EVERYTHING&amp;vid=01CRU&amp;lang=en_US&amp;offset=0&amp;query=any,contains,991001635559702656","Catalog Record")</f>
        <v/>
      </c>
      <c r="AT1426">
        <f>HYPERLINK("http://www.worldcat.org/oclc/20955255","WorldCat Record")</f>
        <v/>
      </c>
      <c r="AU1426" t="inlineStr">
        <is>
          <t>22072987:eng</t>
        </is>
      </c>
      <c r="AV1426" t="inlineStr">
        <is>
          <t>20955255</t>
        </is>
      </c>
      <c r="AW1426" t="inlineStr">
        <is>
          <t>991001635559702656</t>
        </is>
      </c>
      <c r="AX1426" t="inlineStr">
        <is>
          <t>991001635559702656</t>
        </is>
      </c>
      <c r="AY1426" t="inlineStr">
        <is>
          <t>2255369240002656</t>
        </is>
      </c>
      <c r="AZ1426" t="inlineStr">
        <is>
          <t>BOOK</t>
        </is>
      </c>
      <c r="BC1426" t="inlineStr">
        <is>
          <t>32285000945104</t>
        </is>
      </c>
      <c r="BD1426" t="inlineStr">
        <is>
          <t>893509744</t>
        </is>
      </c>
    </row>
    <row r="1427">
      <c r="A1427" t="inlineStr">
        <is>
          <t>No</t>
        </is>
      </c>
      <c r="B1427" t="inlineStr">
        <is>
          <t>GV481 .G398 2000</t>
        </is>
      </c>
      <c r="C1427" t="inlineStr">
        <is>
          <t>0                      GV 0481000G  398         2000</t>
        </is>
      </c>
      <c r="D1427" t="inlineStr">
        <is>
          <t>Training yourself : a complete encyclopedia for getting your body &amp; mind into great shape / Kris Gebhardt ; [foreword by Phyllis McCullough.].</t>
        </is>
      </c>
      <c r="F1427" t="inlineStr">
        <is>
          <t>No</t>
        </is>
      </c>
      <c r="G1427" t="inlineStr">
        <is>
          <t>1</t>
        </is>
      </c>
      <c r="H1427" t="inlineStr">
        <is>
          <t>No</t>
        </is>
      </c>
      <c r="I1427" t="inlineStr">
        <is>
          <t>No</t>
        </is>
      </c>
      <c r="J1427" t="inlineStr">
        <is>
          <t>0</t>
        </is>
      </c>
      <c r="K1427" t="inlineStr">
        <is>
          <t>Gebhardt, Kris, 1964-</t>
        </is>
      </c>
      <c r="L1427" t="inlineStr">
        <is>
          <t>Indianapolis, IN : GCI Press, 2000.</t>
        </is>
      </c>
      <c r="M1427" t="inlineStr">
        <is>
          <t>2000</t>
        </is>
      </c>
      <c r="O1427" t="inlineStr">
        <is>
          <t>eng</t>
        </is>
      </c>
      <c r="P1427" t="inlineStr">
        <is>
          <t>inu</t>
        </is>
      </c>
      <c r="R1427" t="inlineStr">
        <is>
          <t xml:space="preserve">GV </t>
        </is>
      </c>
      <c r="S1427" t="n">
        <v>11</v>
      </c>
      <c r="T1427" t="n">
        <v>11</v>
      </c>
      <c r="U1427" t="inlineStr">
        <is>
          <t>2007-10-12</t>
        </is>
      </c>
      <c r="V1427" t="inlineStr">
        <is>
          <t>2007-10-12</t>
        </is>
      </c>
      <c r="W1427" t="inlineStr">
        <is>
          <t>2000-09-05</t>
        </is>
      </c>
      <c r="X1427" t="inlineStr">
        <is>
          <t>2000-09-05</t>
        </is>
      </c>
      <c r="Y1427" t="n">
        <v>35</v>
      </c>
      <c r="Z1427" t="n">
        <v>34</v>
      </c>
      <c r="AA1427" t="n">
        <v>39</v>
      </c>
      <c r="AB1427" t="n">
        <v>1</v>
      </c>
      <c r="AC1427" t="n">
        <v>1</v>
      </c>
      <c r="AD1427" t="n">
        <v>0</v>
      </c>
      <c r="AE1427" t="n">
        <v>0</v>
      </c>
      <c r="AF1427" t="n">
        <v>0</v>
      </c>
      <c r="AG1427" t="n">
        <v>0</v>
      </c>
      <c r="AH1427" t="n">
        <v>0</v>
      </c>
      <c r="AI1427" t="n">
        <v>0</v>
      </c>
      <c r="AJ1427" t="n">
        <v>0</v>
      </c>
      <c r="AK1427" t="n">
        <v>0</v>
      </c>
      <c r="AL1427" t="n">
        <v>0</v>
      </c>
      <c r="AM1427" t="n">
        <v>0</v>
      </c>
      <c r="AN1427" t="n">
        <v>0</v>
      </c>
      <c r="AO1427" t="n">
        <v>0</v>
      </c>
      <c r="AP1427" t="inlineStr">
        <is>
          <t>No</t>
        </is>
      </c>
      <c r="AQ1427" t="inlineStr">
        <is>
          <t>No</t>
        </is>
      </c>
      <c r="AS1427">
        <f>HYPERLINK("https://creighton-primo.hosted.exlibrisgroup.com/primo-explore/search?tab=default_tab&amp;search_scope=EVERYTHING&amp;vid=01CRU&amp;lang=en_US&amp;offset=0&amp;query=any,contains,991003250809702656","Catalog Record")</f>
        <v/>
      </c>
      <c r="AT1427">
        <f>HYPERLINK("http://www.worldcat.org/oclc/43355661","WorldCat Record")</f>
        <v/>
      </c>
      <c r="AU1427" t="inlineStr">
        <is>
          <t>477770039:eng</t>
        </is>
      </c>
      <c r="AV1427" t="inlineStr">
        <is>
          <t>43355661</t>
        </is>
      </c>
      <c r="AW1427" t="inlineStr">
        <is>
          <t>991003250809702656</t>
        </is>
      </c>
      <c r="AX1427" t="inlineStr">
        <is>
          <t>991003250809702656</t>
        </is>
      </c>
      <c r="AY1427" t="inlineStr">
        <is>
          <t>2271893860002656</t>
        </is>
      </c>
      <c r="AZ1427" t="inlineStr">
        <is>
          <t>BOOK</t>
        </is>
      </c>
      <c r="BB1427" t="inlineStr">
        <is>
          <t>9781891947049</t>
        </is>
      </c>
      <c r="BC1427" t="inlineStr">
        <is>
          <t>32285003749792</t>
        </is>
      </c>
      <c r="BD1427" t="inlineStr">
        <is>
          <t>893893535</t>
        </is>
      </c>
    </row>
    <row r="1428">
      <c r="A1428" t="inlineStr">
        <is>
          <t>No</t>
        </is>
      </c>
      <c r="B1428" t="inlineStr">
        <is>
          <t>GV481 .H734 1997</t>
        </is>
      </c>
      <c r="C1428" t="inlineStr">
        <is>
          <t>0                      GV 0481000H  734         1997</t>
        </is>
      </c>
      <c r="D1428" t="inlineStr">
        <is>
          <t>Health fitness instructor's handbook / Edward T. Howley, B. Don Franks.</t>
        </is>
      </c>
      <c r="F1428" t="inlineStr">
        <is>
          <t>No</t>
        </is>
      </c>
      <c r="G1428" t="inlineStr">
        <is>
          <t>1</t>
        </is>
      </c>
      <c r="H1428" t="inlineStr">
        <is>
          <t>No</t>
        </is>
      </c>
      <c r="I1428" t="inlineStr">
        <is>
          <t>No</t>
        </is>
      </c>
      <c r="J1428" t="inlineStr">
        <is>
          <t>0</t>
        </is>
      </c>
      <c r="K1428" t="inlineStr">
        <is>
          <t>Howley, Edward T., 1943-</t>
        </is>
      </c>
      <c r="L1428" t="inlineStr">
        <is>
          <t>Champaign, IL : Human Kinetics, c1997.</t>
        </is>
      </c>
      <c r="M1428" t="inlineStr">
        <is>
          <t>1997</t>
        </is>
      </c>
      <c r="N1428" t="inlineStr">
        <is>
          <t>3rd ed.</t>
        </is>
      </c>
      <c r="O1428" t="inlineStr">
        <is>
          <t>eng</t>
        </is>
      </c>
      <c r="P1428" t="inlineStr">
        <is>
          <t>ilu</t>
        </is>
      </c>
      <c r="R1428" t="inlineStr">
        <is>
          <t xml:space="preserve">GV </t>
        </is>
      </c>
      <c r="S1428" t="n">
        <v>4</v>
      </c>
      <c r="T1428" t="n">
        <v>4</v>
      </c>
      <c r="U1428" t="inlineStr">
        <is>
          <t>2001-04-19</t>
        </is>
      </c>
      <c r="V1428" t="inlineStr">
        <is>
          <t>2001-04-19</t>
        </is>
      </c>
      <c r="W1428" t="inlineStr">
        <is>
          <t>1998-03-23</t>
        </is>
      </c>
      <c r="X1428" t="inlineStr">
        <is>
          <t>1998-03-23</t>
        </is>
      </c>
      <c r="Y1428" t="n">
        <v>381</v>
      </c>
      <c r="Z1428" t="n">
        <v>267</v>
      </c>
      <c r="AA1428" t="n">
        <v>645</v>
      </c>
      <c r="AB1428" t="n">
        <v>3</v>
      </c>
      <c r="AC1428" t="n">
        <v>6</v>
      </c>
      <c r="AD1428" t="n">
        <v>4</v>
      </c>
      <c r="AE1428" t="n">
        <v>16</v>
      </c>
      <c r="AF1428" t="n">
        <v>1</v>
      </c>
      <c r="AG1428" t="n">
        <v>7</v>
      </c>
      <c r="AH1428" t="n">
        <v>0</v>
      </c>
      <c r="AI1428" t="n">
        <v>2</v>
      </c>
      <c r="AJ1428" t="n">
        <v>2</v>
      </c>
      <c r="AK1428" t="n">
        <v>4</v>
      </c>
      <c r="AL1428" t="n">
        <v>2</v>
      </c>
      <c r="AM1428" t="n">
        <v>5</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HYPERLINK("https://creighton-primo.hosted.exlibrisgroup.com/primo-explore/search?tab=default_tab&amp;search_scope=EVERYTHING&amp;vid=01CRU&amp;lang=en_US&amp;offset=0&amp;query=any,contains,991002751019702656","Catalog Record")</f>
        <v/>
      </c>
      <c r="AT1428">
        <f>HYPERLINK("http://www.worldcat.org/oclc/36103679","WorldCat Record")</f>
        <v/>
      </c>
      <c r="AU1428" t="inlineStr">
        <is>
          <t>941739:eng</t>
        </is>
      </c>
      <c r="AV1428" t="inlineStr">
        <is>
          <t>36103679</t>
        </is>
      </c>
      <c r="AW1428" t="inlineStr">
        <is>
          <t>991002751019702656</t>
        </is>
      </c>
      <c r="AX1428" t="inlineStr">
        <is>
          <t>991002751019702656</t>
        </is>
      </c>
      <c r="AY1428" t="inlineStr">
        <is>
          <t>2263266190002656</t>
        </is>
      </c>
      <c r="AZ1428" t="inlineStr">
        <is>
          <t>BOOK</t>
        </is>
      </c>
      <c r="BB1428" t="inlineStr">
        <is>
          <t>9780873229586</t>
        </is>
      </c>
      <c r="BC1428" t="inlineStr">
        <is>
          <t>32285003359618</t>
        </is>
      </c>
      <c r="BD1428" t="inlineStr">
        <is>
          <t>893691953</t>
        </is>
      </c>
    </row>
    <row r="1429">
      <c r="A1429" t="inlineStr">
        <is>
          <t>No</t>
        </is>
      </c>
      <c r="B1429" t="inlineStr">
        <is>
          <t>GV481 .H734 2007</t>
        </is>
      </c>
      <c r="C1429" t="inlineStr">
        <is>
          <t>0                      GV 0481000H  734         2007</t>
        </is>
      </c>
      <c r="D1429" t="inlineStr">
        <is>
          <t>Fitness professional's handbook / Edward T. Howley, B. Don Franks.</t>
        </is>
      </c>
      <c r="F1429" t="inlineStr">
        <is>
          <t>No</t>
        </is>
      </c>
      <c r="G1429" t="inlineStr">
        <is>
          <t>1</t>
        </is>
      </c>
      <c r="H1429" t="inlineStr">
        <is>
          <t>No</t>
        </is>
      </c>
      <c r="I1429" t="inlineStr">
        <is>
          <t>No</t>
        </is>
      </c>
      <c r="J1429" t="inlineStr">
        <is>
          <t>0</t>
        </is>
      </c>
      <c r="K1429" t="inlineStr">
        <is>
          <t>Howley, Edward T., 1943-</t>
        </is>
      </c>
      <c r="L1429" t="inlineStr">
        <is>
          <t>Champaign, IL : Human Kinetics, c2007.</t>
        </is>
      </c>
      <c r="M1429" t="inlineStr">
        <is>
          <t>2007</t>
        </is>
      </c>
      <c r="N1429" t="inlineStr">
        <is>
          <t>5th ed.</t>
        </is>
      </c>
      <c r="O1429" t="inlineStr">
        <is>
          <t>eng</t>
        </is>
      </c>
      <c r="P1429" t="inlineStr">
        <is>
          <t>ilu</t>
        </is>
      </c>
      <c r="R1429" t="inlineStr">
        <is>
          <t xml:space="preserve">GV </t>
        </is>
      </c>
      <c r="S1429" t="n">
        <v>8</v>
      </c>
      <c r="T1429" t="n">
        <v>8</v>
      </c>
      <c r="U1429" t="inlineStr">
        <is>
          <t>2010-05-26</t>
        </is>
      </c>
      <c r="V1429" t="inlineStr">
        <is>
          <t>2010-05-26</t>
        </is>
      </c>
      <c r="W1429" t="inlineStr">
        <is>
          <t>2007-05-07</t>
        </is>
      </c>
      <c r="X1429" t="inlineStr">
        <is>
          <t>2007-05-07</t>
        </is>
      </c>
      <c r="Y1429" t="n">
        <v>334</v>
      </c>
      <c r="Z1429" t="n">
        <v>224</v>
      </c>
      <c r="AA1429" t="n">
        <v>373</v>
      </c>
      <c r="AB1429" t="n">
        <v>3</v>
      </c>
      <c r="AC1429" t="n">
        <v>6</v>
      </c>
      <c r="AD1429" t="n">
        <v>6</v>
      </c>
      <c r="AE1429" t="n">
        <v>13</v>
      </c>
      <c r="AF1429" t="n">
        <v>3</v>
      </c>
      <c r="AG1429" t="n">
        <v>7</v>
      </c>
      <c r="AH1429" t="n">
        <v>2</v>
      </c>
      <c r="AI1429" t="n">
        <v>2</v>
      </c>
      <c r="AJ1429" t="n">
        <v>1</v>
      </c>
      <c r="AK1429" t="n">
        <v>2</v>
      </c>
      <c r="AL1429" t="n">
        <v>2</v>
      </c>
      <c r="AM1429" t="n">
        <v>5</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HYPERLINK("https://creighton-primo.hosted.exlibrisgroup.com/primo-explore/search?tab=default_tab&amp;search_scope=EVERYTHING&amp;vid=01CRU&amp;lang=en_US&amp;offset=0&amp;query=any,contains,991005066309702656","Catalog Record")</f>
        <v/>
      </c>
      <c r="AT1429">
        <f>HYPERLINK("http://www.worldcat.org/oclc/70866925","WorldCat Record")</f>
        <v/>
      </c>
      <c r="AU1429" t="inlineStr">
        <is>
          <t>57880908:eng</t>
        </is>
      </c>
      <c r="AV1429" t="inlineStr">
        <is>
          <t>70866925</t>
        </is>
      </c>
      <c r="AW1429" t="inlineStr">
        <is>
          <t>991005066309702656</t>
        </is>
      </c>
      <c r="AX1429" t="inlineStr">
        <is>
          <t>991005066309702656</t>
        </is>
      </c>
      <c r="AY1429" t="inlineStr">
        <is>
          <t>2266954000002656</t>
        </is>
      </c>
      <c r="AZ1429" t="inlineStr">
        <is>
          <t>BOOK</t>
        </is>
      </c>
      <c r="BB1429" t="inlineStr">
        <is>
          <t>9780736061780</t>
        </is>
      </c>
      <c r="BC1429" t="inlineStr">
        <is>
          <t>32285005310858</t>
        </is>
      </c>
      <c r="BD1429" t="inlineStr">
        <is>
          <t>893713389</t>
        </is>
      </c>
    </row>
    <row r="1430">
      <c r="A1430" t="inlineStr">
        <is>
          <t>No</t>
        </is>
      </c>
      <c r="B1430" t="inlineStr">
        <is>
          <t>GV482 .C69 2002</t>
        </is>
      </c>
      <c r="C1430" t="inlineStr">
        <is>
          <t>0                      GV 0482000C  69          2002</t>
        </is>
      </c>
      <c r="D1430" t="inlineStr">
        <is>
          <t>Women's fitness program development / Ann F. Cowlin.</t>
        </is>
      </c>
      <c r="F1430" t="inlineStr">
        <is>
          <t>No</t>
        </is>
      </c>
      <c r="G1430" t="inlineStr">
        <is>
          <t>1</t>
        </is>
      </c>
      <c r="H1430" t="inlineStr">
        <is>
          <t>No</t>
        </is>
      </c>
      <c r="I1430" t="inlineStr">
        <is>
          <t>No</t>
        </is>
      </c>
      <c r="J1430" t="inlineStr">
        <is>
          <t>0</t>
        </is>
      </c>
      <c r="K1430" t="inlineStr">
        <is>
          <t>Cowlin, Ann F., 1946-</t>
        </is>
      </c>
      <c r="L1430" t="inlineStr">
        <is>
          <t>Champaign, Il : Human Kinetics, c2002.</t>
        </is>
      </c>
      <c r="M1430" t="inlineStr">
        <is>
          <t>2002</t>
        </is>
      </c>
      <c r="O1430" t="inlineStr">
        <is>
          <t>eng</t>
        </is>
      </c>
      <c r="P1430" t="inlineStr">
        <is>
          <t>ilu</t>
        </is>
      </c>
      <c r="R1430" t="inlineStr">
        <is>
          <t xml:space="preserve">GV </t>
        </is>
      </c>
      <c r="S1430" t="n">
        <v>6</v>
      </c>
      <c r="T1430" t="n">
        <v>6</v>
      </c>
      <c r="U1430" t="inlineStr">
        <is>
          <t>2009-02-27</t>
        </is>
      </c>
      <c r="V1430" t="inlineStr">
        <is>
          <t>2009-02-27</t>
        </is>
      </c>
      <c r="W1430" t="inlineStr">
        <is>
          <t>2003-07-31</t>
        </is>
      </c>
      <c r="X1430" t="inlineStr">
        <is>
          <t>2003-07-31</t>
        </is>
      </c>
      <c r="Y1430" t="n">
        <v>283</v>
      </c>
      <c r="Z1430" t="n">
        <v>232</v>
      </c>
      <c r="AA1430" t="n">
        <v>237</v>
      </c>
      <c r="AB1430" t="n">
        <v>5</v>
      </c>
      <c r="AC1430" t="n">
        <v>5</v>
      </c>
      <c r="AD1430" t="n">
        <v>10</v>
      </c>
      <c r="AE1430" t="n">
        <v>10</v>
      </c>
      <c r="AF1430" t="n">
        <v>4</v>
      </c>
      <c r="AG1430" t="n">
        <v>4</v>
      </c>
      <c r="AH1430" t="n">
        <v>2</v>
      </c>
      <c r="AI1430" t="n">
        <v>2</v>
      </c>
      <c r="AJ1430" t="n">
        <v>4</v>
      </c>
      <c r="AK1430" t="n">
        <v>4</v>
      </c>
      <c r="AL1430" t="n">
        <v>4</v>
      </c>
      <c r="AM1430" t="n">
        <v>4</v>
      </c>
      <c r="AN1430" t="n">
        <v>0</v>
      </c>
      <c r="AO1430" t="n">
        <v>0</v>
      </c>
      <c r="AP1430" t="inlineStr">
        <is>
          <t>No</t>
        </is>
      </c>
      <c r="AQ1430" t="inlineStr">
        <is>
          <t>No</t>
        </is>
      </c>
      <c r="AS1430">
        <f>HYPERLINK("https://creighton-primo.hosted.exlibrisgroup.com/primo-explore/search?tab=default_tab&amp;search_scope=EVERYTHING&amp;vid=01CRU&amp;lang=en_US&amp;offset=0&amp;query=any,contains,991004090099702656","Catalog Record")</f>
        <v/>
      </c>
      <c r="AT1430">
        <f>HYPERLINK("http://www.worldcat.org/oclc/49283857","WorldCat Record")</f>
        <v/>
      </c>
      <c r="AU1430" t="inlineStr">
        <is>
          <t>38910510:eng</t>
        </is>
      </c>
      <c r="AV1430" t="inlineStr">
        <is>
          <t>49283857</t>
        </is>
      </c>
      <c r="AW1430" t="inlineStr">
        <is>
          <t>991004090099702656</t>
        </is>
      </c>
      <c r="AX1430" t="inlineStr">
        <is>
          <t>991004090099702656</t>
        </is>
      </c>
      <c r="AY1430" t="inlineStr">
        <is>
          <t>2262144050002656</t>
        </is>
      </c>
      <c r="AZ1430" t="inlineStr">
        <is>
          <t>BOOK</t>
        </is>
      </c>
      <c r="BB1430" t="inlineStr">
        <is>
          <t>9780880119375</t>
        </is>
      </c>
      <c r="BC1430" t="inlineStr">
        <is>
          <t>32285004758156</t>
        </is>
      </c>
      <c r="BD1430" t="inlineStr">
        <is>
          <t>893324909</t>
        </is>
      </c>
    </row>
    <row r="1431">
      <c r="A1431" t="inlineStr">
        <is>
          <t>No</t>
        </is>
      </c>
      <c r="B1431" t="inlineStr">
        <is>
          <t>GV482.6 .H46 1985</t>
        </is>
      </c>
      <c r="C1431" t="inlineStr">
        <is>
          <t>0                      GV 0482600H  46          1985</t>
        </is>
      </c>
      <c r="D1431" t="inlineStr">
        <is>
          <t>Exercise for life : a physical activity guide for the athletic and non-athletic retiree / Mark L. Hendrickson and Gary J. Greene ; illustrated by Walter Hendrickson.</t>
        </is>
      </c>
      <c r="F1431" t="inlineStr">
        <is>
          <t>No</t>
        </is>
      </c>
      <c r="G1431" t="inlineStr">
        <is>
          <t>1</t>
        </is>
      </c>
      <c r="H1431" t="inlineStr">
        <is>
          <t>No</t>
        </is>
      </c>
      <c r="I1431" t="inlineStr">
        <is>
          <t>No</t>
        </is>
      </c>
      <c r="J1431" t="inlineStr">
        <is>
          <t>0</t>
        </is>
      </c>
      <c r="K1431" t="inlineStr">
        <is>
          <t>Hendrickson, Mark L.</t>
        </is>
      </c>
      <c r="L1431" t="inlineStr">
        <is>
          <t>Phoenix, Ariz. : Health Plus Publishers, c1985.</t>
        </is>
      </c>
      <c r="M1431" t="inlineStr">
        <is>
          <t>1985</t>
        </is>
      </c>
      <c r="O1431" t="inlineStr">
        <is>
          <t>eng</t>
        </is>
      </c>
      <c r="P1431" t="inlineStr">
        <is>
          <t>azu</t>
        </is>
      </c>
      <c r="Q1431" t="inlineStr">
        <is>
          <t>Health Plus enrichment series</t>
        </is>
      </c>
      <c r="R1431" t="inlineStr">
        <is>
          <t xml:space="preserve">GV </t>
        </is>
      </c>
      <c r="S1431" t="n">
        <v>8</v>
      </c>
      <c r="T1431" t="n">
        <v>8</v>
      </c>
      <c r="U1431" t="inlineStr">
        <is>
          <t>2001-04-08</t>
        </is>
      </c>
      <c r="V1431" t="inlineStr">
        <is>
          <t>2001-04-08</t>
        </is>
      </c>
      <c r="W1431" t="inlineStr">
        <is>
          <t>1990-02-21</t>
        </is>
      </c>
      <c r="X1431" t="inlineStr">
        <is>
          <t>1990-02-21</t>
        </is>
      </c>
      <c r="Y1431" t="n">
        <v>51</v>
      </c>
      <c r="Z1431" t="n">
        <v>49</v>
      </c>
      <c r="AA1431" t="n">
        <v>51</v>
      </c>
      <c r="AB1431" t="n">
        <v>1</v>
      </c>
      <c r="AC1431" t="n">
        <v>1</v>
      </c>
      <c r="AD1431" t="n">
        <v>0</v>
      </c>
      <c r="AE1431" t="n">
        <v>0</v>
      </c>
      <c r="AF1431" t="n">
        <v>0</v>
      </c>
      <c r="AG1431" t="n">
        <v>0</v>
      </c>
      <c r="AH1431" t="n">
        <v>0</v>
      </c>
      <c r="AI1431" t="n">
        <v>0</v>
      </c>
      <c r="AJ1431" t="n">
        <v>0</v>
      </c>
      <c r="AK1431" t="n">
        <v>0</v>
      </c>
      <c r="AL1431" t="n">
        <v>0</v>
      </c>
      <c r="AM1431" t="n">
        <v>0</v>
      </c>
      <c r="AN1431" t="n">
        <v>0</v>
      </c>
      <c r="AO1431" t="n">
        <v>0</v>
      </c>
      <c r="AP1431" t="inlineStr">
        <is>
          <t>No</t>
        </is>
      </c>
      <c r="AQ1431" t="inlineStr">
        <is>
          <t>Yes</t>
        </is>
      </c>
      <c r="AR1431">
        <f>HYPERLINK("http://catalog.hathitrust.org/Record/009822827","HathiTrust Record")</f>
        <v/>
      </c>
      <c r="AS1431">
        <f>HYPERLINK("https://creighton-primo.hosted.exlibrisgroup.com/primo-explore/search?tab=default_tab&amp;search_scope=EVERYTHING&amp;vid=01CRU&amp;lang=en_US&amp;offset=0&amp;query=any,contains,991000741999702656","Catalog Record")</f>
        <v/>
      </c>
      <c r="AT1431">
        <f>HYPERLINK("http://www.worldcat.org/oclc/12809343","WorldCat Record")</f>
        <v/>
      </c>
      <c r="AU1431" t="inlineStr">
        <is>
          <t>1044348038:eng</t>
        </is>
      </c>
      <c r="AV1431" t="inlineStr">
        <is>
          <t>12809343</t>
        </is>
      </c>
      <c r="AW1431" t="inlineStr">
        <is>
          <t>991000741999702656</t>
        </is>
      </c>
      <c r="AX1431" t="inlineStr">
        <is>
          <t>991000741999702656</t>
        </is>
      </c>
      <c r="AY1431" t="inlineStr">
        <is>
          <t>2257766670002656</t>
        </is>
      </c>
      <c r="AZ1431" t="inlineStr">
        <is>
          <t>BOOK</t>
        </is>
      </c>
      <c r="BB1431" t="inlineStr">
        <is>
          <t>9780932090171</t>
        </is>
      </c>
      <c r="BC1431" t="inlineStr">
        <is>
          <t>32285000058486</t>
        </is>
      </c>
      <c r="BD1431" t="inlineStr">
        <is>
          <t>893890991</t>
        </is>
      </c>
    </row>
    <row r="1432">
      <c r="A1432" t="inlineStr">
        <is>
          <t>No</t>
        </is>
      </c>
      <c r="B1432" t="inlineStr">
        <is>
          <t>GV482.6 .S36 2008</t>
        </is>
      </c>
      <c r="C1432" t="inlineStr">
        <is>
          <t>0                      GV 0482600S  36          2008</t>
        </is>
      </c>
      <c r="D1432" t="inlineStr">
        <is>
          <t>ABLE bodies balance training / Sue Scott.</t>
        </is>
      </c>
      <c r="F1432" t="inlineStr">
        <is>
          <t>No</t>
        </is>
      </c>
      <c r="G1432" t="inlineStr">
        <is>
          <t>1</t>
        </is>
      </c>
      <c r="H1432" t="inlineStr">
        <is>
          <t>No</t>
        </is>
      </c>
      <c r="I1432" t="inlineStr">
        <is>
          <t>No</t>
        </is>
      </c>
      <c r="J1432" t="inlineStr">
        <is>
          <t>0</t>
        </is>
      </c>
      <c r="K1432" t="inlineStr">
        <is>
          <t>Scott, Sue, 1952-</t>
        </is>
      </c>
      <c r="L1432" t="inlineStr">
        <is>
          <t>Champaign, IL : Human Kinetics, c2008.</t>
        </is>
      </c>
      <c r="M1432" t="inlineStr">
        <is>
          <t>2008</t>
        </is>
      </c>
      <c r="O1432" t="inlineStr">
        <is>
          <t>eng</t>
        </is>
      </c>
      <c r="P1432" t="inlineStr">
        <is>
          <t>ilu</t>
        </is>
      </c>
      <c r="R1432" t="inlineStr">
        <is>
          <t xml:space="preserve">GV </t>
        </is>
      </c>
      <c r="S1432" t="n">
        <v>1</v>
      </c>
      <c r="T1432" t="n">
        <v>1</v>
      </c>
      <c r="U1432" t="inlineStr">
        <is>
          <t>2010-03-09</t>
        </is>
      </c>
      <c r="V1432" t="inlineStr">
        <is>
          <t>2010-03-09</t>
        </is>
      </c>
      <c r="W1432" t="inlineStr">
        <is>
          <t>2010-03-09</t>
        </is>
      </c>
      <c r="X1432" t="inlineStr">
        <is>
          <t>2010-03-09</t>
        </is>
      </c>
      <c r="Y1432" t="n">
        <v>262</v>
      </c>
      <c r="Z1432" t="n">
        <v>190</v>
      </c>
      <c r="AA1432" t="n">
        <v>206</v>
      </c>
      <c r="AB1432" t="n">
        <v>2</v>
      </c>
      <c r="AC1432" t="n">
        <v>2</v>
      </c>
      <c r="AD1432" t="n">
        <v>6</v>
      </c>
      <c r="AE1432" t="n">
        <v>7</v>
      </c>
      <c r="AF1432" t="n">
        <v>4</v>
      </c>
      <c r="AG1432" t="n">
        <v>5</v>
      </c>
      <c r="AH1432" t="n">
        <v>1</v>
      </c>
      <c r="AI1432" t="n">
        <v>2</v>
      </c>
      <c r="AJ1432" t="n">
        <v>3</v>
      </c>
      <c r="AK1432" t="n">
        <v>3</v>
      </c>
      <c r="AL1432" t="n">
        <v>1</v>
      </c>
      <c r="AM1432" t="n">
        <v>1</v>
      </c>
      <c r="AN1432" t="n">
        <v>0</v>
      </c>
      <c r="AO1432" t="n">
        <v>0</v>
      </c>
      <c r="AP1432" t="inlineStr">
        <is>
          <t>No</t>
        </is>
      </c>
      <c r="AQ1432" t="inlineStr">
        <is>
          <t>No</t>
        </is>
      </c>
      <c r="AS1432">
        <f>HYPERLINK("https://creighton-primo.hosted.exlibrisgroup.com/primo-explore/search?tab=default_tab&amp;search_scope=EVERYTHING&amp;vid=01CRU&amp;lang=en_US&amp;offset=0&amp;query=any,contains,991005366089702656","Catalog Record")</f>
        <v/>
      </c>
      <c r="AT1432">
        <f>HYPERLINK("http://www.worldcat.org/oclc/232546147","WorldCat Record")</f>
        <v/>
      </c>
      <c r="AU1432" t="inlineStr">
        <is>
          <t>139071473:eng</t>
        </is>
      </c>
      <c r="AV1432" t="inlineStr">
        <is>
          <t>232546147</t>
        </is>
      </c>
      <c r="AW1432" t="inlineStr">
        <is>
          <t>991005366089702656</t>
        </is>
      </c>
      <c r="AX1432" t="inlineStr">
        <is>
          <t>991005366089702656</t>
        </is>
      </c>
      <c r="AY1432" t="inlineStr">
        <is>
          <t>2265003470002656</t>
        </is>
      </c>
      <c r="AZ1432" t="inlineStr">
        <is>
          <t>BOOK</t>
        </is>
      </c>
      <c r="BB1432" t="inlineStr">
        <is>
          <t>9780736064682</t>
        </is>
      </c>
      <c r="BC1432" t="inlineStr">
        <is>
          <t>32285005577175</t>
        </is>
      </c>
      <c r="BD1432" t="inlineStr">
        <is>
          <t>893338967</t>
        </is>
      </c>
    </row>
    <row r="1433">
      <c r="A1433" t="inlineStr">
        <is>
          <t>No</t>
        </is>
      </c>
      <c r="B1433" t="inlineStr">
        <is>
          <t>GV489 .S4</t>
        </is>
      </c>
      <c r="C1433" t="inlineStr">
        <is>
          <t>0                      GV 0489000S  4</t>
        </is>
      </c>
      <c r="D1433" t="inlineStr">
        <is>
          <t>Medical indoor gymnastics; or, A System of hygienic exercises for home use to be practised anywhere without apparatus or assistance by young and old of either sex, for the preservation of health and general activity, by D. G. M. Schreber ... Rev. and supplemented by Rudolf Graefe ... tr. from the 26th German ed. by Herbert A. Day. With a plate and forty-five illustrations in the text.</t>
        </is>
      </c>
      <c r="F1433" t="inlineStr">
        <is>
          <t>No</t>
        </is>
      </c>
      <c r="G1433" t="inlineStr">
        <is>
          <t>1</t>
        </is>
      </c>
      <c r="H1433" t="inlineStr">
        <is>
          <t>No</t>
        </is>
      </c>
      <c r="I1433" t="inlineStr">
        <is>
          <t>No</t>
        </is>
      </c>
      <c r="J1433" t="inlineStr">
        <is>
          <t>0</t>
        </is>
      </c>
      <c r="K1433" t="inlineStr">
        <is>
          <t>Schreber, Daniel Gottlieb Moritz, 1808-1861.</t>
        </is>
      </c>
      <c r="L1433" t="inlineStr">
        <is>
          <t>London, Williams &amp; Norgate; New York, G. E. Stechert; [etc., etc.] 1899.</t>
        </is>
      </c>
      <c r="M1433" t="inlineStr">
        <is>
          <t>1899</t>
        </is>
      </c>
      <c r="O1433" t="inlineStr">
        <is>
          <t>eng</t>
        </is>
      </c>
      <c r="P1433" t="inlineStr">
        <is>
          <t xml:space="preserve">xx </t>
        </is>
      </c>
      <c r="R1433" t="inlineStr">
        <is>
          <t xml:space="preserve">GV </t>
        </is>
      </c>
      <c r="S1433" t="n">
        <v>3</v>
      </c>
      <c r="T1433" t="n">
        <v>3</v>
      </c>
      <c r="U1433" t="inlineStr">
        <is>
          <t>2008-05-23</t>
        </is>
      </c>
      <c r="V1433" t="inlineStr">
        <is>
          <t>2008-05-23</t>
        </is>
      </c>
      <c r="W1433" t="inlineStr">
        <is>
          <t>1997-06-02</t>
        </is>
      </c>
      <c r="X1433" t="inlineStr">
        <is>
          <t>1997-06-02</t>
        </is>
      </c>
      <c r="Y1433" t="n">
        <v>39</v>
      </c>
      <c r="Z1433" t="n">
        <v>34</v>
      </c>
      <c r="AA1433" t="n">
        <v>113</v>
      </c>
      <c r="AB1433" t="n">
        <v>2</v>
      </c>
      <c r="AC1433" t="n">
        <v>2</v>
      </c>
      <c r="AD1433" t="n">
        <v>1</v>
      </c>
      <c r="AE1433" t="n">
        <v>7</v>
      </c>
      <c r="AF1433" t="n">
        <v>0</v>
      </c>
      <c r="AG1433" t="n">
        <v>2</v>
      </c>
      <c r="AH1433" t="n">
        <v>0</v>
      </c>
      <c r="AI1433" t="n">
        <v>2</v>
      </c>
      <c r="AJ1433" t="n">
        <v>0</v>
      </c>
      <c r="AK1433" t="n">
        <v>4</v>
      </c>
      <c r="AL1433" t="n">
        <v>1</v>
      </c>
      <c r="AM1433" t="n">
        <v>1</v>
      </c>
      <c r="AN1433" t="n">
        <v>0</v>
      </c>
      <c r="AO1433" t="n">
        <v>0</v>
      </c>
      <c r="AP1433" t="inlineStr">
        <is>
          <t>Yes</t>
        </is>
      </c>
      <c r="AQ1433" t="inlineStr">
        <is>
          <t>No</t>
        </is>
      </c>
      <c r="AR1433">
        <f>HYPERLINK("http://catalog.hathitrust.org/Record/006732854","HathiTrust Record")</f>
        <v/>
      </c>
      <c r="AS1433">
        <f>HYPERLINK("https://creighton-primo.hosted.exlibrisgroup.com/primo-explore/search?tab=default_tab&amp;search_scope=EVERYTHING&amp;vid=01CRU&amp;lang=en_US&amp;offset=0&amp;query=any,contains,991000042069702656","Catalog Record")</f>
        <v/>
      </c>
      <c r="AT1433">
        <f>HYPERLINK("http://www.worldcat.org/oclc/8663501","WorldCat Record")</f>
        <v/>
      </c>
      <c r="AU1433" t="inlineStr">
        <is>
          <t>3855485687:eng</t>
        </is>
      </c>
      <c r="AV1433" t="inlineStr">
        <is>
          <t>8663501</t>
        </is>
      </c>
      <c r="AW1433" t="inlineStr">
        <is>
          <t>991000042069702656</t>
        </is>
      </c>
      <c r="AX1433" t="inlineStr">
        <is>
          <t>991000042069702656</t>
        </is>
      </c>
      <c r="AY1433" t="inlineStr">
        <is>
          <t>2272068690002656</t>
        </is>
      </c>
      <c r="AZ1433" t="inlineStr">
        <is>
          <t>BOOK</t>
        </is>
      </c>
      <c r="BC1433" t="inlineStr">
        <is>
          <t>32285002700291</t>
        </is>
      </c>
      <c r="BD1433" t="inlineStr">
        <is>
          <t>893508451</t>
        </is>
      </c>
    </row>
    <row r="1434">
      <c r="A1434" t="inlineStr">
        <is>
          <t>No</t>
        </is>
      </c>
      <c r="B1434" t="inlineStr">
        <is>
          <t>GV505 .S64 2002</t>
        </is>
      </c>
      <c r="C1434" t="inlineStr">
        <is>
          <t>0                      GV 0505000S  64          2002</t>
        </is>
      </c>
      <c r="D1434" t="inlineStr">
        <is>
          <t>Get stronger by stretching with Thera-Band / by Noa Spector-Flock.</t>
        </is>
      </c>
      <c r="F1434" t="inlineStr">
        <is>
          <t>No</t>
        </is>
      </c>
      <c r="G1434" t="inlineStr">
        <is>
          <t>1</t>
        </is>
      </c>
      <c r="H1434" t="inlineStr">
        <is>
          <t>No</t>
        </is>
      </c>
      <c r="I1434" t="inlineStr">
        <is>
          <t>No</t>
        </is>
      </c>
      <c r="J1434" t="inlineStr">
        <is>
          <t>0</t>
        </is>
      </c>
      <c r="K1434" t="inlineStr">
        <is>
          <t>Spector-Flock, Noa.</t>
        </is>
      </c>
      <c r="L1434" t="inlineStr">
        <is>
          <t>Hightstown, N.J. : Princeton Book Co., c2002.</t>
        </is>
      </c>
      <c r="M1434" t="inlineStr">
        <is>
          <t>2002</t>
        </is>
      </c>
      <c r="N1434" t="inlineStr">
        <is>
          <t>2nd ed.</t>
        </is>
      </c>
      <c r="O1434" t="inlineStr">
        <is>
          <t>eng</t>
        </is>
      </c>
      <c r="P1434" t="inlineStr">
        <is>
          <t>nju</t>
        </is>
      </c>
      <c r="R1434" t="inlineStr">
        <is>
          <t xml:space="preserve">GV </t>
        </is>
      </c>
      <c r="S1434" t="n">
        <v>4</v>
      </c>
      <c r="T1434" t="n">
        <v>4</v>
      </c>
      <c r="U1434" t="inlineStr">
        <is>
          <t>2007-05-17</t>
        </is>
      </c>
      <c r="V1434" t="inlineStr">
        <is>
          <t>2007-05-17</t>
        </is>
      </c>
      <c r="W1434" t="inlineStr">
        <is>
          <t>2003-09-15</t>
        </is>
      </c>
      <c r="X1434" t="inlineStr">
        <is>
          <t>2003-09-15</t>
        </is>
      </c>
      <c r="Y1434" t="n">
        <v>106</v>
      </c>
      <c r="Z1434" t="n">
        <v>95</v>
      </c>
      <c r="AA1434" t="n">
        <v>96</v>
      </c>
      <c r="AB1434" t="n">
        <v>1</v>
      </c>
      <c r="AC1434" t="n">
        <v>1</v>
      </c>
      <c r="AD1434" t="n">
        <v>1</v>
      </c>
      <c r="AE1434" t="n">
        <v>1</v>
      </c>
      <c r="AF1434" t="n">
        <v>1</v>
      </c>
      <c r="AG1434" t="n">
        <v>1</v>
      </c>
      <c r="AH1434" t="n">
        <v>0</v>
      </c>
      <c r="AI1434" t="n">
        <v>0</v>
      </c>
      <c r="AJ1434" t="n">
        <v>0</v>
      </c>
      <c r="AK1434" t="n">
        <v>0</v>
      </c>
      <c r="AL1434" t="n">
        <v>0</v>
      </c>
      <c r="AM1434" t="n">
        <v>0</v>
      </c>
      <c r="AN1434" t="n">
        <v>0</v>
      </c>
      <c r="AO1434" t="n">
        <v>0</v>
      </c>
      <c r="AP1434" t="inlineStr">
        <is>
          <t>No</t>
        </is>
      </c>
      <c r="AQ1434" t="inlineStr">
        <is>
          <t>Yes</t>
        </is>
      </c>
      <c r="AR1434">
        <f>HYPERLINK("http://catalog.hathitrust.org/Record/007141207","HathiTrust Record")</f>
        <v/>
      </c>
      <c r="AS1434">
        <f>HYPERLINK("https://creighton-primo.hosted.exlibrisgroup.com/primo-explore/search?tab=default_tab&amp;search_scope=EVERYTHING&amp;vid=01CRU&amp;lang=en_US&amp;offset=0&amp;query=any,contains,991004126099702656","Catalog Record")</f>
        <v/>
      </c>
      <c r="AT1434">
        <f>HYPERLINK("http://www.worldcat.org/oclc/48473912","WorldCat Record")</f>
        <v/>
      </c>
      <c r="AU1434" t="inlineStr">
        <is>
          <t>37541118:eng</t>
        </is>
      </c>
      <c r="AV1434" t="inlineStr">
        <is>
          <t>48473912</t>
        </is>
      </c>
      <c r="AW1434" t="inlineStr">
        <is>
          <t>991004126099702656</t>
        </is>
      </c>
      <c r="AX1434" t="inlineStr">
        <is>
          <t>991004126099702656</t>
        </is>
      </c>
      <c r="AY1434" t="inlineStr">
        <is>
          <t>2268951710002656</t>
        </is>
      </c>
      <c r="AZ1434" t="inlineStr">
        <is>
          <t>BOOK</t>
        </is>
      </c>
      <c r="BB1434" t="inlineStr">
        <is>
          <t>9780871272430</t>
        </is>
      </c>
      <c r="BC1434" t="inlineStr">
        <is>
          <t>32285004787734</t>
        </is>
      </c>
      <c r="BD1434" t="inlineStr">
        <is>
          <t>893775657</t>
        </is>
      </c>
    </row>
    <row r="1435">
      <c r="A1435" t="inlineStr">
        <is>
          <t>No</t>
        </is>
      </c>
      <c r="B1435" t="inlineStr">
        <is>
          <t>GV508 .C63 2000</t>
        </is>
      </c>
      <c r="C1435" t="inlineStr">
        <is>
          <t>0                      GV 0508000C  63          2000</t>
        </is>
      </c>
      <c r="D1435" t="inlineStr">
        <is>
          <t>Stronger arms and upper body / Sean Cochran, Tom House.</t>
        </is>
      </c>
      <c r="F1435" t="inlineStr">
        <is>
          <t>No</t>
        </is>
      </c>
      <c r="G1435" t="inlineStr">
        <is>
          <t>1</t>
        </is>
      </c>
      <c r="H1435" t="inlineStr">
        <is>
          <t>No</t>
        </is>
      </c>
      <c r="I1435" t="inlineStr">
        <is>
          <t>No</t>
        </is>
      </c>
      <c r="J1435" t="inlineStr">
        <is>
          <t>0</t>
        </is>
      </c>
      <c r="K1435" t="inlineStr">
        <is>
          <t>Cochran, Sean, 1971-</t>
        </is>
      </c>
      <c r="L1435" t="inlineStr">
        <is>
          <t>Champaign, IL : Human Kinetics, c2000.</t>
        </is>
      </c>
      <c r="M1435" t="inlineStr">
        <is>
          <t>2000</t>
        </is>
      </c>
      <c r="O1435" t="inlineStr">
        <is>
          <t>eng</t>
        </is>
      </c>
      <c r="P1435" t="inlineStr">
        <is>
          <t>ilu</t>
        </is>
      </c>
      <c r="R1435" t="inlineStr">
        <is>
          <t xml:space="preserve">GV </t>
        </is>
      </c>
      <c r="S1435" t="n">
        <v>8</v>
      </c>
      <c r="T1435" t="n">
        <v>8</v>
      </c>
      <c r="U1435" t="inlineStr">
        <is>
          <t>2009-11-09</t>
        </is>
      </c>
      <c r="V1435" t="inlineStr">
        <is>
          <t>2009-11-09</t>
        </is>
      </c>
      <c r="W1435" t="inlineStr">
        <is>
          <t>2000-02-07</t>
        </is>
      </c>
      <c r="X1435" t="inlineStr">
        <is>
          <t>2000-02-07</t>
        </is>
      </c>
      <c r="Y1435" t="n">
        <v>333</v>
      </c>
      <c r="Z1435" t="n">
        <v>279</v>
      </c>
      <c r="AA1435" t="n">
        <v>282</v>
      </c>
      <c r="AB1435" t="n">
        <v>1</v>
      </c>
      <c r="AC1435" t="n">
        <v>1</v>
      </c>
      <c r="AD1435" t="n">
        <v>0</v>
      </c>
      <c r="AE1435" t="n">
        <v>0</v>
      </c>
      <c r="AF1435" t="n">
        <v>0</v>
      </c>
      <c r="AG1435" t="n">
        <v>0</v>
      </c>
      <c r="AH1435" t="n">
        <v>0</v>
      </c>
      <c r="AI1435" t="n">
        <v>0</v>
      </c>
      <c r="AJ1435" t="n">
        <v>0</v>
      </c>
      <c r="AK1435" t="n">
        <v>0</v>
      </c>
      <c r="AL1435" t="n">
        <v>0</v>
      </c>
      <c r="AM1435" t="n">
        <v>0</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HYPERLINK("https://creighton-primo.hosted.exlibrisgroup.com/primo-explore/search?tab=default_tab&amp;search_scope=EVERYTHING&amp;vid=01CRU&amp;lang=en_US&amp;offset=0&amp;query=any,contains,991003034099702656","Catalog Record")</f>
        <v/>
      </c>
      <c r="AT1435">
        <f>HYPERLINK("http://www.worldcat.org/oclc/41612432","WorldCat Record")</f>
        <v/>
      </c>
      <c r="AU1435" t="inlineStr">
        <is>
          <t>26778602:eng</t>
        </is>
      </c>
      <c r="AV1435" t="inlineStr">
        <is>
          <t>41612432</t>
        </is>
      </c>
      <c r="AW1435" t="inlineStr">
        <is>
          <t>991003034099702656</t>
        </is>
      </c>
      <c r="AX1435" t="inlineStr">
        <is>
          <t>991003034099702656</t>
        </is>
      </c>
      <c r="AY1435" t="inlineStr">
        <is>
          <t>2263877550002656</t>
        </is>
      </c>
      <c r="AZ1435" t="inlineStr">
        <is>
          <t>BOOK</t>
        </is>
      </c>
      <c r="BB1435" t="inlineStr">
        <is>
          <t>9780880119771</t>
        </is>
      </c>
      <c r="BC1435" t="inlineStr">
        <is>
          <t>32285003659421</t>
        </is>
      </c>
      <c r="BD1435" t="inlineStr">
        <is>
          <t>893874354</t>
        </is>
      </c>
    </row>
    <row r="1436">
      <c r="A1436" t="inlineStr">
        <is>
          <t>No</t>
        </is>
      </c>
      <c r="B1436" t="inlineStr">
        <is>
          <t>GV508 .R63 2002</t>
        </is>
      </c>
      <c r="C1436" t="inlineStr">
        <is>
          <t>0                      GV 0508000R  63          2002</t>
        </is>
      </c>
      <c r="D1436" t="inlineStr">
        <is>
          <t>Stronger legs and lower body / Keli Roberts, Linda Shelton.</t>
        </is>
      </c>
      <c r="F1436" t="inlineStr">
        <is>
          <t>No</t>
        </is>
      </c>
      <c r="G1436" t="inlineStr">
        <is>
          <t>1</t>
        </is>
      </c>
      <c r="H1436" t="inlineStr">
        <is>
          <t>No</t>
        </is>
      </c>
      <c r="I1436" t="inlineStr">
        <is>
          <t>No</t>
        </is>
      </c>
      <c r="J1436" t="inlineStr">
        <is>
          <t>0</t>
        </is>
      </c>
      <c r="K1436" t="inlineStr">
        <is>
          <t>Roberts, Keli, 1961-</t>
        </is>
      </c>
      <c r="L1436" t="inlineStr">
        <is>
          <t>Champaign, IL : Human Kinetics, c2002.</t>
        </is>
      </c>
      <c r="M1436" t="inlineStr">
        <is>
          <t>2002</t>
        </is>
      </c>
      <c r="O1436" t="inlineStr">
        <is>
          <t>eng</t>
        </is>
      </c>
      <c r="P1436" t="inlineStr">
        <is>
          <t>ilu</t>
        </is>
      </c>
      <c r="R1436" t="inlineStr">
        <is>
          <t xml:space="preserve">GV </t>
        </is>
      </c>
      <c r="S1436" t="n">
        <v>3</v>
      </c>
      <c r="T1436" t="n">
        <v>3</v>
      </c>
      <c r="U1436" t="inlineStr">
        <is>
          <t>2009-11-09</t>
        </is>
      </c>
      <c r="V1436" t="inlineStr">
        <is>
          <t>2009-11-09</t>
        </is>
      </c>
      <c r="W1436" t="inlineStr">
        <is>
          <t>2007-06-06</t>
        </is>
      </c>
      <c r="X1436" t="inlineStr">
        <is>
          <t>2007-06-06</t>
        </is>
      </c>
      <c r="Y1436" t="n">
        <v>254</v>
      </c>
      <c r="Z1436" t="n">
        <v>197</v>
      </c>
      <c r="AA1436" t="n">
        <v>198</v>
      </c>
      <c r="AB1436" t="n">
        <v>2</v>
      </c>
      <c r="AC1436" t="n">
        <v>2</v>
      </c>
      <c r="AD1436" t="n">
        <v>1</v>
      </c>
      <c r="AE1436" t="n">
        <v>1</v>
      </c>
      <c r="AF1436" t="n">
        <v>0</v>
      </c>
      <c r="AG1436" t="n">
        <v>0</v>
      </c>
      <c r="AH1436" t="n">
        <v>0</v>
      </c>
      <c r="AI1436" t="n">
        <v>0</v>
      </c>
      <c r="AJ1436" t="n">
        <v>0</v>
      </c>
      <c r="AK1436" t="n">
        <v>0</v>
      </c>
      <c r="AL1436" t="n">
        <v>1</v>
      </c>
      <c r="AM1436" t="n">
        <v>1</v>
      </c>
      <c r="AN1436" t="n">
        <v>0</v>
      </c>
      <c r="AO1436" t="n">
        <v>0</v>
      </c>
      <c r="AP1436" t="inlineStr">
        <is>
          <t>No</t>
        </is>
      </c>
      <c r="AQ1436" t="inlineStr">
        <is>
          <t>No</t>
        </is>
      </c>
      <c r="AS1436">
        <f>HYPERLINK("https://creighton-primo.hosted.exlibrisgroup.com/primo-explore/search?tab=default_tab&amp;search_scope=EVERYTHING&amp;vid=01CRU&amp;lang=en_US&amp;offset=0&amp;query=any,contains,991005084169702656","Catalog Record")</f>
        <v/>
      </c>
      <c r="AT1436">
        <f>HYPERLINK("http://www.worldcat.org/oclc/48162825","WorldCat Record")</f>
        <v/>
      </c>
      <c r="AU1436" t="inlineStr">
        <is>
          <t>3372974598:eng</t>
        </is>
      </c>
      <c r="AV1436" t="inlineStr">
        <is>
          <t>48162825</t>
        </is>
      </c>
      <c r="AW1436" t="inlineStr">
        <is>
          <t>991005084169702656</t>
        </is>
      </c>
      <c r="AX1436" t="inlineStr">
        <is>
          <t>991005084169702656</t>
        </is>
      </c>
      <c r="AY1436" t="inlineStr">
        <is>
          <t>2272465460002656</t>
        </is>
      </c>
      <c r="AZ1436" t="inlineStr">
        <is>
          <t>BOOK</t>
        </is>
      </c>
      <c r="BB1436" t="inlineStr">
        <is>
          <t>9780736034036</t>
        </is>
      </c>
      <c r="BC1436" t="inlineStr">
        <is>
          <t>32285005315659</t>
        </is>
      </c>
      <c r="BD1436" t="inlineStr">
        <is>
          <t>893319987</t>
        </is>
      </c>
    </row>
    <row r="1437">
      <c r="A1437" t="inlineStr">
        <is>
          <t>No</t>
        </is>
      </c>
      <c r="B1437" t="inlineStr">
        <is>
          <t>GV53 .H355 2006</t>
        </is>
      </c>
      <c r="C1437" t="inlineStr">
        <is>
          <t>0                      GV 0053000H  355         2006</t>
        </is>
      </c>
      <c r="D1437" t="inlineStr">
        <is>
          <t>Building better communities : the story of the National Recreation Association (1906-1965) / compiled and edited by Charles E. Hartsoe ; associate editors, Joseph Bannon, John H. Davis, Tony A. Mobley ; with editorial guidance of Kenneth J. Smithee, Robert F. Toalson, Nathanial Washington.</t>
        </is>
      </c>
      <c r="F1437" t="inlineStr">
        <is>
          <t>No</t>
        </is>
      </c>
      <c r="G1437" t="inlineStr">
        <is>
          <t>1</t>
        </is>
      </c>
      <c r="H1437" t="inlineStr">
        <is>
          <t>No</t>
        </is>
      </c>
      <c r="I1437" t="inlineStr">
        <is>
          <t>No</t>
        </is>
      </c>
      <c r="J1437" t="inlineStr">
        <is>
          <t>0</t>
        </is>
      </c>
      <c r="K1437" t="inlineStr">
        <is>
          <t>Hartsoe, Charles.</t>
        </is>
      </c>
      <c r="L1437" t="inlineStr">
        <is>
          <t>Champaign, IL : Sagamore Publishing L.L.C., c2006.</t>
        </is>
      </c>
      <c r="M1437" t="inlineStr">
        <is>
          <t>2006</t>
        </is>
      </c>
      <c r="O1437" t="inlineStr">
        <is>
          <t>eng</t>
        </is>
      </c>
      <c r="P1437" t="inlineStr">
        <is>
          <t>ilu</t>
        </is>
      </c>
      <c r="R1437" t="inlineStr">
        <is>
          <t xml:space="preserve">GV </t>
        </is>
      </c>
      <c r="S1437" t="n">
        <v>1</v>
      </c>
      <c r="T1437" t="n">
        <v>1</v>
      </c>
      <c r="U1437" t="inlineStr">
        <is>
          <t>2007-06-11</t>
        </is>
      </c>
      <c r="V1437" t="inlineStr">
        <is>
          <t>2007-06-11</t>
        </is>
      </c>
      <c r="W1437" t="inlineStr">
        <is>
          <t>2007-06-11</t>
        </is>
      </c>
      <c r="X1437" t="inlineStr">
        <is>
          <t>2007-06-11</t>
        </is>
      </c>
      <c r="Y1437" t="n">
        <v>89</v>
      </c>
      <c r="Z1437" t="n">
        <v>77</v>
      </c>
      <c r="AA1437" t="n">
        <v>77</v>
      </c>
      <c r="AB1437" t="n">
        <v>1</v>
      </c>
      <c r="AC1437" t="n">
        <v>1</v>
      </c>
      <c r="AD1437" t="n">
        <v>1</v>
      </c>
      <c r="AE1437" t="n">
        <v>1</v>
      </c>
      <c r="AF1437" t="n">
        <v>1</v>
      </c>
      <c r="AG1437" t="n">
        <v>1</v>
      </c>
      <c r="AH1437" t="n">
        <v>0</v>
      </c>
      <c r="AI1437" t="n">
        <v>0</v>
      </c>
      <c r="AJ1437" t="n">
        <v>1</v>
      </c>
      <c r="AK1437" t="n">
        <v>1</v>
      </c>
      <c r="AL1437" t="n">
        <v>0</v>
      </c>
      <c r="AM1437" t="n">
        <v>0</v>
      </c>
      <c r="AN1437" t="n">
        <v>0</v>
      </c>
      <c r="AO1437" t="n">
        <v>0</v>
      </c>
      <c r="AP1437" t="inlineStr">
        <is>
          <t>No</t>
        </is>
      </c>
      <c r="AQ1437" t="inlineStr">
        <is>
          <t>No</t>
        </is>
      </c>
      <c r="AS1437">
        <f>HYPERLINK("https://creighton-primo.hosted.exlibrisgroup.com/primo-explore/search?tab=default_tab&amp;search_scope=EVERYTHING&amp;vid=01CRU&amp;lang=en_US&amp;offset=0&amp;query=any,contains,991005081769702656","Catalog Record")</f>
        <v/>
      </c>
      <c r="AT1437">
        <f>HYPERLINK("http://www.worldcat.org/oclc/74331315","WorldCat Record")</f>
        <v/>
      </c>
      <c r="AU1437" t="inlineStr">
        <is>
          <t>60664061:eng</t>
        </is>
      </c>
      <c r="AV1437" t="inlineStr">
        <is>
          <t>74331315</t>
        </is>
      </c>
      <c r="AW1437" t="inlineStr">
        <is>
          <t>991005081769702656</t>
        </is>
      </c>
      <c r="AX1437" t="inlineStr">
        <is>
          <t>991005081769702656</t>
        </is>
      </c>
      <c r="AY1437" t="inlineStr">
        <is>
          <t>2267831790002656</t>
        </is>
      </c>
      <c r="AZ1437" t="inlineStr">
        <is>
          <t>BOOK</t>
        </is>
      </c>
      <c r="BB1437" t="inlineStr">
        <is>
          <t>9781571675323</t>
        </is>
      </c>
      <c r="BC1437" t="inlineStr">
        <is>
          <t>32285005315758</t>
        </is>
      </c>
      <c r="BD1437" t="inlineStr">
        <is>
          <t>893236243</t>
        </is>
      </c>
    </row>
    <row r="1438">
      <c r="A1438" t="inlineStr">
        <is>
          <t>No</t>
        </is>
      </c>
      <c r="B1438" t="inlineStr">
        <is>
          <t>GV546 .A237 2007</t>
        </is>
      </c>
      <c r="C1438" t="inlineStr">
        <is>
          <t>0                      GV 0546000A  237         2007</t>
        </is>
      </c>
      <c r="D1438" t="inlineStr">
        <is>
          <t>Resistance training instruction / Everett Aaberg.</t>
        </is>
      </c>
      <c r="F1438" t="inlineStr">
        <is>
          <t>No</t>
        </is>
      </c>
      <c r="G1438" t="inlineStr">
        <is>
          <t>1</t>
        </is>
      </c>
      <c r="H1438" t="inlineStr">
        <is>
          <t>No</t>
        </is>
      </c>
      <c r="I1438" t="inlineStr">
        <is>
          <t>No</t>
        </is>
      </c>
      <c r="J1438" t="inlineStr">
        <is>
          <t>0</t>
        </is>
      </c>
      <c r="K1438" t="inlineStr">
        <is>
          <t>Aaberg, Everett, 1963-</t>
        </is>
      </c>
      <c r="L1438" t="inlineStr">
        <is>
          <t>Champaign, IL : Human Kinetics, c2007.</t>
        </is>
      </c>
      <c r="M1438" t="inlineStr">
        <is>
          <t>2007</t>
        </is>
      </c>
      <c r="N1438" t="inlineStr">
        <is>
          <t>2nd ed.</t>
        </is>
      </c>
      <c r="O1438" t="inlineStr">
        <is>
          <t>eng</t>
        </is>
      </c>
      <c r="P1438" t="inlineStr">
        <is>
          <t>ilu</t>
        </is>
      </c>
      <c r="R1438" t="inlineStr">
        <is>
          <t xml:space="preserve">GV </t>
        </is>
      </c>
      <c r="S1438" t="n">
        <v>2</v>
      </c>
      <c r="T1438" t="n">
        <v>2</v>
      </c>
      <c r="U1438" t="inlineStr">
        <is>
          <t>2009-11-09</t>
        </is>
      </c>
      <c r="V1438" t="inlineStr">
        <is>
          <t>2009-11-09</t>
        </is>
      </c>
      <c r="W1438" t="inlineStr">
        <is>
          <t>2008-05-19</t>
        </is>
      </c>
      <c r="X1438" t="inlineStr">
        <is>
          <t>2008-05-19</t>
        </is>
      </c>
      <c r="Y1438" t="n">
        <v>260</v>
      </c>
      <c r="Z1438" t="n">
        <v>176</v>
      </c>
      <c r="AA1438" t="n">
        <v>1048</v>
      </c>
      <c r="AB1438" t="n">
        <v>3</v>
      </c>
      <c r="AC1438" t="n">
        <v>5</v>
      </c>
      <c r="AD1438" t="n">
        <v>6</v>
      </c>
      <c r="AE1438" t="n">
        <v>19</v>
      </c>
      <c r="AF1438" t="n">
        <v>4</v>
      </c>
      <c r="AG1438" t="n">
        <v>11</v>
      </c>
      <c r="AH1438" t="n">
        <v>0</v>
      </c>
      <c r="AI1438" t="n">
        <v>3</v>
      </c>
      <c r="AJ1438" t="n">
        <v>2</v>
      </c>
      <c r="AK1438" t="n">
        <v>7</v>
      </c>
      <c r="AL1438" t="n">
        <v>2</v>
      </c>
      <c r="AM1438" t="n">
        <v>4</v>
      </c>
      <c r="AN1438" t="n">
        <v>0</v>
      </c>
      <c r="AO1438" t="n">
        <v>0</v>
      </c>
      <c r="AP1438" t="inlineStr">
        <is>
          <t>No</t>
        </is>
      </c>
      <c r="AQ1438" t="inlineStr">
        <is>
          <t>No</t>
        </is>
      </c>
      <c r="AS1438">
        <f>HYPERLINK("https://creighton-primo.hosted.exlibrisgroup.com/primo-explore/search?tab=default_tab&amp;search_scope=EVERYTHING&amp;vid=01CRU&amp;lang=en_US&amp;offset=0&amp;query=any,contains,991005218769702656","Catalog Record")</f>
        <v/>
      </c>
      <c r="AT1438">
        <f>HYPERLINK("http://www.worldcat.org/oclc/71241893","WorldCat Record")</f>
        <v/>
      </c>
      <c r="AU1438" t="inlineStr">
        <is>
          <t>1035350:eng</t>
        </is>
      </c>
      <c r="AV1438" t="inlineStr">
        <is>
          <t>71241893</t>
        </is>
      </c>
      <c r="AW1438" t="inlineStr">
        <is>
          <t>991005218769702656</t>
        </is>
      </c>
      <c r="AX1438" t="inlineStr">
        <is>
          <t>991005218769702656</t>
        </is>
      </c>
      <c r="AY1438" t="inlineStr">
        <is>
          <t>2260728470002656</t>
        </is>
      </c>
      <c r="AZ1438" t="inlineStr">
        <is>
          <t>BOOK</t>
        </is>
      </c>
      <c r="BB1438" t="inlineStr">
        <is>
          <t>9780736064033</t>
        </is>
      </c>
      <c r="BC1438" t="inlineStr">
        <is>
          <t>32285005409171</t>
        </is>
      </c>
      <c r="BD1438" t="inlineStr">
        <is>
          <t>893353771</t>
        </is>
      </c>
    </row>
    <row r="1439">
      <c r="A1439" t="inlineStr">
        <is>
          <t>No</t>
        </is>
      </c>
      <c r="B1439" t="inlineStr">
        <is>
          <t>GV546 .F25 2007</t>
        </is>
      </c>
      <c r="C1439" t="inlineStr">
        <is>
          <t>0                      GV 0546000F  25          2007</t>
        </is>
      </c>
      <c r="D1439" t="inlineStr">
        <is>
          <t>Basic weight training for men and women / Thomas D. Fahey.</t>
        </is>
      </c>
      <c r="F1439" t="inlineStr">
        <is>
          <t>No</t>
        </is>
      </c>
      <c r="G1439" t="inlineStr">
        <is>
          <t>1</t>
        </is>
      </c>
      <c r="H1439" t="inlineStr">
        <is>
          <t>No</t>
        </is>
      </c>
      <c r="I1439" t="inlineStr">
        <is>
          <t>No</t>
        </is>
      </c>
      <c r="J1439" t="inlineStr">
        <is>
          <t>0</t>
        </is>
      </c>
      <c r="K1439" t="inlineStr">
        <is>
          <t>Fahey, Thomas D. (Thomas Davin), 1947-</t>
        </is>
      </c>
      <c r="L1439" t="inlineStr">
        <is>
          <t>Boston : McGraw Hill, c2007.</t>
        </is>
      </c>
      <c r="M1439" t="inlineStr">
        <is>
          <t>2007</t>
        </is>
      </c>
      <c r="N1439" t="inlineStr">
        <is>
          <t>6th ed.</t>
        </is>
      </c>
      <c r="O1439" t="inlineStr">
        <is>
          <t>eng</t>
        </is>
      </c>
      <c r="P1439" t="inlineStr">
        <is>
          <t>mau</t>
        </is>
      </c>
      <c r="R1439" t="inlineStr">
        <is>
          <t xml:space="preserve">GV </t>
        </is>
      </c>
      <c r="S1439" t="n">
        <v>1</v>
      </c>
      <c r="T1439" t="n">
        <v>1</v>
      </c>
      <c r="U1439" t="inlineStr">
        <is>
          <t>2008-07-28</t>
        </is>
      </c>
      <c r="V1439" t="inlineStr">
        <is>
          <t>2008-07-28</t>
        </is>
      </c>
      <c r="W1439" t="inlineStr">
        <is>
          <t>2008-07-28</t>
        </is>
      </c>
      <c r="X1439" t="inlineStr">
        <is>
          <t>2008-07-28</t>
        </is>
      </c>
      <c r="Y1439" t="n">
        <v>163</v>
      </c>
      <c r="Z1439" t="n">
        <v>132</v>
      </c>
      <c r="AA1439" t="n">
        <v>682</v>
      </c>
      <c r="AB1439" t="n">
        <v>2</v>
      </c>
      <c r="AC1439" t="n">
        <v>6</v>
      </c>
      <c r="AD1439" t="n">
        <v>1</v>
      </c>
      <c r="AE1439" t="n">
        <v>8</v>
      </c>
      <c r="AF1439" t="n">
        <v>0</v>
      </c>
      <c r="AG1439" t="n">
        <v>3</v>
      </c>
      <c r="AH1439" t="n">
        <v>0</v>
      </c>
      <c r="AI1439" t="n">
        <v>0</v>
      </c>
      <c r="AJ1439" t="n">
        <v>0</v>
      </c>
      <c r="AK1439" t="n">
        <v>2</v>
      </c>
      <c r="AL1439" t="n">
        <v>1</v>
      </c>
      <c r="AM1439" t="n">
        <v>4</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HYPERLINK("https://creighton-primo.hosted.exlibrisgroup.com/primo-explore/search?tab=default_tab&amp;search_scope=EVERYTHING&amp;vid=01CRU&amp;lang=en_US&amp;offset=0&amp;query=any,contains,991005083849702656","Catalog Record")</f>
        <v/>
      </c>
      <c r="AT1439">
        <f>HYPERLINK("http://www.worldcat.org/oclc/61353151","WorldCat Record")</f>
        <v/>
      </c>
      <c r="AU1439" t="inlineStr">
        <is>
          <t>654085:eng</t>
        </is>
      </c>
      <c r="AV1439" t="inlineStr">
        <is>
          <t>61353151</t>
        </is>
      </c>
      <c r="AW1439" t="inlineStr">
        <is>
          <t>991005083849702656</t>
        </is>
      </c>
      <c r="AX1439" t="inlineStr">
        <is>
          <t>991005083849702656</t>
        </is>
      </c>
      <c r="AY1439" t="inlineStr">
        <is>
          <t>2258692450002656</t>
        </is>
      </c>
      <c r="AZ1439" t="inlineStr">
        <is>
          <t>BOOK</t>
        </is>
      </c>
      <c r="BB1439" t="inlineStr">
        <is>
          <t>9780073046884</t>
        </is>
      </c>
      <c r="BC1439" t="inlineStr">
        <is>
          <t>32285005450357</t>
        </is>
      </c>
      <c r="BD1439" t="inlineStr">
        <is>
          <t>893242177</t>
        </is>
      </c>
    </row>
    <row r="1440">
      <c r="A1440" t="inlineStr">
        <is>
          <t>No</t>
        </is>
      </c>
      <c r="B1440" t="inlineStr">
        <is>
          <t>GV546 .K54 2002</t>
        </is>
      </c>
      <c r="C1440" t="inlineStr">
        <is>
          <t>0                      GV 0546000K  54          2002</t>
        </is>
      </c>
      <c r="D1440" t="inlineStr">
        <is>
          <t>Full strength : a training handbook for a strong back and a healthy body / Werner Kieser.</t>
        </is>
      </c>
      <c r="F1440" t="inlineStr">
        <is>
          <t>No</t>
        </is>
      </c>
      <c r="G1440" t="inlineStr">
        <is>
          <t>1</t>
        </is>
      </c>
      <c r="H1440" t="inlineStr">
        <is>
          <t>No</t>
        </is>
      </c>
      <c r="I1440" t="inlineStr">
        <is>
          <t>No</t>
        </is>
      </c>
      <c r="J1440" t="inlineStr">
        <is>
          <t>0</t>
        </is>
      </c>
      <c r="K1440" t="inlineStr">
        <is>
          <t>Kieser, Werner.</t>
        </is>
      </c>
      <c r="L1440" t="inlineStr">
        <is>
          <t>London : Martin Dunitz, c2002.</t>
        </is>
      </c>
      <c r="M1440" t="inlineStr">
        <is>
          <t>2002</t>
        </is>
      </c>
      <c r="O1440" t="inlineStr">
        <is>
          <t>eng</t>
        </is>
      </c>
      <c r="P1440" t="inlineStr">
        <is>
          <t>enk</t>
        </is>
      </c>
      <c r="R1440" t="inlineStr">
        <is>
          <t xml:space="preserve">GV </t>
        </is>
      </c>
      <c r="S1440" t="n">
        <v>2</v>
      </c>
      <c r="T1440" t="n">
        <v>2</v>
      </c>
      <c r="U1440" t="inlineStr">
        <is>
          <t>2008-03-31</t>
        </is>
      </c>
      <c r="V1440" t="inlineStr">
        <is>
          <t>2008-03-31</t>
        </is>
      </c>
      <c r="W1440" t="inlineStr">
        <is>
          <t>2007-07-19</t>
        </is>
      </c>
      <c r="X1440" t="inlineStr">
        <is>
          <t>2007-07-19</t>
        </is>
      </c>
      <c r="Y1440" t="n">
        <v>57</v>
      </c>
      <c r="Z1440" t="n">
        <v>45</v>
      </c>
      <c r="AA1440" t="n">
        <v>602</v>
      </c>
      <c r="AB1440" t="n">
        <v>1</v>
      </c>
      <c r="AC1440" t="n">
        <v>27</v>
      </c>
      <c r="AD1440" t="n">
        <v>1</v>
      </c>
      <c r="AE1440" t="n">
        <v>20</v>
      </c>
      <c r="AF1440" t="n">
        <v>0</v>
      </c>
      <c r="AG1440" t="n">
        <v>3</v>
      </c>
      <c r="AH1440" t="n">
        <v>1</v>
      </c>
      <c r="AI1440" t="n">
        <v>3</v>
      </c>
      <c r="AJ1440" t="n">
        <v>1</v>
      </c>
      <c r="AK1440" t="n">
        <v>5</v>
      </c>
      <c r="AL1440" t="n">
        <v>0</v>
      </c>
      <c r="AM1440" t="n">
        <v>12</v>
      </c>
      <c r="AN1440" t="n">
        <v>0</v>
      </c>
      <c r="AO1440" t="n">
        <v>0</v>
      </c>
      <c r="AP1440" t="inlineStr">
        <is>
          <t>No</t>
        </is>
      </c>
      <c r="AQ1440" t="inlineStr">
        <is>
          <t>No</t>
        </is>
      </c>
      <c r="AS1440">
        <f>HYPERLINK("https://creighton-primo.hosted.exlibrisgroup.com/primo-explore/search?tab=default_tab&amp;search_scope=EVERYTHING&amp;vid=01CRU&amp;lang=en_US&amp;offset=0&amp;query=any,contains,991005083999702656","Catalog Record")</f>
        <v/>
      </c>
      <c r="AT1440">
        <f>HYPERLINK("http://www.worldcat.org/oclc/50777445","WorldCat Record")</f>
        <v/>
      </c>
      <c r="AU1440" t="inlineStr">
        <is>
          <t>864073582:eng</t>
        </is>
      </c>
      <c r="AV1440" t="inlineStr">
        <is>
          <t>50777445</t>
        </is>
      </c>
      <c r="AW1440" t="inlineStr">
        <is>
          <t>991005083999702656</t>
        </is>
      </c>
      <c r="AX1440" t="inlineStr">
        <is>
          <t>991005083999702656</t>
        </is>
      </c>
      <c r="AY1440" t="inlineStr">
        <is>
          <t>2262950220002656</t>
        </is>
      </c>
      <c r="AZ1440" t="inlineStr">
        <is>
          <t>BOOK</t>
        </is>
      </c>
      <c r="BB1440" t="inlineStr">
        <is>
          <t>9781841840949</t>
        </is>
      </c>
      <c r="BC1440" t="inlineStr">
        <is>
          <t>32285005320931</t>
        </is>
      </c>
      <c r="BD1440" t="inlineStr">
        <is>
          <t>893613091</t>
        </is>
      </c>
    </row>
    <row r="1441">
      <c r="A1441" t="inlineStr">
        <is>
          <t>No</t>
        </is>
      </c>
      <c r="B1441" t="inlineStr">
        <is>
          <t>GV546 .P32 2001</t>
        </is>
      </c>
      <c r="C1441" t="inlineStr">
        <is>
          <t>0                      GV 0546000P  32          2001</t>
        </is>
      </c>
      <c r="D1441" t="inlineStr">
        <is>
          <t>Getting stronger : weight training for men and women : sports training, general conditioning, bodybuilding / by Bill Pearl ; illustrated by Richard Golueke.</t>
        </is>
      </c>
      <c r="F1441" t="inlineStr">
        <is>
          <t>No</t>
        </is>
      </c>
      <c r="G1441" t="inlineStr">
        <is>
          <t>1</t>
        </is>
      </c>
      <c r="H1441" t="inlineStr">
        <is>
          <t>No</t>
        </is>
      </c>
      <c r="I1441" t="inlineStr">
        <is>
          <t>No</t>
        </is>
      </c>
      <c r="J1441" t="inlineStr">
        <is>
          <t>0</t>
        </is>
      </c>
      <c r="K1441" t="inlineStr">
        <is>
          <t>Pearl, Bill, 1930-</t>
        </is>
      </c>
      <c r="L1441" t="inlineStr">
        <is>
          <t>Bolinas, Calif. : Shelter Publications, c2001.</t>
        </is>
      </c>
      <c r="M1441" t="inlineStr">
        <is>
          <t>2001</t>
        </is>
      </c>
      <c r="N1441" t="inlineStr">
        <is>
          <t>Rev. ed.</t>
        </is>
      </c>
      <c r="O1441" t="inlineStr">
        <is>
          <t>eng</t>
        </is>
      </c>
      <c r="P1441" t="inlineStr">
        <is>
          <t>cau</t>
        </is>
      </c>
      <c r="R1441" t="inlineStr">
        <is>
          <t xml:space="preserve">GV </t>
        </is>
      </c>
      <c r="S1441" t="n">
        <v>4</v>
      </c>
      <c r="T1441" t="n">
        <v>4</v>
      </c>
      <c r="U1441" t="inlineStr">
        <is>
          <t>2010-02-08</t>
        </is>
      </c>
      <c r="V1441" t="inlineStr">
        <is>
          <t>2010-02-08</t>
        </is>
      </c>
      <c r="W1441" t="inlineStr">
        <is>
          <t>2007-06-06</t>
        </is>
      </c>
      <c r="X1441" t="inlineStr">
        <is>
          <t>2007-06-06</t>
        </is>
      </c>
      <c r="Y1441" t="n">
        <v>231</v>
      </c>
      <c r="Z1441" t="n">
        <v>205</v>
      </c>
      <c r="AA1441" t="n">
        <v>746</v>
      </c>
      <c r="AB1441" t="n">
        <v>2</v>
      </c>
      <c r="AC1441" t="n">
        <v>6</v>
      </c>
      <c r="AD1441" t="n">
        <v>1</v>
      </c>
      <c r="AE1441" t="n">
        <v>5</v>
      </c>
      <c r="AF1441" t="n">
        <v>1</v>
      </c>
      <c r="AG1441" t="n">
        <v>3</v>
      </c>
      <c r="AH1441" t="n">
        <v>0</v>
      </c>
      <c r="AI1441" t="n">
        <v>1</v>
      </c>
      <c r="AJ1441" t="n">
        <v>0</v>
      </c>
      <c r="AK1441" t="n">
        <v>1</v>
      </c>
      <c r="AL1441" t="n">
        <v>0</v>
      </c>
      <c r="AM1441" t="n">
        <v>1</v>
      </c>
      <c r="AN1441" t="n">
        <v>0</v>
      </c>
      <c r="AO1441" t="n">
        <v>0</v>
      </c>
      <c r="AP1441" t="inlineStr">
        <is>
          <t>No</t>
        </is>
      </c>
      <c r="AQ1441" t="inlineStr">
        <is>
          <t>No</t>
        </is>
      </c>
      <c r="AS1441">
        <f>HYPERLINK("https://creighton-primo.hosted.exlibrisgroup.com/primo-explore/search?tab=default_tab&amp;search_scope=EVERYTHING&amp;vid=01CRU&amp;lang=en_US&amp;offset=0&amp;query=any,contains,991005084019702656","Catalog Record")</f>
        <v/>
      </c>
      <c r="AT1441">
        <f>HYPERLINK("http://www.worldcat.org/oclc/46640667","WorldCat Record")</f>
        <v/>
      </c>
      <c r="AU1441" t="inlineStr">
        <is>
          <t>9063283:eng</t>
        </is>
      </c>
      <c r="AV1441" t="inlineStr">
        <is>
          <t>46640667</t>
        </is>
      </c>
      <c r="AW1441" t="inlineStr">
        <is>
          <t>991005084019702656</t>
        </is>
      </c>
      <c r="AX1441" t="inlineStr">
        <is>
          <t>991005084019702656</t>
        </is>
      </c>
      <c r="AY1441" t="inlineStr">
        <is>
          <t>2266559410002656</t>
        </is>
      </c>
      <c r="AZ1441" t="inlineStr">
        <is>
          <t>BOOK</t>
        </is>
      </c>
      <c r="BB1441" t="inlineStr">
        <is>
          <t>9780936070247</t>
        </is>
      </c>
      <c r="BC1441" t="inlineStr">
        <is>
          <t>32285005315683</t>
        </is>
      </c>
      <c r="BD1441" t="inlineStr">
        <is>
          <t>893350675</t>
        </is>
      </c>
    </row>
    <row r="1442">
      <c r="A1442" t="inlineStr">
        <is>
          <t>No</t>
        </is>
      </c>
      <c r="B1442" t="inlineStr">
        <is>
          <t>GV546.3 .S26 2003</t>
        </is>
      </c>
      <c r="C1442" t="inlineStr">
        <is>
          <t>0                      GV 0546300S  26          2003</t>
        </is>
      </c>
      <c r="D1442" t="inlineStr">
        <is>
          <t>Weight training fundamentals / David Sandler.</t>
        </is>
      </c>
      <c r="F1442" t="inlineStr">
        <is>
          <t>No</t>
        </is>
      </c>
      <c r="G1442" t="inlineStr">
        <is>
          <t>1</t>
        </is>
      </c>
      <c r="H1442" t="inlineStr">
        <is>
          <t>No</t>
        </is>
      </c>
      <c r="I1442" t="inlineStr">
        <is>
          <t>No</t>
        </is>
      </c>
      <c r="J1442" t="inlineStr">
        <is>
          <t>0</t>
        </is>
      </c>
      <c r="K1442" t="inlineStr">
        <is>
          <t>Sandler, David.</t>
        </is>
      </c>
      <c r="L1442" t="inlineStr">
        <is>
          <t>Champaign, IL : Human Kinetics, c2003.</t>
        </is>
      </c>
      <c r="M1442" t="inlineStr">
        <is>
          <t>2003</t>
        </is>
      </c>
      <c r="O1442" t="inlineStr">
        <is>
          <t>eng</t>
        </is>
      </c>
      <c r="P1442" t="inlineStr">
        <is>
          <t>ilu</t>
        </is>
      </c>
      <c r="Q1442" t="inlineStr">
        <is>
          <t>Sports fundamentals series</t>
        </is>
      </c>
      <c r="R1442" t="inlineStr">
        <is>
          <t xml:space="preserve">GV </t>
        </is>
      </c>
      <c r="S1442" t="n">
        <v>5</v>
      </c>
      <c r="T1442" t="n">
        <v>5</v>
      </c>
      <c r="U1442" t="inlineStr">
        <is>
          <t>2009-07-26</t>
        </is>
      </c>
      <c r="V1442" t="inlineStr">
        <is>
          <t>2009-07-26</t>
        </is>
      </c>
      <c r="W1442" t="inlineStr">
        <is>
          <t>2007-07-23</t>
        </is>
      </c>
      <c r="X1442" t="inlineStr">
        <is>
          <t>2007-07-23</t>
        </is>
      </c>
      <c r="Y1442" t="n">
        <v>737</v>
      </c>
      <c r="Z1442" t="n">
        <v>627</v>
      </c>
      <c r="AA1442" t="n">
        <v>632</v>
      </c>
      <c r="AB1442" t="n">
        <v>7</v>
      </c>
      <c r="AC1442" t="n">
        <v>7</v>
      </c>
      <c r="AD1442" t="n">
        <v>7</v>
      </c>
      <c r="AE1442" t="n">
        <v>7</v>
      </c>
      <c r="AF1442" t="n">
        <v>3</v>
      </c>
      <c r="AG1442" t="n">
        <v>3</v>
      </c>
      <c r="AH1442" t="n">
        <v>0</v>
      </c>
      <c r="AI1442" t="n">
        <v>0</v>
      </c>
      <c r="AJ1442" t="n">
        <v>1</v>
      </c>
      <c r="AK1442" t="n">
        <v>1</v>
      </c>
      <c r="AL1442" t="n">
        <v>4</v>
      </c>
      <c r="AM1442" t="n">
        <v>4</v>
      </c>
      <c r="AN1442" t="n">
        <v>0</v>
      </c>
      <c r="AO1442" t="n">
        <v>0</v>
      </c>
      <c r="AP1442" t="inlineStr">
        <is>
          <t>No</t>
        </is>
      </c>
      <c r="AQ1442" t="inlineStr">
        <is>
          <t>No</t>
        </is>
      </c>
      <c r="AS1442">
        <f>HYPERLINK("https://creighton-primo.hosted.exlibrisgroup.com/primo-explore/search?tab=default_tab&amp;search_scope=EVERYTHING&amp;vid=01CRU&amp;lang=en_US&amp;offset=0&amp;query=any,contains,991005084189702656","Catalog Record")</f>
        <v/>
      </c>
      <c r="AT1442">
        <f>HYPERLINK("http://www.worldcat.org/oclc/50643884","WorldCat Record")</f>
        <v/>
      </c>
      <c r="AU1442" t="inlineStr">
        <is>
          <t>733533:eng</t>
        </is>
      </c>
      <c r="AV1442" t="inlineStr">
        <is>
          <t>50643884</t>
        </is>
      </c>
      <c r="AW1442" t="inlineStr">
        <is>
          <t>991005084189702656</t>
        </is>
      </c>
      <c r="AX1442" t="inlineStr">
        <is>
          <t>991005084189702656</t>
        </is>
      </c>
      <c r="AY1442" t="inlineStr">
        <is>
          <t>2257504650002656</t>
        </is>
      </c>
      <c r="AZ1442" t="inlineStr">
        <is>
          <t>BOOK</t>
        </is>
      </c>
      <c r="BB1442" t="inlineStr">
        <is>
          <t>9780736044882</t>
        </is>
      </c>
      <c r="BC1442" t="inlineStr">
        <is>
          <t>32285005320998</t>
        </is>
      </c>
      <c r="BD1442" t="inlineStr">
        <is>
          <t>893501288</t>
        </is>
      </c>
    </row>
    <row r="1443">
      <c r="A1443" t="inlineStr">
        <is>
          <t>No</t>
        </is>
      </c>
      <c r="B1443" t="inlineStr">
        <is>
          <t>GV551 .G47 2003</t>
        </is>
      </c>
      <c r="C1443" t="inlineStr">
        <is>
          <t>0                      GV 0551000G  47          2003</t>
        </is>
      </c>
      <c r="D1443" t="inlineStr">
        <is>
          <t>The man who walked between the towers / Mordicai Gerstein.</t>
        </is>
      </c>
      <c r="F1443" t="inlineStr">
        <is>
          <t>No</t>
        </is>
      </c>
      <c r="G1443" t="inlineStr">
        <is>
          <t>1</t>
        </is>
      </c>
      <c r="H1443" t="inlineStr">
        <is>
          <t>No</t>
        </is>
      </c>
      <c r="I1443" t="inlineStr">
        <is>
          <t>No</t>
        </is>
      </c>
      <c r="J1443" t="inlineStr">
        <is>
          <t>0</t>
        </is>
      </c>
      <c r="K1443" t="inlineStr">
        <is>
          <t>Gerstein, Mordicai.</t>
        </is>
      </c>
      <c r="L1443" t="inlineStr">
        <is>
          <t>Brookfield, Conn. : Roaring Brook Press, c2003.</t>
        </is>
      </c>
      <c r="M1443" t="inlineStr">
        <is>
          <t>2003</t>
        </is>
      </c>
      <c r="N1443" t="inlineStr">
        <is>
          <t>1st ed.</t>
        </is>
      </c>
      <c r="O1443" t="inlineStr">
        <is>
          <t>eng</t>
        </is>
      </c>
      <c r="P1443" t="inlineStr">
        <is>
          <t>ctu</t>
        </is>
      </c>
      <c r="R1443" t="inlineStr">
        <is>
          <t xml:space="preserve">GV </t>
        </is>
      </c>
      <c r="S1443" t="n">
        <v>7</v>
      </c>
      <c r="T1443" t="n">
        <v>7</v>
      </c>
      <c r="U1443" t="inlineStr">
        <is>
          <t>2008-01-24</t>
        </is>
      </c>
      <c r="V1443" t="inlineStr">
        <is>
          <t>2008-01-24</t>
        </is>
      </c>
      <c r="W1443" t="inlineStr">
        <is>
          <t>2004-01-06</t>
        </is>
      </c>
      <c r="X1443" t="inlineStr">
        <is>
          <t>2004-01-06</t>
        </is>
      </c>
      <c r="Y1443" t="n">
        <v>3992</v>
      </c>
      <c r="Z1443" t="n">
        <v>3839</v>
      </c>
      <c r="AA1443" t="n">
        <v>4089</v>
      </c>
      <c r="AB1443" t="n">
        <v>59</v>
      </c>
      <c r="AC1443" t="n">
        <v>59</v>
      </c>
      <c r="AD1443" t="n">
        <v>57</v>
      </c>
      <c r="AE1443" t="n">
        <v>59</v>
      </c>
      <c r="AF1443" t="n">
        <v>26</v>
      </c>
      <c r="AG1443" t="n">
        <v>26</v>
      </c>
      <c r="AH1443" t="n">
        <v>8</v>
      </c>
      <c r="AI1443" t="n">
        <v>8</v>
      </c>
      <c r="AJ1443" t="n">
        <v>20</v>
      </c>
      <c r="AK1443" t="n">
        <v>22</v>
      </c>
      <c r="AL1443" t="n">
        <v>15</v>
      </c>
      <c r="AM1443" t="n">
        <v>15</v>
      </c>
      <c r="AN1443" t="n">
        <v>0</v>
      </c>
      <c r="AO1443" t="n">
        <v>0</v>
      </c>
      <c r="AP1443" t="inlineStr">
        <is>
          <t>No</t>
        </is>
      </c>
      <c r="AQ1443" t="inlineStr">
        <is>
          <t>No</t>
        </is>
      </c>
      <c r="AS1443">
        <f>HYPERLINK("https://creighton-primo.hosted.exlibrisgroup.com/primo-explore/search?tab=default_tab&amp;search_scope=EVERYTHING&amp;vid=01CRU&amp;lang=en_US&amp;offset=0&amp;query=any,contains,991004212069702656","Catalog Record")</f>
        <v/>
      </c>
      <c r="AT1443">
        <f>HYPERLINK("http://www.worldcat.org/oclc/52215062","WorldCat Record")</f>
        <v/>
      </c>
      <c r="AU1443" t="inlineStr">
        <is>
          <t>753791:eng</t>
        </is>
      </c>
      <c r="AV1443" t="inlineStr">
        <is>
          <t>52215062</t>
        </is>
      </c>
      <c r="AW1443" t="inlineStr">
        <is>
          <t>991004212069702656</t>
        </is>
      </c>
      <c r="AX1443" t="inlineStr">
        <is>
          <t>991004212069702656</t>
        </is>
      </c>
      <c r="AY1443" t="inlineStr">
        <is>
          <t>2270729600002656</t>
        </is>
      </c>
      <c r="AZ1443" t="inlineStr">
        <is>
          <t>BOOK</t>
        </is>
      </c>
      <c r="BB1443" t="inlineStr">
        <is>
          <t>9780761317913</t>
        </is>
      </c>
      <c r="BC1443" t="inlineStr">
        <is>
          <t>32285004849385</t>
        </is>
      </c>
      <c r="BD1443" t="inlineStr">
        <is>
          <t>893220683</t>
        </is>
      </c>
    </row>
    <row r="1444">
      <c r="A1444" t="inlineStr">
        <is>
          <t>No</t>
        </is>
      </c>
      <c r="B1444" t="inlineStr">
        <is>
          <t>GV557.5 .S95 1986</t>
        </is>
      </c>
      <c r="C1444" t="inlineStr">
        <is>
          <t>0                      GV 0557500S  95          1986</t>
        </is>
      </c>
      <c r="D1444" t="inlineStr">
        <is>
          <t>Future directions in exercise and sport science research / James S. Skinner ... [et al.], editors.</t>
        </is>
      </c>
      <c r="F1444" t="inlineStr">
        <is>
          <t>No</t>
        </is>
      </c>
      <c r="G1444" t="inlineStr">
        <is>
          <t>1</t>
        </is>
      </c>
      <c r="H1444" t="inlineStr">
        <is>
          <t>No</t>
        </is>
      </c>
      <c r="I1444" t="inlineStr">
        <is>
          <t>No</t>
        </is>
      </c>
      <c r="J1444" t="inlineStr">
        <is>
          <t>0</t>
        </is>
      </c>
      <c r="K1444" t="inlineStr">
        <is>
          <t>Symposium on Future Directions in Exercise/Sport Research (1986 : Tempe, Ariz.)</t>
        </is>
      </c>
      <c r="L1444" t="inlineStr">
        <is>
          <t>Champaign, IL : Human Kinetics Publishers, c1989.</t>
        </is>
      </c>
      <c r="M1444" t="inlineStr">
        <is>
          <t>1989</t>
        </is>
      </c>
      <c r="O1444" t="inlineStr">
        <is>
          <t>eng</t>
        </is>
      </c>
      <c r="P1444" t="inlineStr">
        <is>
          <t>ilu</t>
        </is>
      </c>
      <c r="R1444" t="inlineStr">
        <is>
          <t xml:space="preserve">GV </t>
        </is>
      </c>
      <c r="S1444" t="n">
        <v>12</v>
      </c>
      <c r="T1444" t="n">
        <v>12</v>
      </c>
      <c r="U1444" t="inlineStr">
        <is>
          <t>2006-02-01</t>
        </is>
      </c>
      <c r="V1444" t="inlineStr">
        <is>
          <t>2006-02-01</t>
        </is>
      </c>
      <c r="W1444" t="inlineStr">
        <is>
          <t>1990-10-16</t>
        </is>
      </c>
      <c r="X1444" t="inlineStr">
        <is>
          <t>1990-10-16</t>
        </is>
      </c>
      <c r="Y1444" t="n">
        <v>316</v>
      </c>
      <c r="Z1444" t="n">
        <v>239</v>
      </c>
      <c r="AA1444" t="n">
        <v>246</v>
      </c>
      <c r="AB1444" t="n">
        <v>4</v>
      </c>
      <c r="AC1444" t="n">
        <v>4</v>
      </c>
      <c r="AD1444" t="n">
        <v>8</v>
      </c>
      <c r="AE1444" t="n">
        <v>8</v>
      </c>
      <c r="AF1444" t="n">
        <v>3</v>
      </c>
      <c r="AG1444" t="n">
        <v>3</v>
      </c>
      <c r="AH1444" t="n">
        <v>1</v>
      </c>
      <c r="AI1444" t="n">
        <v>1</v>
      </c>
      <c r="AJ1444" t="n">
        <v>3</v>
      </c>
      <c r="AK1444" t="n">
        <v>3</v>
      </c>
      <c r="AL1444" t="n">
        <v>3</v>
      </c>
      <c r="AM1444" t="n">
        <v>3</v>
      </c>
      <c r="AN1444" t="n">
        <v>0</v>
      </c>
      <c r="AO1444" t="n">
        <v>0</v>
      </c>
      <c r="AP1444" t="inlineStr">
        <is>
          <t>No</t>
        </is>
      </c>
      <c r="AQ1444" t="inlineStr">
        <is>
          <t>Yes</t>
        </is>
      </c>
      <c r="AR1444">
        <f>HYPERLINK("http://catalog.hathitrust.org/Record/004438026","HathiTrust Record")</f>
        <v/>
      </c>
      <c r="AS1444">
        <f>HYPERLINK("https://creighton-primo.hosted.exlibrisgroup.com/primo-explore/search?tab=default_tab&amp;search_scope=EVERYTHING&amp;vid=01CRU&amp;lang=en_US&amp;offset=0&amp;query=any,contains,991001360129702656","Catalog Record")</f>
        <v/>
      </c>
      <c r="AT1444">
        <f>HYPERLINK("http://www.worldcat.org/oclc/18520564","WorldCat Record")</f>
        <v/>
      </c>
      <c r="AU1444" t="inlineStr">
        <is>
          <t>17603588:eng</t>
        </is>
      </c>
      <c r="AV1444" t="inlineStr">
        <is>
          <t>18520564</t>
        </is>
      </c>
      <c r="AW1444" t="inlineStr">
        <is>
          <t>991001360129702656</t>
        </is>
      </c>
      <c r="AX1444" t="inlineStr">
        <is>
          <t>991001360129702656</t>
        </is>
      </c>
      <c r="AY1444" t="inlineStr">
        <is>
          <t>2268749310002656</t>
        </is>
      </c>
      <c r="AZ1444" t="inlineStr">
        <is>
          <t>BOOK</t>
        </is>
      </c>
      <c r="BB1444" t="inlineStr">
        <is>
          <t>9780873221740</t>
        </is>
      </c>
      <c r="BC1444" t="inlineStr">
        <is>
          <t>32285000341502</t>
        </is>
      </c>
      <c r="BD1444" t="inlineStr">
        <is>
          <t>893321861</t>
        </is>
      </c>
    </row>
    <row r="1445">
      <c r="A1445" t="inlineStr">
        <is>
          <t>No</t>
        </is>
      </c>
      <c r="B1445" t="inlineStr">
        <is>
          <t>GV558 .P67 2008</t>
        </is>
      </c>
      <c r="C1445" t="inlineStr">
        <is>
          <t>0                      GV 0558000P  67          2008</t>
        </is>
      </c>
      <c r="D1445" t="inlineStr">
        <is>
          <t>Why a curveball curves : the incredible science of sports / edited by Frank Vizard ; foreword by Robert Lipsyte.</t>
        </is>
      </c>
      <c r="F1445" t="inlineStr">
        <is>
          <t>No</t>
        </is>
      </c>
      <c r="G1445" t="inlineStr">
        <is>
          <t>1</t>
        </is>
      </c>
      <c r="H1445" t="inlineStr">
        <is>
          <t>No</t>
        </is>
      </c>
      <c r="I1445" t="inlineStr">
        <is>
          <t>No</t>
        </is>
      </c>
      <c r="J1445" t="inlineStr">
        <is>
          <t>0</t>
        </is>
      </c>
      <c r="L1445" t="inlineStr">
        <is>
          <t>New York : Hearst Books, c2008.</t>
        </is>
      </c>
      <c r="M1445" t="inlineStr">
        <is>
          <t>2008</t>
        </is>
      </c>
      <c r="O1445" t="inlineStr">
        <is>
          <t>eng</t>
        </is>
      </c>
      <c r="P1445" t="inlineStr">
        <is>
          <t>nyu</t>
        </is>
      </c>
      <c r="Q1445" t="inlineStr">
        <is>
          <t>Popular mechanics</t>
        </is>
      </c>
      <c r="R1445" t="inlineStr">
        <is>
          <t xml:space="preserve">GV </t>
        </is>
      </c>
      <c r="S1445" t="n">
        <v>1</v>
      </c>
      <c r="T1445" t="n">
        <v>1</v>
      </c>
      <c r="U1445" t="inlineStr">
        <is>
          <t>2008-09-24</t>
        </is>
      </c>
      <c r="V1445" t="inlineStr">
        <is>
          <t>2008-09-24</t>
        </is>
      </c>
      <c r="W1445" t="inlineStr">
        <is>
          <t>2008-09-24</t>
        </is>
      </c>
      <c r="X1445" t="inlineStr">
        <is>
          <t>2008-09-24</t>
        </is>
      </c>
      <c r="Y1445" t="n">
        <v>741</v>
      </c>
      <c r="Z1445" t="n">
        <v>702</v>
      </c>
      <c r="AA1445" t="n">
        <v>819</v>
      </c>
      <c r="AB1445" t="n">
        <v>7</v>
      </c>
      <c r="AC1445" t="n">
        <v>7</v>
      </c>
      <c r="AD1445" t="n">
        <v>5</v>
      </c>
      <c r="AE1445" t="n">
        <v>5</v>
      </c>
      <c r="AF1445" t="n">
        <v>1</v>
      </c>
      <c r="AG1445" t="n">
        <v>1</v>
      </c>
      <c r="AH1445" t="n">
        <v>0</v>
      </c>
      <c r="AI1445" t="n">
        <v>0</v>
      </c>
      <c r="AJ1445" t="n">
        <v>2</v>
      </c>
      <c r="AK1445" t="n">
        <v>2</v>
      </c>
      <c r="AL1445" t="n">
        <v>2</v>
      </c>
      <c r="AM1445" t="n">
        <v>2</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HYPERLINK("https://creighton-primo.hosted.exlibrisgroup.com/primo-explore/search?tab=default_tab&amp;search_scope=EVERYTHING&amp;vid=01CRU&amp;lang=en_US&amp;offset=0&amp;query=any,contains,991005264009702656","Catalog Record")</f>
        <v/>
      </c>
      <c r="AT1445">
        <f>HYPERLINK("http://www.worldcat.org/oclc/162126778","WorldCat Record")</f>
        <v/>
      </c>
      <c r="AU1445" t="inlineStr">
        <is>
          <t>110217047:eng</t>
        </is>
      </c>
      <c r="AV1445" t="inlineStr">
        <is>
          <t>162126778</t>
        </is>
      </c>
      <c r="AW1445" t="inlineStr">
        <is>
          <t>991005264009702656</t>
        </is>
      </c>
      <c r="AX1445" t="inlineStr">
        <is>
          <t>991005264009702656</t>
        </is>
      </c>
      <c r="AY1445" t="inlineStr">
        <is>
          <t>2270945620002656</t>
        </is>
      </c>
      <c r="AZ1445" t="inlineStr">
        <is>
          <t>BOOK</t>
        </is>
      </c>
      <c r="BB1445" t="inlineStr">
        <is>
          <t>9781588164759</t>
        </is>
      </c>
      <c r="BC1445" t="inlineStr">
        <is>
          <t>32285005460125</t>
        </is>
      </c>
      <c r="BD1445" t="inlineStr">
        <is>
          <t>893242458</t>
        </is>
      </c>
    </row>
    <row r="1446">
      <c r="A1446" t="inlineStr">
        <is>
          <t>No</t>
        </is>
      </c>
      <c r="B1446" t="inlineStr">
        <is>
          <t>GV567 .H44 1994</t>
        </is>
      </c>
      <c r="C1446" t="inlineStr">
        <is>
          <t>0                      GV 0567000H  44          1994</t>
        </is>
      </c>
      <c r="D1446" t="inlineStr">
        <is>
          <t>Grand slams, hat tricks, and alley-oops : a sports fan's book of words / Robert Hendrickson.</t>
        </is>
      </c>
      <c r="F1446" t="inlineStr">
        <is>
          <t>No</t>
        </is>
      </c>
      <c r="G1446" t="inlineStr">
        <is>
          <t>1</t>
        </is>
      </c>
      <c r="H1446" t="inlineStr">
        <is>
          <t>No</t>
        </is>
      </c>
      <c r="I1446" t="inlineStr">
        <is>
          <t>No</t>
        </is>
      </c>
      <c r="J1446" t="inlineStr">
        <is>
          <t>0</t>
        </is>
      </c>
      <c r="K1446" t="inlineStr">
        <is>
          <t>Hendrickson, Robert, 1933-</t>
        </is>
      </c>
      <c r="L1446" t="inlineStr">
        <is>
          <t>New York : Prentice Hall General Reference, c1994.</t>
        </is>
      </c>
      <c r="M1446" t="inlineStr">
        <is>
          <t>1994</t>
        </is>
      </c>
      <c r="N1446" t="inlineStr">
        <is>
          <t>1st ed.</t>
        </is>
      </c>
      <c r="O1446" t="inlineStr">
        <is>
          <t>eng</t>
        </is>
      </c>
      <c r="P1446" t="inlineStr">
        <is>
          <t>nyu</t>
        </is>
      </c>
      <c r="R1446" t="inlineStr">
        <is>
          <t xml:space="preserve">GV </t>
        </is>
      </c>
      <c r="S1446" t="n">
        <v>1</v>
      </c>
      <c r="T1446" t="n">
        <v>1</v>
      </c>
      <c r="U1446" t="inlineStr">
        <is>
          <t>2010-07-15</t>
        </is>
      </c>
      <c r="V1446" t="inlineStr">
        <is>
          <t>2010-07-15</t>
        </is>
      </c>
      <c r="W1446" t="inlineStr">
        <is>
          <t>2010-07-15</t>
        </is>
      </c>
      <c r="X1446" t="inlineStr">
        <is>
          <t>2010-07-15</t>
        </is>
      </c>
      <c r="Y1446" t="n">
        <v>107</v>
      </c>
      <c r="Z1446" t="n">
        <v>96</v>
      </c>
      <c r="AA1446" t="n">
        <v>96</v>
      </c>
      <c r="AB1446" t="n">
        <v>1</v>
      </c>
      <c r="AC1446" t="n">
        <v>1</v>
      </c>
      <c r="AD1446" t="n">
        <v>0</v>
      </c>
      <c r="AE1446" t="n">
        <v>0</v>
      </c>
      <c r="AF1446" t="n">
        <v>0</v>
      </c>
      <c r="AG1446" t="n">
        <v>0</v>
      </c>
      <c r="AH1446" t="n">
        <v>0</v>
      </c>
      <c r="AI1446" t="n">
        <v>0</v>
      </c>
      <c r="AJ1446" t="n">
        <v>0</v>
      </c>
      <c r="AK1446" t="n">
        <v>0</v>
      </c>
      <c r="AL1446" t="n">
        <v>0</v>
      </c>
      <c r="AM1446" t="n">
        <v>0</v>
      </c>
      <c r="AN1446" t="n">
        <v>0</v>
      </c>
      <c r="AO1446" t="n">
        <v>0</v>
      </c>
      <c r="AP1446" t="inlineStr">
        <is>
          <t>No</t>
        </is>
      </c>
      <c r="AQ1446" t="inlineStr">
        <is>
          <t>No</t>
        </is>
      </c>
      <c r="AS1446">
        <f>HYPERLINK("https://creighton-primo.hosted.exlibrisgroup.com/primo-explore/search?tab=default_tab&amp;search_scope=EVERYTHING&amp;vid=01CRU&amp;lang=en_US&amp;offset=0&amp;query=any,contains,991000028609702656","Catalog Record")</f>
        <v/>
      </c>
      <c r="AT1446">
        <f>HYPERLINK("http://www.worldcat.org/oclc/28724436","WorldCat Record")</f>
        <v/>
      </c>
      <c r="AU1446" t="inlineStr">
        <is>
          <t>2481595797:eng</t>
        </is>
      </c>
      <c r="AV1446" t="inlineStr">
        <is>
          <t>28724436</t>
        </is>
      </c>
      <c r="AW1446" t="inlineStr">
        <is>
          <t>991000028609702656</t>
        </is>
      </c>
      <c r="AX1446" t="inlineStr">
        <is>
          <t>991000028609702656</t>
        </is>
      </c>
      <c r="AY1446" t="inlineStr">
        <is>
          <t>2264618380002656</t>
        </is>
      </c>
      <c r="AZ1446" t="inlineStr">
        <is>
          <t>BOOK</t>
        </is>
      </c>
      <c r="BB1446" t="inlineStr">
        <is>
          <t>9780671799090</t>
        </is>
      </c>
      <c r="BC1446" t="inlineStr">
        <is>
          <t>32285005590343</t>
        </is>
      </c>
      <c r="BD1446" t="inlineStr">
        <is>
          <t>893237006</t>
        </is>
      </c>
    </row>
    <row r="1447">
      <c r="A1447" t="inlineStr">
        <is>
          <t>No</t>
        </is>
      </c>
      <c r="B1447" t="inlineStr">
        <is>
          <t>GV573 .K65 2005</t>
        </is>
      </c>
      <c r="C1447" t="inlineStr">
        <is>
          <t>0                      GV 0573000K  65          2005</t>
        </is>
      </c>
      <c r="D1447" t="inlineStr">
        <is>
          <t>Athletics and literature in the Roman empire / Jason König.</t>
        </is>
      </c>
      <c r="F1447" t="inlineStr">
        <is>
          <t>No</t>
        </is>
      </c>
      <c r="G1447" t="inlineStr">
        <is>
          <t>1</t>
        </is>
      </c>
      <c r="H1447" t="inlineStr">
        <is>
          <t>No</t>
        </is>
      </c>
      <c r="I1447" t="inlineStr">
        <is>
          <t>No</t>
        </is>
      </c>
      <c r="J1447" t="inlineStr">
        <is>
          <t>0</t>
        </is>
      </c>
      <c r="K1447" t="inlineStr">
        <is>
          <t>König, Jason.</t>
        </is>
      </c>
      <c r="L1447" t="inlineStr">
        <is>
          <t>Cambridge ; New York : Cambridge University Press, 2005.</t>
        </is>
      </c>
      <c r="M1447" t="inlineStr">
        <is>
          <t>2005</t>
        </is>
      </c>
      <c r="O1447" t="inlineStr">
        <is>
          <t>eng</t>
        </is>
      </c>
      <c r="P1447" t="inlineStr">
        <is>
          <t>enk</t>
        </is>
      </c>
      <c r="Q1447" t="inlineStr">
        <is>
          <t>Greek culture in the Roman world</t>
        </is>
      </c>
      <c r="R1447" t="inlineStr">
        <is>
          <t xml:space="preserve">GV </t>
        </is>
      </c>
      <c r="S1447" t="n">
        <v>3</v>
      </c>
      <c r="T1447" t="n">
        <v>3</v>
      </c>
      <c r="U1447" t="inlineStr">
        <is>
          <t>2007-05-09</t>
        </is>
      </c>
      <c r="V1447" t="inlineStr">
        <is>
          <t>2007-05-09</t>
        </is>
      </c>
      <c r="W1447" t="inlineStr">
        <is>
          <t>2007-04-18</t>
        </is>
      </c>
      <c r="X1447" t="inlineStr">
        <is>
          <t>2007-04-18</t>
        </is>
      </c>
      <c r="Y1447" t="n">
        <v>294</v>
      </c>
      <c r="Z1447" t="n">
        <v>194</v>
      </c>
      <c r="AA1447" t="n">
        <v>199</v>
      </c>
      <c r="AB1447" t="n">
        <v>2</v>
      </c>
      <c r="AC1447" t="n">
        <v>2</v>
      </c>
      <c r="AD1447" t="n">
        <v>10</v>
      </c>
      <c r="AE1447" t="n">
        <v>10</v>
      </c>
      <c r="AF1447" t="n">
        <v>4</v>
      </c>
      <c r="AG1447" t="n">
        <v>4</v>
      </c>
      <c r="AH1447" t="n">
        <v>2</v>
      </c>
      <c r="AI1447" t="n">
        <v>2</v>
      </c>
      <c r="AJ1447" t="n">
        <v>6</v>
      </c>
      <c r="AK1447" t="n">
        <v>6</v>
      </c>
      <c r="AL1447" t="n">
        <v>1</v>
      </c>
      <c r="AM1447" t="n">
        <v>1</v>
      </c>
      <c r="AN1447" t="n">
        <v>0</v>
      </c>
      <c r="AO1447" t="n">
        <v>0</v>
      </c>
      <c r="AP1447" t="inlineStr">
        <is>
          <t>No</t>
        </is>
      </c>
      <c r="AQ1447" t="inlineStr">
        <is>
          <t>No</t>
        </is>
      </c>
      <c r="AS1447">
        <f>HYPERLINK("https://creighton-primo.hosted.exlibrisgroup.com/primo-explore/search?tab=default_tab&amp;search_scope=EVERYTHING&amp;vid=01CRU&amp;lang=en_US&amp;offset=0&amp;query=any,contains,991005070359702656","Catalog Record")</f>
        <v/>
      </c>
      <c r="AT1447">
        <f>HYPERLINK("http://www.worldcat.org/oclc/57574569","WorldCat Record")</f>
        <v/>
      </c>
      <c r="AU1447" t="inlineStr">
        <is>
          <t>1978672:eng</t>
        </is>
      </c>
      <c r="AV1447" t="inlineStr">
        <is>
          <t>57574569</t>
        </is>
      </c>
      <c r="AW1447" t="inlineStr">
        <is>
          <t>991005070359702656</t>
        </is>
      </c>
      <c r="AX1447" t="inlineStr">
        <is>
          <t>991005070359702656</t>
        </is>
      </c>
      <c r="AY1447" t="inlineStr">
        <is>
          <t>2254743780002656</t>
        </is>
      </c>
      <c r="AZ1447" t="inlineStr">
        <is>
          <t>BOOK</t>
        </is>
      </c>
      <c r="BB1447" t="inlineStr">
        <is>
          <t>9780521838450</t>
        </is>
      </c>
      <c r="BC1447" t="inlineStr">
        <is>
          <t>32285005288302</t>
        </is>
      </c>
      <c r="BD1447" t="inlineStr">
        <is>
          <t>893260492</t>
        </is>
      </c>
    </row>
    <row r="1448">
      <c r="A1448" t="inlineStr">
        <is>
          <t>No</t>
        </is>
      </c>
      <c r="B1448" t="inlineStr">
        <is>
          <t>GV581 .S655</t>
        </is>
      </c>
      <c r="C1448" t="inlineStr">
        <is>
          <t>0                      GV 0581000S  655</t>
        </is>
      </c>
      <c r="D1448" t="inlineStr">
        <is>
          <t>Sports in North America : a documentary history / edited by Thomas L. Altherr.</t>
        </is>
      </c>
      <c r="E1448" t="inlineStr">
        <is>
          <t>V. 10</t>
        </is>
      </c>
      <c r="F1448" t="inlineStr">
        <is>
          <t>Yes</t>
        </is>
      </c>
      <c r="G1448" t="inlineStr">
        <is>
          <t>1</t>
        </is>
      </c>
      <c r="H1448" t="inlineStr">
        <is>
          <t>No</t>
        </is>
      </c>
      <c r="I1448" t="inlineStr">
        <is>
          <t>No</t>
        </is>
      </c>
      <c r="J1448" t="inlineStr">
        <is>
          <t>0</t>
        </is>
      </c>
      <c r="L1448" t="inlineStr">
        <is>
          <t>Gulf Breeze, FL : Academic International Press, 1992-</t>
        </is>
      </c>
      <c r="M1448" t="inlineStr">
        <is>
          <t>1992</t>
        </is>
      </c>
      <c r="O1448" t="inlineStr">
        <is>
          <t>eng</t>
        </is>
      </c>
      <c r="P1448" t="inlineStr">
        <is>
          <t>flu</t>
        </is>
      </c>
      <c r="R1448" t="inlineStr">
        <is>
          <t xml:space="preserve">GV </t>
        </is>
      </c>
      <c r="S1448" t="n">
        <v>1</v>
      </c>
      <c r="T1448" t="n">
        <v>10</v>
      </c>
      <c r="U1448" t="inlineStr">
        <is>
          <t>2005-05-03</t>
        </is>
      </c>
      <c r="V1448" t="inlineStr">
        <is>
          <t>2005-05-03</t>
        </is>
      </c>
      <c r="W1448" t="inlineStr">
        <is>
          <t>2005-05-03</t>
        </is>
      </c>
      <c r="X1448" t="inlineStr">
        <is>
          <t>2005-05-03</t>
        </is>
      </c>
      <c r="Y1448" t="n">
        <v>347</v>
      </c>
      <c r="Z1448" t="n">
        <v>320</v>
      </c>
      <c r="AA1448" t="n">
        <v>367</v>
      </c>
      <c r="AB1448" t="n">
        <v>4</v>
      </c>
      <c r="AC1448" t="n">
        <v>4</v>
      </c>
      <c r="AD1448" t="n">
        <v>18</v>
      </c>
      <c r="AE1448" t="n">
        <v>21</v>
      </c>
      <c r="AF1448" t="n">
        <v>6</v>
      </c>
      <c r="AG1448" t="n">
        <v>8</v>
      </c>
      <c r="AH1448" t="n">
        <v>3</v>
      </c>
      <c r="AI1448" t="n">
        <v>3</v>
      </c>
      <c r="AJ1448" t="n">
        <v>8</v>
      </c>
      <c r="AK1448" t="n">
        <v>9</v>
      </c>
      <c r="AL1448" t="n">
        <v>3</v>
      </c>
      <c r="AM1448" t="n">
        <v>3</v>
      </c>
      <c r="AN1448" t="n">
        <v>0</v>
      </c>
      <c r="AO1448" t="n">
        <v>0</v>
      </c>
      <c r="AP1448" t="inlineStr">
        <is>
          <t>No</t>
        </is>
      </c>
      <c r="AQ1448" t="inlineStr">
        <is>
          <t>Yes</t>
        </is>
      </c>
      <c r="AR1448">
        <f>HYPERLINK("http://catalog.hathitrust.org/Record/003066639","HathiTrust Record")</f>
        <v/>
      </c>
      <c r="AS1448">
        <f>HYPERLINK("https://creighton-primo.hosted.exlibrisgroup.com/primo-explore/search?tab=default_tab&amp;search_scope=EVERYTHING&amp;vid=01CRU&amp;lang=en_US&amp;offset=0&amp;query=any,contains,991003513539702656","Catalog Record")</f>
        <v/>
      </c>
      <c r="AT1448">
        <f>HYPERLINK("http://www.worldcat.org/oclc/26313819","WorldCat Record")</f>
        <v/>
      </c>
      <c r="AU1448" t="inlineStr">
        <is>
          <t>949978449:eng</t>
        </is>
      </c>
      <c r="AV1448" t="inlineStr">
        <is>
          <t>26313819</t>
        </is>
      </c>
      <c r="AW1448" t="inlineStr">
        <is>
          <t>991003513539702656</t>
        </is>
      </c>
      <c r="AX1448" t="inlineStr">
        <is>
          <t>991003513539702656</t>
        </is>
      </c>
      <c r="AY1448" t="inlineStr">
        <is>
          <t>2261674600002656</t>
        </is>
      </c>
      <c r="AZ1448" t="inlineStr">
        <is>
          <t>BOOK</t>
        </is>
      </c>
      <c r="BB1448" t="inlineStr">
        <is>
          <t>9780875691350</t>
        </is>
      </c>
      <c r="BC1448" t="inlineStr">
        <is>
          <t>32285004934393</t>
        </is>
      </c>
      <c r="BD1448" t="inlineStr">
        <is>
          <t>893881242</t>
        </is>
      </c>
    </row>
    <row r="1449">
      <c r="A1449" t="inlineStr">
        <is>
          <t>No</t>
        </is>
      </c>
      <c r="B1449" t="inlineStr">
        <is>
          <t>GV581 .S655</t>
        </is>
      </c>
      <c r="C1449" t="inlineStr">
        <is>
          <t>0                      GV 0581000S  655</t>
        </is>
      </c>
      <c r="D1449" t="inlineStr">
        <is>
          <t>Sports in North America : a documentary history / edited by Thomas L. Altherr.</t>
        </is>
      </c>
      <c r="F1449" t="inlineStr">
        <is>
          <t>Yes</t>
        </is>
      </c>
      <c r="G1449" t="inlineStr">
        <is>
          <t>1</t>
        </is>
      </c>
      <c r="H1449" t="inlineStr">
        <is>
          <t>Yes</t>
        </is>
      </c>
      <c r="I1449" t="inlineStr">
        <is>
          <t>No</t>
        </is>
      </c>
      <c r="J1449" t="inlineStr">
        <is>
          <t>0</t>
        </is>
      </c>
      <c r="L1449" t="inlineStr">
        <is>
          <t>Gulf Breeze, FL : Academic International Press, 1992-</t>
        </is>
      </c>
      <c r="M1449" t="inlineStr">
        <is>
          <t>1992</t>
        </is>
      </c>
      <c r="O1449" t="inlineStr">
        <is>
          <t>eng</t>
        </is>
      </c>
      <c r="P1449" t="inlineStr">
        <is>
          <t>flu</t>
        </is>
      </c>
      <c r="R1449" t="inlineStr">
        <is>
          <t xml:space="preserve">GV </t>
        </is>
      </c>
      <c r="S1449" t="n">
        <v>0</v>
      </c>
      <c r="T1449" t="n">
        <v>10</v>
      </c>
      <c r="V1449" t="inlineStr">
        <is>
          <t>2005-05-03</t>
        </is>
      </c>
      <c r="W1449" t="inlineStr">
        <is>
          <t>2005-05-03</t>
        </is>
      </c>
      <c r="X1449" t="inlineStr">
        <is>
          <t>2005-05-03</t>
        </is>
      </c>
      <c r="Y1449" t="n">
        <v>347</v>
      </c>
      <c r="Z1449" t="n">
        <v>320</v>
      </c>
      <c r="AA1449" t="n">
        <v>367</v>
      </c>
      <c r="AB1449" t="n">
        <v>4</v>
      </c>
      <c r="AC1449" t="n">
        <v>4</v>
      </c>
      <c r="AD1449" t="n">
        <v>18</v>
      </c>
      <c r="AE1449" t="n">
        <v>21</v>
      </c>
      <c r="AF1449" t="n">
        <v>6</v>
      </c>
      <c r="AG1449" t="n">
        <v>8</v>
      </c>
      <c r="AH1449" t="n">
        <v>3</v>
      </c>
      <c r="AI1449" t="n">
        <v>3</v>
      </c>
      <c r="AJ1449" t="n">
        <v>8</v>
      </c>
      <c r="AK1449" t="n">
        <v>9</v>
      </c>
      <c r="AL1449" t="n">
        <v>3</v>
      </c>
      <c r="AM1449" t="n">
        <v>3</v>
      </c>
      <c r="AN1449" t="n">
        <v>0</v>
      </c>
      <c r="AO1449" t="n">
        <v>0</v>
      </c>
      <c r="AP1449" t="inlineStr">
        <is>
          <t>No</t>
        </is>
      </c>
      <c r="AQ1449" t="inlineStr">
        <is>
          <t>Yes</t>
        </is>
      </c>
      <c r="AR1449">
        <f>HYPERLINK("http://catalog.hathitrust.org/Record/003066639","HathiTrust Record")</f>
        <v/>
      </c>
      <c r="AS1449">
        <f>HYPERLINK("https://creighton-primo.hosted.exlibrisgroup.com/primo-explore/search?tab=default_tab&amp;search_scope=EVERYTHING&amp;vid=01CRU&amp;lang=en_US&amp;offset=0&amp;query=any,contains,991003513539702656","Catalog Record")</f>
        <v/>
      </c>
      <c r="AT1449">
        <f>HYPERLINK("http://www.worldcat.org/oclc/26313819","WorldCat Record")</f>
        <v/>
      </c>
      <c r="AU1449" t="inlineStr">
        <is>
          <t>949978449:eng</t>
        </is>
      </c>
      <c r="AV1449" t="inlineStr">
        <is>
          <t>26313819</t>
        </is>
      </c>
      <c r="AW1449" t="inlineStr">
        <is>
          <t>991003513539702656</t>
        </is>
      </c>
      <c r="AX1449" t="inlineStr">
        <is>
          <t>991003513539702656</t>
        </is>
      </c>
      <c r="AY1449" t="inlineStr">
        <is>
          <t>2261674600002656</t>
        </is>
      </c>
      <c r="AZ1449" t="inlineStr">
        <is>
          <t>BOOK</t>
        </is>
      </c>
      <c r="BB1449" t="inlineStr">
        <is>
          <t>9780875691350</t>
        </is>
      </c>
      <c r="BC1449" t="inlineStr">
        <is>
          <t>400901-9001</t>
        </is>
      </c>
      <c r="BD1449" t="inlineStr">
        <is>
          <t>893881245</t>
        </is>
      </c>
    </row>
    <row r="1450">
      <c r="A1450" t="inlineStr">
        <is>
          <t>No</t>
        </is>
      </c>
      <c r="B1450" t="inlineStr">
        <is>
          <t>GV581 .S655 1992</t>
        </is>
      </c>
      <c r="C1450" t="inlineStr">
        <is>
          <t>0                      GV 0581000S  655         1992</t>
        </is>
      </c>
      <c r="D1450" t="inlineStr">
        <is>
          <t>Sports in North America : a documentary history / edited by Thomas L. Altherr.</t>
        </is>
      </c>
      <c r="E1450" t="inlineStr">
        <is>
          <t>V. 6</t>
        </is>
      </c>
      <c r="F1450" t="inlineStr">
        <is>
          <t>Yes</t>
        </is>
      </c>
      <c r="G1450" t="inlineStr">
        <is>
          <t>1</t>
        </is>
      </c>
      <c r="H1450" t="inlineStr">
        <is>
          <t>No</t>
        </is>
      </c>
      <c r="I1450" t="inlineStr">
        <is>
          <t>No</t>
        </is>
      </c>
      <c r="J1450" t="inlineStr">
        <is>
          <t>0</t>
        </is>
      </c>
      <c r="L1450" t="inlineStr">
        <is>
          <t>Gulf Breeze, FL : Academic International Press, 1992-</t>
        </is>
      </c>
      <c r="M1450" t="inlineStr">
        <is>
          <t>1992</t>
        </is>
      </c>
      <c r="O1450" t="inlineStr">
        <is>
          <t>eng</t>
        </is>
      </c>
      <c r="P1450" t="inlineStr">
        <is>
          <t>flu</t>
        </is>
      </c>
      <c r="R1450" t="inlineStr">
        <is>
          <t xml:space="preserve">GV </t>
        </is>
      </c>
      <c r="S1450" t="n">
        <v>1</v>
      </c>
      <c r="T1450" t="n">
        <v>10</v>
      </c>
      <c r="U1450" t="inlineStr">
        <is>
          <t>2001-04-02</t>
        </is>
      </c>
      <c r="V1450" t="inlineStr">
        <is>
          <t>2005-05-03</t>
        </is>
      </c>
      <c r="W1450" t="inlineStr">
        <is>
          <t>2001-04-02</t>
        </is>
      </c>
      <c r="X1450" t="inlineStr">
        <is>
          <t>2005-05-03</t>
        </is>
      </c>
      <c r="Y1450" t="n">
        <v>347</v>
      </c>
      <c r="Z1450" t="n">
        <v>320</v>
      </c>
      <c r="AA1450" t="n">
        <v>367</v>
      </c>
      <c r="AB1450" t="n">
        <v>4</v>
      </c>
      <c r="AC1450" t="n">
        <v>4</v>
      </c>
      <c r="AD1450" t="n">
        <v>18</v>
      </c>
      <c r="AE1450" t="n">
        <v>21</v>
      </c>
      <c r="AF1450" t="n">
        <v>6</v>
      </c>
      <c r="AG1450" t="n">
        <v>8</v>
      </c>
      <c r="AH1450" t="n">
        <v>3</v>
      </c>
      <c r="AI1450" t="n">
        <v>3</v>
      </c>
      <c r="AJ1450" t="n">
        <v>8</v>
      </c>
      <c r="AK1450" t="n">
        <v>9</v>
      </c>
      <c r="AL1450" t="n">
        <v>3</v>
      </c>
      <c r="AM1450" t="n">
        <v>3</v>
      </c>
      <c r="AN1450" t="n">
        <v>0</v>
      </c>
      <c r="AO1450" t="n">
        <v>0</v>
      </c>
      <c r="AP1450" t="inlineStr">
        <is>
          <t>No</t>
        </is>
      </c>
      <c r="AQ1450" t="inlineStr">
        <is>
          <t>Yes</t>
        </is>
      </c>
      <c r="AR1450">
        <f>HYPERLINK("http://catalog.hathitrust.org/Record/003066639","HathiTrust Record")</f>
        <v/>
      </c>
      <c r="AS1450">
        <f>HYPERLINK("https://creighton-primo.hosted.exlibrisgroup.com/primo-explore/search?tab=default_tab&amp;search_scope=EVERYTHING&amp;vid=01CRU&amp;lang=en_US&amp;offset=0&amp;query=any,contains,991003513539702656","Catalog Record")</f>
        <v/>
      </c>
      <c r="AT1450">
        <f>HYPERLINK("http://www.worldcat.org/oclc/26313819","WorldCat Record")</f>
        <v/>
      </c>
      <c r="AU1450" t="inlineStr">
        <is>
          <t>949978449:eng</t>
        </is>
      </c>
      <c r="AV1450" t="inlineStr">
        <is>
          <t>26313819</t>
        </is>
      </c>
      <c r="AW1450" t="inlineStr">
        <is>
          <t>991003513539702656</t>
        </is>
      </c>
      <c r="AX1450" t="inlineStr">
        <is>
          <t>991003513539702656</t>
        </is>
      </c>
      <c r="AY1450" t="inlineStr">
        <is>
          <t>2261674600002656</t>
        </is>
      </c>
      <c r="AZ1450" t="inlineStr">
        <is>
          <t>BOOK</t>
        </is>
      </c>
      <c r="BB1450" t="inlineStr">
        <is>
          <t>9780875691350</t>
        </is>
      </c>
      <c r="BC1450" t="inlineStr">
        <is>
          <t>32285004309323</t>
        </is>
      </c>
      <c r="BD1450" t="inlineStr">
        <is>
          <t>893881243</t>
        </is>
      </c>
    </row>
    <row r="1451">
      <c r="A1451" t="inlineStr">
        <is>
          <t>No</t>
        </is>
      </c>
      <c r="B1451" t="inlineStr">
        <is>
          <t>GV581 .S655 1992</t>
        </is>
      </c>
      <c r="C1451" t="inlineStr">
        <is>
          <t>0                      GV 0581000S  655         1992</t>
        </is>
      </c>
      <c r="D1451" t="inlineStr">
        <is>
          <t>Sports in North America : a documentary history / edited by Thomas L. Altherr.</t>
        </is>
      </c>
      <c r="E1451" t="inlineStr">
        <is>
          <t>V. 4</t>
        </is>
      </c>
      <c r="F1451" t="inlineStr">
        <is>
          <t>Yes</t>
        </is>
      </c>
      <c r="G1451" t="inlineStr">
        <is>
          <t>1</t>
        </is>
      </c>
      <c r="H1451" t="inlineStr">
        <is>
          <t>No</t>
        </is>
      </c>
      <c r="I1451" t="inlineStr">
        <is>
          <t>No</t>
        </is>
      </c>
      <c r="J1451" t="inlineStr">
        <is>
          <t>0</t>
        </is>
      </c>
      <c r="L1451" t="inlineStr">
        <is>
          <t>Gulf Breeze, FL : Academic International Press, 1992-</t>
        </is>
      </c>
      <c r="M1451" t="inlineStr">
        <is>
          <t>1992</t>
        </is>
      </c>
      <c r="O1451" t="inlineStr">
        <is>
          <t>eng</t>
        </is>
      </c>
      <c r="P1451" t="inlineStr">
        <is>
          <t>flu</t>
        </is>
      </c>
      <c r="R1451" t="inlineStr">
        <is>
          <t xml:space="preserve">GV </t>
        </is>
      </c>
      <c r="S1451" t="n">
        <v>1</v>
      </c>
      <c r="T1451" t="n">
        <v>10</v>
      </c>
      <c r="U1451" t="inlineStr">
        <is>
          <t>2001-04-02</t>
        </is>
      </c>
      <c r="V1451" t="inlineStr">
        <is>
          <t>2005-05-03</t>
        </is>
      </c>
      <c r="W1451" t="inlineStr">
        <is>
          <t>2001-04-02</t>
        </is>
      </c>
      <c r="X1451" t="inlineStr">
        <is>
          <t>2005-05-03</t>
        </is>
      </c>
      <c r="Y1451" t="n">
        <v>347</v>
      </c>
      <c r="Z1451" t="n">
        <v>320</v>
      </c>
      <c r="AA1451" t="n">
        <v>367</v>
      </c>
      <c r="AB1451" t="n">
        <v>4</v>
      </c>
      <c r="AC1451" t="n">
        <v>4</v>
      </c>
      <c r="AD1451" t="n">
        <v>18</v>
      </c>
      <c r="AE1451" t="n">
        <v>21</v>
      </c>
      <c r="AF1451" t="n">
        <v>6</v>
      </c>
      <c r="AG1451" t="n">
        <v>8</v>
      </c>
      <c r="AH1451" t="n">
        <v>3</v>
      </c>
      <c r="AI1451" t="n">
        <v>3</v>
      </c>
      <c r="AJ1451" t="n">
        <v>8</v>
      </c>
      <c r="AK1451" t="n">
        <v>9</v>
      </c>
      <c r="AL1451" t="n">
        <v>3</v>
      </c>
      <c r="AM1451" t="n">
        <v>3</v>
      </c>
      <c r="AN1451" t="n">
        <v>0</v>
      </c>
      <c r="AO1451" t="n">
        <v>0</v>
      </c>
      <c r="AP1451" t="inlineStr">
        <is>
          <t>No</t>
        </is>
      </c>
      <c r="AQ1451" t="inlineStr">
        <is>
          <t>Yes</t>
        </is>
      </c>
      <c r="AR1451">
        <f>HYPERLINK("http://catalog.hathitrust.org/Record/003066639","HathiTrust Record")</f>
        <v/>
      </c>
      <c r="AS1451">
        <f>HYPERLINK("https://creighton-primo.hosted.exlibrisgroup.com/primo-explore/search?tab=default_tab&amp;search_scope=EVERYTHING&amp;vid=01CRU&amp;lang=en_US&amp;offset=0&amp;query=any,contains,991003513539702656","Catalog Record")</f>
        <v/>
      </c>
      <c r="AT1451">
        <f>HYPERLINK("http://www.worldcat.org/oclc/26313819","WorldCat Record")</f>
        <v/>
      </c>
      <c r="AU1451" t="inlineStr">
        <is>
          <t>949978449:eng</t>
        </is>
      </c>
      <c r="AV1451" t="inlineStr">
        <is>
          <t>26313819</t>
        </is>
      </c>
      <c r="AW1451" t="inlineStr">
        <is>
          <t>991003513539702656</t>
        </is>
      </c>
      <c r="AX1451" t="inlineStr">
        <is>
          <t>991003513539702656</t>
        </is>
      </c>
      <c r="AY1451" t="inlineStr">
        <is>
          <t>2261674600002656</t>
        </is>
      </c>
      <c r="AZ1451" t="inlineStr">
        <is>
          <t>BOOK</t>
        </is>
      </c>
      <c r="BB1451" t="inlineStr">
        <is>
          <t>9780875691350</t>
        </is>
      </c>
      <c r="BC1451" t="inlineStr">
        <is>
          <t>32285004309307</t>
        </is>
      </c>
      <c r="BD1451" t="inlineStr">
        <is>
          <t>893868501</t>
        </is>
      </c>
    </row>
    <row r="1452">
      <c r="A1452" t="inlineStr">
        <is>
          <t>No</t>
        </is>
      </c>
      <c r="B1452" t="inlineStr">
        <is>
          <t>GV581 .S655 1992</t>
        </is>
      </c>
      <c r="C1452" t="inlineStr">
        <is>
          <t>0                      GV 0581000S  655         1992</t>
        </is>
      </c>
      <c r="D1452" t="inlineStr">
        <is>
          <t>Sports in North America : a documentary history / edited by Thomas L. Altherr.</t>
        </is>
      </c>
      <c r="E1452" t="inlineStr">
        <is>
          <t>V. 2</t>
        </is>
      </c>
      <c r="F1452" t="inlineStr">
        <is>
          <t>Yes</t>
        </is>
      </c>
      <c r="G1452" t="inlineStr">
        <is>
          <t>1</t>
        </is>
      </c>
      <c r="H1452" t="inlineStr">
        <is>
          <t>No</t>
        </is>
      </c>
      <c r="I1452" t="inlineStr">
        <is>
          <t>No</t>
        </is>
      </c>
      <c r="J1452" t="inlineStr">
        <is>
          <t>0</t>
        </is>
      </c>
      <c r="L1452" t="inlineStr">
        <is>
          <t>Gulf Breeze, FL : Academic International Press, 1992-</t>
        </is>
      </c>
      <c r="M1452" t="inlineStr">
        <is>
          <t>1992</t>
        </is>
      </c>
      <c r="O1452" t="inlineStr">
        <is>
          <t>eng</t>
        </is>
      </c>
      <c r="P1452" t="inlineStr">
        <is>
          <t>flu</t>
        </is>
      </c>
      <c r="R1452" t="inlineStr">
        <is>
          <t xml:space="preserve">GV </t>
        </is>
      </c>
      <c r="S1452" t="n">
        <v>1</v>
      </c>
      <c r="T1452" t="n">
        <v>10</v>
      </c>
      <c r="U1452" t="inlineStr">
        <is>
          <t>2001-04-02</t>
        </is>
      </c>
      <c r="V1452" t="inlineStr">
        <is>
          <t>2005-05-03</t>
        </is>
      </c>
      <c r="W1452" t="inlineStr">
        <is>
          <t>2001-04-02</t>
        </is>
      </c>
      <c r="X1452" t="inlineStr">
        <is>
          <t>2005-05-03</t>
        </is>
      </c>
      <c r="Y1452" t="n">
        <v>347</v>
      </c>
      <c r="Z1452" t="n">
        <v>320</v>
      </c>
      <c r="AA1452" t="n">
        <v>367</v>
      </c>
      <c r="AB1452" t="n">
        <v>4</v>
      </c>
      <c r="AC1452" t="n">
        <v>4</v>
      </c>
      <c r="AD1452" t="n">
        <v>18</v>
      </c>
      <c r="AE1452" t="n">
        <v>21</v>
      </c>
      <c r="AF1452" t="n">
        <v>6</v>
      </c>
      <c r="AG1452" t="n">
        <v>8</v>
      </c>
      <c r="AH1452" t="n">
        <v>3</v>
      </c>
      <c r="AI1452" t="n">
        <v>3</v>
      </c>
      <c r="AJ1452" t="n">
        <v>8</v>
      </c>
      <c r="AK1452" t="n">
        <v>9</v>
      </c>
      <c r="AL1452" t="n">
        <v>3</v>
      </c>
      <c r="AM1452" t="n">
        <v>3</v>
      </c>
      <c r="AN1452" t="n">
        <v>0</v>
      </c>
      <c r="AO1452" t="n">
        <v>0</v>
      </c>
      <c r="AP1452" t="inlineStr">
        <is>
          <t>No</t>
        </is>
      </c>
      <c r="AQ1452" t="inlineStr">
        <is>
          <t>Yes</t>
        </is>
      </c>
      <c r="AR1452">
        <f>HYPERLINK("http://catalog.hathitrust.org/Record/003066639","HathiTrust Record")</f>
        <v/>
      </c>
      <c r="AS1452">
        <f>HYPERLINK("https://creighton-primo.hosted.exlibrisgroup.com/primo-explore/search?tab=default_tab&amp;search_scope=EVERYTHING&amp;vid=01CRU&amp;lang=en_US&amp;offset=0&amp;query=any,contains,991003513539702656","Catalog Record")</f>
        <v/>
      </c>
      <c r="AT1452">
        <f>HYPERLINK("http://www.worldcat.org/oclc/26313819","WorldCat Record")</f>
        <v/>
      </c>
      <c r="AU1452" t="inlineStr">
        <is>
          <t>949978449:eng</t>
        </is>
      </c>
      <c r="AV1452" t="inlineStr">
        <is>
          <t>26313819</t>
        </is>
      </c>
      <c r="AW1452" t="inlineStr">
        <is>
          <t>991003513539702656</t>
        </is>
      </c>
      <c r="AX1452" t="inlineStr">
        <is>
          <t>991003513539702656</t>
        </is>
      </c>
      <c r="AY1452" t="inlineStr">
        <is>
          <t>2261674600002656</t>
        </is>
      </c>
      <c r="AZ1452" t="inlineStr">
        <is>
          <t>BOOK</t>
        </is>
      </c>
      <c r="BB1452" t="inlineStr">
        <is>
          <t>9780875691350</t>
        </is>
      </c>
      <c r="BC1452" t="inlineStr">
        <is>
          <t>32285004309281</t>
        </is>
      </c>
      <c r="BD1452" t="inlineStr">
        <is>
          <t>893893796</t>
        </is>
      </c>
    </row>
    <row r="1453">
      <c r="A1453" t="inlineStr">
        <is>
          <t>No</t>
        </is>
      </c>
      <c r="B1453" t="inlineStr">
        <is>
          <t>GV581 .S655 1992</t>
        </is>
      </c>
      <c r="C1453" t="inlineStr">
        <is>
          <t>0                      GV 0581000S  655         1992</t>
        </is>
      </c>
      <c r="D1453" t="inlineStr">
        <is>
          <t>Sports in North America : a documentary history / edited by Thomas L. Altherr.</t>
        </is>
      </c>
      <c r="E1453" t="inlineStr">
        <is>
          <t>V. 3</t>
        </is>
      </c>
      <c r="F1453" t="inlineStr">
        <is>
          <t>Yes</t>
        </is>
      </c>
      <c r="G1453" t="inlineStr">
        <is>
          <t>1</t>
        </is>
      </c>
      <c r="H1453" t="inlineStr">
        <is>
          <t>No</t>
        </is>
      </c>
      <c r="I1453" t="inlineStr">
        <is>
          <t>No</t>
        </is>
      </c>
      <c r="J1453" t="inlineStr">
        <is>
          <t>0</t>
        </is>
      </c>
      <c r="L1453" t="inlineStr">
        <is>
          <t>Gulf Breeze, FL : Academic International Press, 1992-</t>
        </is>
      </c>
      <c r="M1453" t="inlineStr">
        <is>
          <t>1992</t>
        </is>
      </c>
      <c r="O1453" t="inlineStr">
        <is>
          <t>eng</t>
        </is>
      </c>
      <c r="P1453" t="inlineStr">
        <is>
          <t>flu</t>
        </is>
      </c>
      <c r="R1453" t="inlineStr">
        <is>
          <t xml:space="preserve">GV </t>
        </is>
      </c>
      <c r="S1453" t="n">
        <v>1</v>
      </c>
      <c r="T1453" t="n">
        <v>10</v>
      </c>
      <c r="U1453" t="inlineStr">
        <is>
          <t>2001-04-02</t>
        </is>
      </c>
      <c r="V1453" t="inlineStr">
        <is>
          <t>2005-05-03</t>
        </is>
      </c>
      <c r="W1453" t="inlineStr">
        <is>
          <t>2001-04-02</t>
        </is>
      </c>
      <c r="X1453" t="inlineStr">
        <is>
          <t>2005-05-03</t>
        </is>
      </c>
      <c r="Y1453" t="n">
        <v>347</v>
      </c>
      <c r="Z1453" t="n">
        <v>320</v>
      </c>
      <c r="AA1453" t="n">
        <v>367</v>
      </c>
      <c r="AB1453" t="n">
        <v>4</v>
      </c>
      <c r="AC1453" t="n">
        <v>4</v>
      </c>
      <c r="AD1453" t="n">
        <v>18</v>
      </c>
      <c r="AE1453" t="n">
        <v>21</v>
      </c>
      <c r="AF1453" t="n">
        <v>6</v>
      </c>
      <c r="AG1453" t="n">
        <v>8</v>
      </c>
      <c r="AH1453" t="n">
        <v>3</v>
      </c>
      <c r="AI1453" t="n">
        <v>3</v>
      </c>
      <c r="AJ1453" t="n">
        <v>8</v>
      </c>
      <c r="AK1453" t="n">
        <v>9</v>
      </c>
      <c r="AL1453" t="n">
        <v>3</v>
      </c>
      <c r="AM1453" t="n">
        <v>3</v>
      </c>
      <c r="AN1453" t="n">
        <v>0</v>
      </c>
      <c r="AO1453" t="n">
        <v>0</v>
      </c>
      <c r="AP1453" t="inlineStr">
        <is>
          <t>No</t>
        </is>
      </c>
      <c r="AQ1453" t="inlineStr">
        <is>
          <t>Yes</t>
        </is>
      </c>
      <c r="AR1453">
        <f>HYPERLINK("http://catalog.hathitrust.org/Record/003066639","HathiTrust Record")</f>
        <v/>
      </c>
      <c r="AS1453">
        <f>HYPERLINK("https://creighton-primo.hosted.exlibrisgroup.com/primo-explore/search?tab=default_tab&amp;search_scope=EVERYTHING&amp;vid=01CRU&amp;lang=en_US&amp;offset=0&amp;query=any,contains,991003513539702656","Catalog Record")</f>
        <v/>
      </c>
      <c r="AT1453">
        <f>HYPERLINK("http://www.worldcat.org/oclc/26313819","WorldCat Record")</f>
        <v/>
      </c>
      <c r="AU1453" t="inlineStr">
        <is>
          <t>949978449:eng</t>
        </is>
      </c>
      <c r="AV1453" t="inlineStr">
        <is>
          <t>26313819</t>
        </is>
      </c>
      <c r="AW1453" t="inlineStr">
        <is>
          <t>991003513539702656</t>
        </is>
      </c>
      <c r="AX1453" t="inlineStr">
        <is>
          <t>991003513539702656</t>
        </is>
      </c>
      <c r="AY1453" t="inlineStr">
        <is>
          <t>2261674600002656</t>
        </is>
      </c>
      <c r="AZ1453" t="inlineStr">
        <is>
          <t>BOOK</t>
        </is>
      </c>
      <c r="BB1453" t="inlineStr">
        <is>
          <t>9780875691350</t>
        </is>
      </c>
      <c r="BC1453" t="inlineStr">
        <is>
          <t>32285004309299</t>
        </is>
      </c>
      <c r="BD1453" t="inlineStr">
        <is>
          <t>893881247</t>
        </is>
      </c>
    </row>
    <row r="1454">
      <c r="A1454" t="inlineStr">
        <is>
          <t>No</t>
        </is>
      </c>
      <c r="B1454" t="inlineStr">
        <is>
          <t>GV581 .S655 1992</t>
        </is>
      </c>
      <c r="C1454" t="inlineStr">
        <is>
          <t>0                      GV 0581000S  655         1992</t>
        </is>
      </c>
      <c r="D1454" t="inlineStr">
        <is>
          <t>Sports in North America : a documentary history / edited by Thomas L. Altherr.</t>
        </is>
      </c>
      <c r="E1454" t="inlineStr">
        <is>
          <t>V. 8</t>
        </is>
      </c>
      <c r="F1454" t="inlineStr">
        <is>
          <t>Yes</t>
        </is>
      </c>
      <c r="G1454" t="inlineStr">
        <is>
          <t>1</t>
        </is>
      </c>
      <c r="H1454" t="inlineStr">
        <is>
          <t>No</t>
        </is>
      </c>
      <c r="I1454" t="inlineStr">
        <is>
          <t>No</t>
        </is>
      </c>
      <c r="J1454" t="inlineStr">
        <is>
          <t>0</t>
        </is>
      </c>
      <c r="L1454" t="inlineStr">
        <is>
          <t>Gulf Breeze, FL : Academic International Press, 1992-</t>
        </is>
      </c>
      <c r="M1454" t="inlineStr">
        <is>
          <t>1992</t>
        </is>
      </c>
      <c r="O1454" t="inlineStr">
        <is>
          <t>eng</t>
        </is>
      </c>
      <c r="P1454" t="inlineStr">
        <is>
          <t>flu</t>
        </is>
      </c>
      <c r="R1454" t="inlineStr">
        <is>
          <t xml:space="preserve">GV </t>
        </is>
      </c>
      <c r="S1454" t="n">
        <v>1</v>
      </c>
      <c r="T1454" t="n">
        <v>10</v>
      </c>
      <c r="U1454" t="inlineStr">
        <is>
          <t>2001-04-02</t>
        </is>
      </c>
      <c r="V1454" t="inlineStr">
        <is>
          <t>2005-05-03</t>
        </is>
      </c>
      <c r="W1454" t="inlineStr">
        <is>
          <t>2001-04-02</t>
        </is>
      </c>
      <c r="X1454" t="inlineStr">
        <is>
          <t>2005-05-03</t>
        </is>
      </c>
      <c r="Y1454" t="n">
        <v>347</v>
      </c>
      <c r="Z1454" t="n">
        <v>320</v>
      </c>
      <c r="AA1454" t="n">
        <v>367</v>
      </c>
      <c r="AB1454" t="n">
        <v>4</v>
      </c>
      <c r="AC1454" t="n">
        <v>4</v>
      </c>
      <c r="AD1454" t="n">
        <v>18</v>
      </c>
      <c r="AE1454" t="n">
        <v>21</v>
      </c>
      <c r="AF1454" t="n">
        <v>6</v>
      </c>
      <c r="AG1454" t="n">
        <v>8</v>
      </c>
      <c r="AH1454" t="n">
        <v>3</v>
      </c>
      <c r="AI1454" t="n">
        <v>3</v>
      </c>
      <c r="AJ1454" t="n">
        <v>8</v>
      </c>
      <c r="AK1454" t="n">
        <v>9</v>
      </c>
      <c r="AL1454" t="n">
        <v>3</v>
      </c>
      <c r="AM1454" t="n">
        <v>3</v>
      </c>
      <c r="AN1454" t="n">
        <v>0</v>
      </c>
      <c r="AO1454" t="n">
        <v>0</v>
      </c>
      <c r="AP1454" t="inlineStr">
        <is>
          <t>No</t>
        </is>
      </c>
      <c r="AQ1454" t="inlineStr">
        <is>
          <t>Yes</t>
        </is>
      </c>
      <c r="AR1454">
        <f>HYPERLINK("http://catalog.hathitrust.org/Record/003066639","HathiTrust Record")</f>
        <v/>
      </c>
      <c r="AS1454">
        <f>HYPERLINK("https://creighton-primo.hosted.exlibrisgroup.com/primo-explore/search?tab=default_tab&amp;search_scope=EVERYTHING&amp;vid=01CRU&amp;lang=en_US&amp;offset=0&amp;query=any,contains,991003513539702656","Catalog Record")</f>
        <v/>
      </c>
      <c r="AT1454">
        <f>HYPERLINK("http://www.worldcat.org/oclc/26313819","WorldCat Record")</f>
        <v/>
      </c>
      <c r="AU1454" t="inlineStr">
        <is>
          <t>949978449:eng</t>
        </is>
      </c>
      <c r="AV1454" t="inlineStr">
        <is>
          <t>26313819</t>
        </is>
      </c>
      <c r="AW1454" t="inlineStr">
        <is>
          <t>991003513539702656</t>
        </is>
      </c>
      <c r="AX1454" t="inlineStr">
        <is>
          <t>991003513539702656</t>
        </is>
      </c>
      <c r="AY1454" t="inlineStr">
        <is>
          <t>2261674600002656</t>
        </is>
      </c>
      <c r="AZ1454" t="inlineStr">
        <is>
          <t>BOOK</t>
        </is>
      </c>
      <c r="BB1454" t="inlineStr">
        <is>
          <t>9780875691350</t>
        </is>
      </c>
      <c r="BC1454" t="inlineStr">
        <is>
          <t>32285004309331</t>
        </is>
      </c>
      <c r="BD1454" t="inlineStr">
        <is>
          <t>893881241</t>
        </is>
      </c>
    </row>
    <row r="1455">
      <c r="A1455" t="inlineStr">
        <is>
          <t>No</t>
        </is>
      </c>
      <c r="B1455" t="inlineStr">
        <is>
          <t>GV581 .S655 1992</t>
        </is>
      </c>
      <c r="C1455" t="inlineStr">
        <is>
          <t>0                      GV 0581000S  655         1992</t>
        </is>
      </c>
      <c r="D1455" t="inlineStr">
        <is>
          <t>Sports in North America : a documentary history / edited by Thomas L. Altherr.</t>
        </is>
      </c>
      <c r="E1455" t="inlineStr">
        <is>
          <t>V. 1 PT. 2</t>
        </is>
      </c>
      <c r="F1455" t="inlineStr">
        <is>
          <t>Yes</t>
        </is>
      </c>
      <c r="G1455" t="inlineStr">
        <is>
          <t>1</t>
        </is>
      </c>
      <c r="H1455" t="inlineStr">
        <is>
          <t>No</t>
        </is>
      </c>
      <c r="I1455" t="inlineStr">
        <is>
          <t>No</t>
        </is>
      </c>
      <c r="J1455" t="inlineStr">
        <is>
          <t>0</t>
        </is>
      </c>
      <c r="L1455" t="inlineStr">
        <is>
          <t>Gulf Breeze, FL : Academic International Press, 1992-</t>
        </is>
      </c>
      <c r="M1455" t="inlineStr">
        <is>
          <t>1992</t>
        </is>
      </c>
      <c r="O1455" t="inlineStr">
        <is>
          <t>eng</t>
        </is>
      </c>
      <c r="P1455" t="inlineStr">
        <is>
          <t>flu</t>
        </is>
      </c>
      <c r="R1455" t="inlineStr">
        <is>
          <t xml:space="preserve">GV </t>
        </is>
      </c>
      <c r="S1455" t="n">
        <v>1</v>
      </c>
      <c r="T1455" t="n">
        <v>10</v>
      </c>
      <c r="U1455" t="inlineStr">
        <is>
          <t>2001-04-02</t>
        </is>
      </c>
      <c r="V1455" t="inlineStr">
        <is>
          <t>2005-05-03</t>
        </is>
      </c>
      <c r="W1455" t="inlineStr">
        <is>
          <t>2001-04-02</t>
        </is>
      </c>
      <c r="X1455" t="inlineStr">
        <is>
          <t>2005-05-03</t>
        </is>
      </c>
      <c r="Y1455" t="n">
        <v>347</v>
      </c>
      <c r="Z1455" t="n">
        <v>320</v>
      </c>
      <c r="AA1455" t="n">
        <v>367</v>
      </c>
      <c r="AB1455" t="n">
        <v>4</v>
      </c>
      <c r="AC1455" t="n">
        <v>4</v>
      </c>
      <c r="AD1455" t="n">
        <v>18</v>
      </c>
      <c r="AE1455" t="n">
        <v>21</v>
      </c>
      <c r="AF1455" t="n">
        <v>6</v>
      </c>
      <c r="AG1455" t="n">
        <v>8</v>
      </c>
      <c r="AH1455" t="n">
        <v>3</v>
      </c>
      <c r="AI1455" t="n">
        <v>3</v>
      </c>
      <c r="AJ1455" t="n">
        <v>8</v>
      </c>
      <c r="AK1455" t="n">
        <v>9</v>
      </c>
      <c r="AL1455" t="n">
        <v>3</v>
      </c>
      <c r="AM1455" t="n">
        <v>3</v>
      </c>
      <c r="AN1455" t="n">
        <v>0</v>
      </c>
      <c r="AO1455" t="n">
        <v>0</v>
      </c>
      <c r="AP1455" t="inlineStr">
        <is>
          <t>No</t>
        </is>
      </c>
      <c r="AQ1455" t="inlineStr">
        <is>
          <t>Yes</t>
        </is>
      </c>
      <c r="AR1455">
        <f>HYPERLINK("http://catalog.hathitrust.org/Record/003066639","HathiTrust Record")</f>
        <v/>
      </c>
      <c r="AS1455">
        <f>HYPERLINK("https://creighton-primo.hosted.exlibrisgroup.com/primo-explore/search?tab=default_tab&amp;search_scope=EVERYTHING&amp;vid=01CRU&amp;lang=en_US&amp;offset=0&amp;query=any,contains,991003513539702656","Catalog Record")</f>
        <v/>
      </c>
      <c r="AT1455">
        <f>HYPERLINK("http://www.worldcat.org/oclc/26313819","WorldCat Record")</f>
        <v/>
      </c>
      <c r="AU1455" t="inlineStr">
        <is>
          <t>949978449:eng</t>
        </is>
      </c>
      <c r="AV1455" t="inlineStr">
        <is>
          <t>26313819</t>
        </is>
      </c>
      <c r="AW1455" t="inlineStr">
        <is>
          <t>991003513539702656</t>
        </is>
      </c>
      <c r="AX1455" t="inlineStr">
        <is>
          <t>991003513539702656</t>
        </is>
      </c>
      <c r="AY1455" t="inlineStr">
        <is>
          <t>2261674600002656</t>
        </is>
      </c>
      <c r="AZ1455" t="inlineStr">
        <is>
          <t>BOOK</t>
        </is>
      </c>
      <c r="BB1455" t="inlineStr">
        <is>
          <t>9780875691350</t>
        </is>
      </c>
      <c r="BC1455" t="inlineStr">
        <is>
          <t>32285004309273</t>
        </is>
      </c>
      <c r="BD1455" t="inlineStr">
        <is>
          <t>893887545</t>
        </is>
      </c>
    </row>
    <row r="1456">
      <c r="A1456" t="inlineStr">
        <is>
          <t>No</t>
        </is>
      </c>
      <c r="B1456" t="inlineStr">
        <is>
          <t>GV581 .S655 1992</t>
        </is>
      </c>
      <c r="C1456" t="inlineStr">
        <is>
          <t>0                      GV 0581000S  655         1992</t>
        </is>
      </c>
      <c r="D1456" t="inlineStr">
        <is>
          <t>Sports in North America : a documentary history / edited by Thomas L. Altherr.</t>
        </is>
      </c>
      <c r="E1456" t="inlineStr">
        <is>
          <t>V. 5</t>
        </is>
      </c>
      <c r="F1456" t="inlineStr">
        <is>
          <t>Yes</t>
        </is>
      </c>
      <c r="G1456" t="inlineStr">
        <is>
          <t>1</t>
        </is>
      </c>
      <c r="H1456" t="inlineStr">
        <is>
          <t>No</t>
        </is>
      </c>
      <c r="I1456" t="inlineStr">
        <is>
          <t>No</t>
        </is>
      </c>
      <c r="J1456" t="inlineStr">
        <is>
          <t>0</t>
        </is>
      </c>
      <c r="L1456" t="inlineStr">
        <is>
          <t>Gulf Breeze, FL : Academic International Press, 1992-</t>
        </is>
      </c>
      <c r="M1456" t="inlineStr">
        <is>
          <t>1992</t>
        </is>
      </c>
      <c r="O1456" t="inlineStr">
        <is>
          <t>eng</t>
        </is>
      </c>
      <c r="P1456" t="inlineStr">
        <is>
          <t>flu</t>
        </is>
      </c>
      <c r="R1456" t="inlineStr">
        <is>
          <t xml:space="preserve">GV </t>
        </is>
      </c>
      <c r="S1456" t="n">
        <v>1</v>
      </c>
      <c r="T1456" t="n">
        <v>10</v>
      </c>
      <c r="U1456" t="inlineStr">
        <is>
          <t>2001-04-02</t>
        </is>
      </c>
      <c r="V1456" t="inlineStr">
        <is>
          <t>2005-05-03</t>
        </is>
      </c>
      <c r="W1456" t="inlineStr">
        <is>
          <t>2001-04-02</t>
        </is>
      </c>
      <c r="X1456" t="inlineStr">
        <is>
          <t>2005-05-03</t>
        </is>
      </c>
      <c r="Y1456" t="n">
        <v>347</v>
      </c>
      <c r="Z1456" t="n">
        <v>320</v>
      </c>
      <c r="AA1456" t="n">
        <v>367</v>
      </c>
      <c r="AB1456" t="n">
        <v>4</v>
      </c>
      <c r="AC1456" t="n">
        <v>4</v>
      </c>
      <c r="AD1456" t="n">
        <v>18</v>
      </c>
      <c r="AE1456" t="n">
        <v>21</v>
      </c>
      <c r="AF1456" t="n">
        <v>6</v>
      </c>
      <c r="AG1456" t="n">
        <v>8</v>
      </c>
      <c r="AH1456" t="n">
        <v>3</v>
      </c>
      <c r="AI1456" t="n">
        <v>3</v>
      </c>
      <c r="AJ1456" t="n">
        <v>8</v>
      </c>
      <c r="AK1456" t="n">
        <v>9</v>
      </c>
      <c r="AL1456" t="n">
        <v>3</v>
      </c>
      <c r="AM1456" t="n">
        <v>3</v>
      </c>
      <c r="AN1456" t="n">
        <v>0</v>
      </c>
      <c r="AO1456" t="n">
        <v>0</v>
      </c>
      <c r="AP1456" t="inlineStr">
        <is>
          <t>No</t>
        </is>
      </c>
      <c r="AQ1456" t="inlineStr">
        <is>
          <t>Yes</t>
        </is>
      </c>
      <c r="AR1456">
        <f>HYPERLINK("http://catalog.hathitrust.org/Record/003066639","HathiTrust Record")</f>
        <v/>
      </c>
      <c r="AS1456">
        <f>HYPERLINK("https://creighton-primo.hosted.exlibrisgroup.com/primo-explore/search?tab=default_tab&amp;search_scope=EVERYTHING&amp;vid=01CRU&amp;lang=en_US&amp;offset=0&amp;query=any,contains,991003513539702656","Catalog Record")</f>
        <v/>
      </c>
      <c r="AT1456">
        <f>HYPERLINK("http://www.worldcat.org/oclc/26313819","WorldCat Record")</f>
        <v/>
      </c>
      <c r="AU1456" t="inlineStr">
        <is>
          <t>949978449:eng</t>
        </is>
      </c>
      <c r="AV1456" t="inlineStr">
        <is>
          <t>26313819</t>
        </is>
      </c>
      <c r="AW1456" t="inlineStr">
        <is>
          <t>991003513539702656</t>
        </is>
      </c>
      <c r="AX1456" t="inlineStr">
        <is>
          <t>991003513539702656</t>
        </is>
      </c>
      <c r="AY1456" t="inlineStr">
        <is>
          <t>2261674600002656</t>
        </is>
      </c>
      <c r="AZ1456" t="inlineStr">
        <is>
          <t>BOOK</t>
        </is>
      </c>
      <c r="BB1456" t="inlineStr">
        <is>
          <t>9780875691350</t>
        </is>
      </c>
      <c r="BC1456" t="inlineStr">
        <is>
          <t>32285004309315</t>
        </is>
      </c>
      <c r="BD1456" t="inlineStr">
        <is>
          <t>893881246</t>
        </is>
      </c>
    </row>
    <row r="1457">
      <c r="A1457" t="inlineStr">
        <is>
          <t>No</t>
        </is>
      </c>
      <c r="B1457" t="inlineStr">
        <is>
          <t>GV581 .S655 1992</t>
        </is>
      </c>
      <c r="C1457" t="inlineStr">
        <is>
          <t>0                      GV 0581000S  655         1992</t>
        </is>
      </c>
      <c r="D1457" t="inlineStr">
        <is>
          <t>Sports in North America : a documentary history / edited by Thomas L. Altherr.</t>
        </is>
      </c>
      <c r="E1457" t="inlineStr">
        <is>
          <t>V. 1 PT. 1</t>
        </is>
      </c>
      <c r="F1457" t="inlineStr">
        <is>
          <t>Yes</t>
        </is>
      </c>
      <c r="G1457" t="inlineStr">
        <is>
          <t>1</t>
        </is>
      </c>
      <c r="H1457" t="inlineStr">
        <is>
          <t>No</t>
        </is>
      </c>
      <c r="I1457" t="inlineStr">
        <is>
          <t>No</t>
        </is>
      </c>
      <c r="J1457" t="inlineStr">
        <is>
          <t>0</t>
        </is>
      </c>
      <c r="L1457" t="inlineStr">
        <is>
          <t>Gulf Breeze, FL : Academic International Press, 1992-</t>
        </is>
      </c>
      <c r="M1457" t="inlineStr">
        <is>
          <t>1992</t>
        </is>
      </c>
      <c r="O1457" t="inlineStr">
        <is>
          <t>eng</t>
        </is>
      </c>
      <c r="P1457" t="inlineStr">
        <is>
          <t>flu</t>
        </is>
      </c>
      <c r="R1457" t="inlineStr">
        <is>
          <t xml:space="preserve">GV </t>
        </is>
      </c>
      <c r="S1457" t="n">
        <v>2</v>
      </c>
      <c r="T1457" t="n">
        <v>10</v>
      </c>
      <c r="U1457" t="inlineStr">
        <is>
          <t>2001-05-16</t>
        </is>
      </c>
      <c r="V1457" t="inlineStr">
        <is>
          <t>2005-05-03</t>
        </is>
      </c>
      <c r="W1457" t="inlineStr">
        <is>
          <t>2001-04-02</t>
        </is>
      </c>
      <c r="X1457" t="inlineStr">
        <is>
          <t>2005-05-03</t>
        </is>
      </c>
      <c r="Y1457" t="n">
        <v>347</v>
      </c>
      <c r="Z1457" t="n">
        <v>320</v>
      </c>
      <c r="AA1457" t="n">
        <v>367</v>
      </c>
      <c r="AB1457" t="n">
        <v>4</v>
      </c>
      <c r="AC1457" t="n">
        <v>4</v>
      </c>
      <c r="AD1457" t="n">
        <v>18</v>
      </c>
      <c r="AE1457" t="n">
        <v>21</v>
      </c>
      <c r="AF1457" t="n">
        <v>6</v>
      </c>
      <c r="AG1457" t="n">
        <v>8</v>
      </c>
      <c r="AH1457" t="n">
        <v>3</v>
      </c>
      <c r="AI1457" t="n">
        <v>3</v>
      </c>
      <c r="AJ1457" t="n">
        <v>8</v>
      </c>
      <c r="AK1457" t="n">
        <v>9</v>
      </c>
      <c r="AL1457" t="n">
        <v>3</v>
      </c>
      <c r="AM1457" t="n">
        <v>3</v>
      </c>
      <c r="AN1457" t="n">
        <v>0</v>
      </c>
      <c r="AO1457" t="n">
        <v>0</v>
      </c>
      <c r="AP1457" t="inlineStr">
        <is>
          <t>No</t>
        </is>
      </c>
      <c r="AQ1457" t="inlineStr">
        <is>
          <t>Yes</t>
        </is>
      </c>
      <c r="AR1457">
        <f>HYPERLINK("http://catalog.hathitrust.org/Record/003066639","HathiTrust Record")</f>
        <v/>
      </c>
      <c r="AS1457">
        <f>HYPERLINK("https://creighton-primo.hosted.exlibrisgroup.com/primo-explore/search?tab=default_tab&amp;search_scope=EVERYTHING&amp;vid=01CRU&amp;lang=en_US&amp;offset=0&amp;query=any,contains,991003513539702656","Catalog Record")</f>
        <v/>
      </c>
      <c r="AT1457">
        <f>HYPERLINK("http://www.worldcat.org/oclc/26313819","WorldCat Record")</f>
        <v/>
      </c>
      <c r="AU1457" t="inlineStr">
        <is>
          <t>949978449:eng</t>
        </is>
      </c>
      <c r="AV1457" t="inlineStr">
        <is>
          <t>26313819</t>
        </is>
      </c>
      <c r="AW1457" t="inlineStr">
        <is>
          <t>991003513539702656</t>
        </is>
      </c>
      <c r="AX1457" t="inlineStr">
        <is>
          <t>991003513539702656</t>
        </is>
      </c>
      <c r="AY1457" t="inlineStr">
        <is>
          <t>2261674600002656</t>
        </is>
      </c>
      <c r="AZ1457" t="inlineStr">
        <is>
          <t>BOOK</t>
        </is>
      </c>
      <c r="BB1457" t="inlineStr">
        <is>
          <t>9780875691350</t>
        </is>
      </c>
      <c r="BC1457" t="inlineStr">
        <is>
          <t>32285004309265</t>
        </is>
      </c>
      <c r="BD1457" t="inlineStr">
        <is>
          <t>893881244</t>
        </is>
      </c>
    </row>
    <row r="1458">
      <c r="A1458" t="inlineStr">
        <is>
          <t>No</t>
        </is>
      </c>
      <c r="B1458" t="inlineStr">
        <is>
          <t>GV583 .A56 1998</t>
        </is>
      </c>
      <c r="C1458" t="inlineStr">
        <is>
          <t>0                      GV 0583000A  56          1998</t>
        </is>
      </c>
      <c r="D1458" t="inlineStr">
        <is>
          <t>African Americans in sport : contemporary themes / edited by Gary A. Sailes.</t>
        </is>
      </c>
      <c r="F1458" t="inlineStr">
        <is>
          <t>No</t>
        </is>
      </c>
      <c r="G1458" t="inlineStr">
        <is>
          <t>1</t>
        </is>
      </c>
      <c r="H1458" t="inlineStr">
        <is>
          <t>No</t>
        </is>
      </c>
      <c r="I1458" t="inlineStr">
        <is>
          <t>No</t>
        </is>
      </c>
      <c r="J1458" t="inlineStr">
        <is>
          <t>0</t>
        </is>
      </c>
      <c r="L1458" t="inlineStr">
        <is>
          <t>New Brunswick, N.J. : Transaction Publishers, c1998.</t>
        </is>
      </c>
      <c r="M1458" t="inlineStr">
        <is>
          <t>1998</t>
        </is>
      </c>
      <c r="O1458" t="inlineStr">
        <is>
          <t>eng</t>
        </is>
      </c>
      <c r="P1458" t="inlineStr">
        <is>
          <t>nju</t>
        </is>
      </c>
      <c r="R1458" t="inlineStr">
        <is>
          <t xml:space="preserve">GV </t>
        </is>
      </c>
      <c r="S1458" t="n">
        <v>5</v>
      </c>
      <c r="T1458" t="n">
        <v>5</v>
      </c>
      <c r="U1458" t="inlineStr">
        <is>
          <t>2003-06-03</t>
        </is>
      </c>
      <c r="V1458" t="inlineStr">
        <is>
          <t>2003-06-03</t>
        </is>
      </c>
      <c r="W1458" t="inlineStr">
        <is>
          <t>1998-09-15</t>
        </is>
      </c>
      <c r="X1458" t="inlineStr">
        <is>
          <t>1998-09-15</t>
        </is>
      </c>
      <c r="Y1458" t="n">
        <v>259</v>
      </c>
      <c r="Z1458" t="n">
        <v>233</v>
      </c>
      <c r="AA1458" t="n">
        <v>255</v>
      </c>
      <c r="AB1458" t="n">
        <v>4</v>
      </c>
      <c r="AC1458" t="n">
        <v>4</v>
      </c>
      <c r="AD1458" t="n">
        <v>11</v>
      </c>
      <c r="AE1458" t="n">
        <v>11</v>
      </c>
      <c r="AF1458" t="n">
        <v>3</v>
      </c>
      <c r="AG1458" t="n">
        <v>3</v>
      </c>
      <c r="AH1458" t="n">
        <v>3</v>
      </c>
      <c r="AI1458" t="n">
        <v>3</v>
      </c>
      <c r="AJ1458" t="n">
        <v>5</v>
      </c>
      <c r="AK1458" t="n">
        <v>5</v>
      </c>
      <c r="AL1458" t="n">
        <v>3</v>
      </c>
      <c r="AM1458" t="n">
        <v>3</v>
      </c>
      <c r="AN1458" t="n">
        <v>0</v>
      </c>
      <c r="AO1458" t="n">
        <v>0</v>
      </c>
      <c r="AP1458" t="inlineStr">
        <is>
          <t>No</t>
        </is>
      </c>
      <c r="AQ1458" t="inlineStr">
        <is>
          <t>No</t>
        </is>
      </c>
      <c r="AS1458">
        <f>HYPERLINK("https://creighton-primo.hosted.exlibrisgroup.com/primo-explore/search?tab=default_tab&amp;search_scope=EVERYTHING&amp;vid=01CRU&amp;lang=en_US&amp;offset=0&amp;query=any,contains,991002904389702656","Catalog Record")</f>
        <v/>
      </c>
      <c r="AT1458">
        <f>HYPERLINK("http://www.worldcat.org/oclc/38304486","WorldCat Record")</f>
        <v/>
      </c>
      <c r="AU1458" t="inlineStr">
        <is>
          <t>891014012:eng</t>
        </is>
      </c>
      <c r="AV1458" t="inlineStr">
        <is>
          <t>38304486</t>
        </is>
      </c>
      <c r="AW1458" t="inlineStr">
        <is>
          <t>991002904389702656</t>
        </is>
      </c>
      <c r="AX1458" t="inlineStr">
        <is>
          <t>991002904389702656</t>
        </is>
      </c>
      <c r="AY1458" t="inlineStr">
        <is>
          <t>2258596110002656</t>
        </is>
      </c>
      <c r="AZ1458" t="inlineStr">
        <is>
          <t>BOOK</t>
        </is>
      </c>
      <c r="BB1458" t="inlineStr">
        <is>
          <t>9780765804402</t>
        </is>
      </c>
      <c r="BC1458" t="inlineStr">
        <is>
          <t>32285003468088</t>
        </is>
      </c>
      <c r="BD1458" t="inlineStr">
        <is>
          <t>893717063</t>
        </is>
      </c>
    </row>
    <row r="1459">
      <c r="A1459" t="inlineStr">
        <is>
          <t>No</t>
        </is>
      </c>
      <c r="B1459" t="inlineStr">
        <is>
          <t>GV583 .H85 2007</t>
        </is>
      </c>
      <c r="C1459" t="inlineStr">
        <is>
          <t>0                      GV 0583000H  85          2007</t>
        </is>
      </c>
      <c r="D1459" t="inlineStr">
        <is>
          <t>Issues in contemporary athletics / James H. Humphrey, editor.</t>
        </is>
      </c>
      <c r="F1459" t="inlineStr">
        <is>
          <t>No</t>
        </is>
      </c>
      <c r="G1459" t="inlineStr">
        <is>
          <t>1</t>
        </is>
      </c>
      <c r="H1459" t="inlineStr">
        <is>
          <t>No</t>
        </is>
      </c>
      <c r="I1459" t="inlineStr">
        <is>
          <t>No</t>
        </is>
      </c>
      <c r="J1459" t="inlineStr">
        <is>
          <t>0</t>
        </is>
      </c>
      <c r="L1459" t="inlineStr">
        <is>
          <t>New York : Nova Science Publishers, c2007.</t>
        </is>
      </c>
      <c r="M1459" t="inlineStr">
        <is>
          <t>2007</t>
        </is>
      </c>
      <c r="O1459" t="inlineStr">
        <is>
          <t>eng</t>
        </is>
      </c>
      <c r="P1459" t="inlineStr">
        <is>
          <t>nyu</t>
        </is>
      </c>
      <c r="R1459" t="inlineStr">
        <is>
          <t xml:space="preserve">GV </t>
        </is>
      </c>
      <c r="S1459" t="n">
        <v>5</v>
      </c>
      <c r="T1459" t="n">
        <v>5</v>
      </c>
      <c r="U1459" t="inlineStr">
        <is>
          <t>2010-10-10</t>
        </is>
      </c>
      <c r="V1459" t="inlineStr">
        <is>
          <t>2010-10-10</t>
        </is>
      </c>
      <c r="W1459" t="inlineStr">
        <is>
          <t>2008-08-06</t>
        </is>
      </c>
      <c r="X1459" t="inlineStr">
        <is>
          <t>2008-08-06</t>
        </is>
      </c>
      <c r="Y1459" t="n">
        <v>74</v>
      </c>
      <c r="Z1459" t="n">
        <v>59</v>
      </c>
      <c r="AA1459" t="n">
        <v>59</v>
      </c>
      <c r="AB1459" t="n">
        <v>1</v>
      </c>
      <c r="AC1459" t="n">
        <v>1</v>
      </c>
      <c r="AD1459" t="n">
        <v>0</v>
      </c>
      <c r="AE1459" t="n">
        <v>0</v>
      </c>
      <c r="AF1459" t="n">
        <v>0</v>
      </c>
      <c r="AG1459" t="n">
        <v>0</v>
      </c>
      <c r="AH1459" t="n">
        <v>0</v>
      </c>
      <c r="AI1459" t="n">
        <v>0</v>
      </c>
      <c r="AJ1459" t="n">
        <v>0</v>
      </c>
      <c r="AK1459" t="n">
        <v>0</v>
      </c>
      <c r="AL1459" t="n">
        <v>0</v>
      </c>
      <c r="AM1459" t="n">
        <v>0</v>
      </c>
      <c r="AN1459" t="n">
        <v>0</v>
      </c>
      <c r="AO1459" t="n">
        <v>0</v>
      </c>
      <c r="AP1459" t="inlineStr">
        <is>
          <t>No</t>
        </is>
      </c>
      <c r="AQ1459" t="inlineStr">
        <is>
          <t>No</t>
        </is>
      </c>
      <c r="AS1459">
        <f>HYPERLINK("https://creighton-primo.hosted.exlibrisgroup.com/primo-explore/search?tab=default_tab&amp;search_scope=EVERYTHING&amp;vid=01CRU&amp;lang=en_US&amp;offset=0&amp;query=any,contains,991005218749702656","Catalog Record")</f>
        <v/>
      </c>
      <c r="AT1459">
        <f>HYPERLINK("http://www.worldcat.org/oclc/61200642","WorldCat Record")</f>
        <v/>
      </c>
      <c r="AU1459" t="inlineStr">
        <is>
          <t>1120996:eng</t>
        </is>
      </c>
      <c r="AV1459" t="inlineStr">
        <is>
          <t>61200642</t>
        </is>
      </c>
      <c r="AW1459" t="inlineStr">
        <is>
          <t>991005218749702656</t>
        </is>
      </c>
      <c r="AX1459" t="inlineStr">
        <is>
          <t>991005218749702656</t>
        </is>
      </c>
      <c r="AY1459" t="inlineStr">
        <is>
          <t>2258795090002656</t>
        </is>
      </c>
      <c r="AZ1459" t="inlineStr">
        <is>
          <t>BOOK</t>
        </is>
      </c>
      <c r="BB1459" t="inlineStr">
        <is>
          <t>9781594545955</t>
        </is>
      </c>
      <c r="BC1459" t="inlineStr">
        <is>
          <t>32285005451686</t>
        </is>
      </c>
      <c r="BD1459" t="inlineStr">
        <is>
          <t>893527126</t>
        </is>
      </c>
    </row>
    <row r="1460">
      <c r="A1460" t="inlineStr">
        <is>
          <t>No</t>
        </is>
      </c>
      <c r="B1460" t="inlineStr">
        <is>
          <t>GV583 .T84</t>
        </is>
      </c>
      <c r="C1460" t="inlineStr">
        <is>
          <t>0                      GV 0583000T  84</t>
        </is>
      </c>
      <c r="D1460" t="inlineStr">
        <is>
          <t>200 years of sport in America : a pageant of a nation at play / by Wells Twombly ; creative director, David Boss ; editors, Jeremy Friedlander, John Wiebusch ; designer, Amy Yutani ; art research consultant, Enid Klass.</t>
        </is>
      </c>
      <c r="F1460" t="inlineStr">
        <is>
          <t>No</t>
        </is>
      </c>
      <c r="G1460" t="inlineStr">
        <is>
          <t>1</t>
        </is>
      </c>
      <c r="H1460" t="inlineStr">
        <is>
          <t>No</t>
        </is>
      </c>
      <c r="I1460" t="inlineStr">
        <is>
          <t>No</t>
        </is>
      </c>
      <c r="J1460" t="inlineStr">
        <is>
          <t>0</t>
        </is>
      </c>
      <c r="K1460" t="inlineStr">
        <is>
          <t>Twombly, Wells.</t>
        </is>
      </c>
      <c r="L1460" t="inlineStr">
        <is>
          <t>New York : McGraw-Hill, 1976.</t>
        </is>
      </c>
      <c r="M1460" t="inlineStr">
        <is>
          <t>1976</t>
        </is>
      </c>
      <c r="O1460" t="inlineStr">
        <is>
          <t>eng</t>
        </is>
      </c>
      <c r="P1460" t="inlineStr">
        <is>
          <t>nyu</t>
        </is>
      </c>
      <c r="R1460" t="inlineStr">
        <is>
          <t xml:space="preserve">GV </t>
        </is>
      </c>
      <c r="S1460" t="n">
        <v>2</v>
      </c>
      <c r="T1460" t="n">
        <v>2</v>
      </c>
      <c r="U1460" t="inlineStr">
        <is>
          <t>2006-04-30</t>
        </is>
      </c>
      <c r="V1460" t="inlineStr">
        <is>
          <t>2006-04-30</t>
        </is>
      </c>
      <c r="W1460" t="inlineStr">
        <is>
          <t>1997-06-02</t>
        </is>
      </c>
      <c r="X1460" t="inlineStr">
        <is>
          <t>1997-06-02</t>
        </is>
      </c>
      <c r="Y1460" t="n">
        <v>880</v>
      </c>
      <c r="Z1460" t="n">
        <v>842</v>
      </c>
      <c r="AA1460" t="n">
        <v>860</v>
      </c>
      <c r="AB1460" t="n">
        <v>9</v>
      </c>
      <c r="AC1460" t="n">
        <v>9</v>
      </c>
      <c r="AD1460" t="n">
        <v>16</v>
      </c>
      <c r="AE1460" t="n">
        <v>16</v>
      </c>
      <c r="AF1460" t="n">
        <v>7</v>
      </c>
      <c r="AG1460" t="n">
        <v>7</v>
      </c>
      <c r="AH1460" t="n">
        <v>0</v>
      </c>
      <c r="AI1460" t="n">
        <v>0</v>
      </c>
      <c r="AJ1460" t="n">
        <v>5</v>
      </c>
      <c r="AK1460" t="n">
        <v>5</v>
      </c>
      <c r="AL1460" t="n">
        <v>5</v>
      </c>
      <c r="AM1460" t="n">
        <v>5</v>
      </c>
      <c r="AN1460" t="n">
        <v>0</v>
      </c>
      <c r="AO1460" t="n">
        <v>0</v>
      </c>
      <c r="AP1460" t="inlineStr">
        <is>
          <t>No</t>
        </is>
      </c>
      <c r="AQ1460" t="inlineStr">
        <is>
          <t>Yes</t>
        </is>
      </c>
      <c r="AR1460">
        <f>HYPERLINK("http://catalog.hathitrust.org/Record/000702801","HathiTrust Record")</f>
        <v/>
      </c>
      <c r="AS1460">
        <f>HYPERLINK("https://creighton-primo.hosted.exlibrisgroup.com/primo-explore/search?tab=default_tab&amp;search_scope=EVERYTHING&amp;vid=01CRU&amp;lang=en_US&amp;offset=0&amp;query=any,contains,991004042419702656","Catalog Record")</f>
        <v/>
      </c>
      <c r="AT1460">
        <f>HYPERLINK("http://www.worldcat.org/oclc/2189343","WorldCat Record")</f>
        <v/>
      </c>
      <c r="AU1460" t="inlineStr">
        <is>
          <t>4286788:eng</t>
        </is>
      </c>
      <c r="AV1460" t="inlineStr">
        <is>
          <t>2189343</t>
        </is>
      </c>
      <c r="AW1460" t="inlineStr">
        <is>
          <t>991004042419702656</t>
        </is>
      </c>
      <c r="AX1460" t="inlineStr">
        <is>
          <t>991004042419702656</t>
        </is>
      </c>
      <c r="AY1460" t="inlineStr">
        <is>
          <t>2265499690002656</t>
        </is>
      </c>
      <c r="AZ1460" t="inlineStr">
        <is>
          <t>BOOK</t>
        </is>
      </c>
      <c r="BB1460" t="inlineStr">
        <is>
          <t>9780070656406</t>
        </is>
      </c>
      <c r="BC1460" t="inlineStr">
        <is>
          <t>32285002700358</t>
        </is>
      </c>
      <c r="BD1460" t="inlineStr">
        <is>
          <t>893788205</t>
        </is>
      </c>
    </row>
    <row r="1461">
      <c r="A1461" t="inlineStr">
        <is>
          <t>No</t>
        </is>
      </c>
      <c r="B1461" t="inlineStr">
        <is>
          <t>GV583 .W545 1997</t>
        </is>
      </c>
      <c r="C1461" t="inlineStr">
        <is>
          <t>0                      GV 0583000W  545         1997</t>
        </is>
      </c>
      <c r="D1461" t="inlineStr">
        <is>
          <t>Glory bound : Black athletes in a White America / David K. Wiggins.</t>
        </is>
      </c>
      <c r="F1461" t="inlineStr">
        <is>
          <t>No</t>
        </is>
      </c>
      <c r="G1461" t="inlineStr">
        <is>
          <t>1</t>
        </is>
      </c>
      <c r="H1461" t="inlineStr">
        <is>
          <t>No</t>
        </is>
      </c>
      <c r="I1461" t="inlineStr">
        <is>
          <t>No</t>
        </is>
      </c>
      <c r="J1461" t="inlineStr">
        <is>
          <t>0</t>
        </is>
      </c>
      <c r="K1461" t="inlineStr">
        <is>
          <t>Wiggins, David Kenneth, 1951-</t>
        </is>
      </c>
      <c r="L1461" t="inlineStr">
        <is>
          <t>Syracuse, N.Y. : Syracuse University Press, c1997.</t>
        </is>
      </c>
      <c r="M1461" t="inlineStr">
        <is>
          <t>1997</t>
        </is>
      </c>
      <c r="N1461" t="inlineStr">
        <is>
          <t>1st ed.</t>
        </is>
      </c>
      <c r="O1461" t="inlineStr">
        <is>
          <t>eng</t>
        </is>
      </c>
      <c r="P1461" t="inlineStr">
        <is>
          <t>nyu</t>
        </is>
      </c>
      <c r="Q1461" t="inlineStr">
        <is>
          <t>Sports and entertainment</t>
        </is>
      </c>
      <c r="R1461" t="inlineStr">
        <is>
          <t xml:space="preserve">GV </t>
        </is>
      </c>
      <c r="S1461" t="n">
        <v>8</v>
      </c>
      <c r="T1461" t="n">
        <v>8</v>
      </c>
      <c r="U1461" t="inlineStr">
        <is>
          <t>2008-03-17</t>
        </is>
      </c>
      <c r="V1461" t="inlineStr">
        <is>
          <t>2008-03-17</t>
        </is>
      </c>
      <c r="W1461" t="inlineStr">
        <is>
          <t>1998-05-07</t>
        </is>
      </c>
      <c r="X1461" t="inlineStr">
        <is>
          <t>1998-05-07</t>
        </is>
      </c>
      <c r="Y1461" t="n">
        <v>807</v>
      </c>
      <c r="Z1461" t="n">
        <v>749</v>
      </c>
      <c r="AA1461" t="n">
        <v>758</v>
      </c>
      <c r="AB1461" t="n">
        <v>6</v>
      </c>
      <c r="AC1461" t="n">
        <v>6</v>
      </c>
      <c r="AD1461" t="n">
        <v>36</v>
      </c>
      <c r="AE1461" t="n">
        <v>36</v>
      </c>
      <c r="AF1461" t="n">
        <v>18</v>
      </c>
      <c r="AG1461" t="n">
        <v>18</v>
      </c>
      <c r="AH1461" t="n">
        <v>7</v>
      </c>
      <c r="AI1461" t="n">
        <v>7</v>
      </c>
      <c r="AJ1461" t="n">
        <v>17</v>
      </c>
      <c r="AK1461" t="n">
        <v>17</v>
      </c>
      <c r="AL1461" t="n">
        <v>5</v>
      </c>
      <c r="AM1461" t="n">
        <v>5</v>
      </c>
      <c r="AN1461" t="n">
        <v>0</v>
      </c>
      <c r="AO1461" t="n">
        <v>0</v>
      </c>
      <c r="AP1461" t="inlineStr">
        <is>
          <t>No</t>
        </is>
      </c>
      <c r="AQ1461" t="inlineStr">
        <is>
          <t>Yes</t>
        </is>
      </c>
      <c r="AR1461">
        <f>HYPERLINK("http://catalog.hathitrust.org/Record/003159051","HathiTrust Record")</f>
        <v/>
      </c>
      <c r="AS1461">
        <f>HYPERLINK("https://creighton-primo.hosted.exlibrisgroup.com/primo-explore/search?tab=default_tab&amp;search_scope=EVERYTHING&amp;vid=01CRU&amp;lang=en_US&amp;offset=0&amp;query=any,contains,991002718719702656","Catalog Record")</f>
        <v/>
      </c>
      <c r="AT1461">
        <f>HYPERLINK("http://www.worldcat.org/oclc/35650773","WorldCat Record")</f>
        <v/>
      </c>
      <c r="AU1461" t="inlineStr">
        <is>
          <t>39933055:eng</t>
        </is>
      </c>
      <c r="AV1461" t="inlineStr">
        <is>
          <t>35650773</t>
        </is>
      </c>
      <c r="AW1461" t="inlineStr">
        <is>
          <t>991002718719702656</t>
        </is>
      </c>
      <c r="AX1461" t="inlineStr">
        <is>
          <t>991002718719702656</t>
        </is>
      </c>
      <c r="AY1461" t="inlineStr">
        <is>
          <t>2258279670002656</t>
        </is>
      </c>
      <c r="AZ1461" t="inlineStr">
        <is>
          <t>BOOK</t>
        </is>
      </c>
      <c r="BB1461" t="inlineStr">
        <is>
          <t>9780815627333</t>
        </is>
      </c>
      <c r="BC1461" t="inlineStr">
        <is>
          <t>32285003406989</t>
        </is>
      </c>
      <c r="BD1461" t="inlineStr">
        <is>
          <t>893591680</t>
        </is>
      </c>
    </row>
    <row r="1462">
      <c r="A1462" t="inlineStr">
        <is>
          <t>No</t>
        </is>
      </c>
      <c r="B1462" t="inlineStr">
        <is>
          <t>GV584.N8 G78 2001</t>
        </is>
      </c>
      <c r="C1462" t="inlineStr">
        <is>
          <t>0                      GV 0584000N  8                  G  78          2001</t>
        </is>
      </c>
      <c r="D1462" t="inlineStr">
        <is>
          <t>Learning to win : sports, education, and social change in twentieth-century North Carolina / Pamela Grundy.</t>
        </is>
      </c>
      <c r="F1462" t="inlineStr">
        <is>
          <t>No</t>
        </is>
      </c>
      <c r="G1462" t="inlineStr">
        <is>
          <t>1</t>
        </is>
      </c>
      <c r="H1462" t="inlineStr">
        <is>
          <t>No</t>
        </is>
      </c>
      <c r="I1462" t="inlineStr">
        <is>
          <t>No</t>
        </is>
      </c>
      <c r="J1462" t="inlineStr">
        <is>
          <t>0</t>
        </is>
      </c>
      <c r="K1462" t="inlineStr">
        <is>
          <t>Grundy, Pamela.</t>
        </is>
      </c>
      <c r="L1462" t="inlineStr">
        <is>
          <t>Chapel Hill : University of North Carolina Press, 2001.</t>
        </is>
      </c>
      <c r="M1462" t="inlineStr">
        <is>
          <t>2001</t>
        </is>
      </c>
      <c r="O1462" t="inlineStr">
        <is>
          <t>eng</t>
        </is>
      </c>
      <c r="P1462" t="inlineStr">
        <is>
          <t>ncu</t>
        </is>
      </c>
      <c r="Q1462" t="inlineStr">
        <is>
          <t>Fred W. Morrison series in Southern studies</t>
        </is>
      </c>
      <c r="R1462" t="inlineStr">
        <is>
          <t xml:space="preserve">GV </t>
        </is>
      </c>
      <c r="S1462" t="n">
        <v>5</v>
      </c>
      <c r="T1462" t="n">
        <v>5</v>
      </c>
      <c r="U1462" t="inlineStr">
        <is>
          <t>2006-08-10</t>
        </is>
      </c>
      <c r="V1462" t="inlineStr">
        <is>
          <t>2006-08-10</t>
        </is>
      </c>
      <c r="W1462" t="inlineStr">
        <is>
          <t>2002-04-25</t>
        </is>
      </c>
      <c r="X1462" t="inlineStr">
        <is>
          <t>2002-04-25</t>
        </is>
      </c>
      <c r="Y1462" t="n">
        <v>406</v>
      </c>
      <c r="Z1462" t="n">
        <v>376</v>
      </c>
      <c r="AA1462" t="n">
        <v>744</v>
      </c>
      <c r="AB1462" t="n">
        <v>3</v>
      </c>
      <c r="AC1462" t="n">
        <v>29</v>
      </c>
      <c r="AD1462" t="n">
        <v>17</v>
      </c>
      <c r="AE1462" t="n">
        <v>35</v>
      </c>
      <c r="AF1462" t="n">
        <v>8</v>
      </c>
      <c r="AG1462" t="n">
        <v>11</v>
      </c>
      <c r="AH1462" t="n">
        <v>5</v>
      </c>
      <c r="AI1462" t="n">
        <v>7</v>
      </c>
      <c r="AJ1462" t="n">
        <v>7</v>
      </c>
      <c r="AK1462" t="n">
        <v>11</v>
      </c>
      <c r="AL1462" t="n">
        <v>2</v>
      </c>
      <c r="AM1462" t="n">
        <v>13</v>
      </c>
      <c r="AN1462" t="n">
        <v>0</v>
      </c>
      <c r="AO1462" t="n">
        <v>0</v>
      </c>
      <c r="AP1462" t="inlineStr">
        <is>
          <t>No</t>
        </is>
      </c>
      <c r="AQ1462" t="inlineStr">
        <is>
          <t>Yes</t>
        </is>
      </c>
      <c r="AR1462">
        <f>HYPERLINK("http://catalog.hathitrust.org/Record/004176468","HathiTrust Record")</f>
        <v/>
      </c>
      <c r="AS1462">
        <f>HYPERLINK("https://creighton-primo.hosted.exlibrisgroup.com/primo-explore/search?tab=default_tab&amp;search_scope=EVERYTHING&amp;vid=01CRU&amp;lang=en_US&amp;offset=0&amp;query=any,contains,991003787389702656","Catalog Record")</f>
        <v/>
      </c>
      <c r="AT1462">
        <f>HYPERLINK("http://www.worldcat.org/oclc/45162082","WorldCat Record")</f>
        <v/>
      </c>
      <c r="AU1462" t="inlineStr">
        <is>
          <t>793125621:eng</t>
        </is>
      </c>
      <c r="AV1462" t="inlineStr">
        <is>
          <t>45162082</t>
        </is>
      </c>
      <c r="AW1462" t="inlineStr">
        <is>
          <t>991003787389702656</t>
        </is>
      </c>
      <c r="AX1462" t="inlineStr">
        <is>
          <t>991003787389702656</t>
        </is>
      </c>
      <c r="AY1462" t="inlineStr">
        <is>
          <t>2270010420002656</t>
        </is>
      </c>
      <c r="AZ1462" t="inlineStr">
        <is>
          <t>BOOK</t>
        </is>
      </c>
      <c r="BB1462" t="inlineStr">
        <is>
          <t>9780807826195</t>
        </is>
      </c>
      <c r="BC1462" t="inlineStr">
        <is>
          <t>32285004482690</t>
        </is>
      </c>
      <c r="BD1462" t="inlineStr">
        <is>
          <t>893781410</t>
        </is>
      </c>
    </row>
    <row r="1463">
      <c r="A1463" t="inlineStr">
        <is>
          <t>No</t>
        </is>
      </c>
      <c r="B1463" t="inlineStr">
        <is>
          <t>GV592.C82 P75 2002</t>
        </is>
      </c>
      <c r="C1463" t="inlineStr">
        <is>
          <t>0                      GV 0592000C  82                 P  75          2002</t>
        </is>
      </c>
      <c r="D1463" t="inlineStr">
        <is>
          <t>Pitching around Fidel : a journey into the heart of Cuban sports / S.L. Price ; photographs by Victor Baldizon.</t>
        </is>
      </c>
      <c r="F1463" t="inlineStr">
        <is>
          <t>No</t>
        </is>
      </c>
      <c r="G1463" t="inlineStr">
        <is>
          <t>1</t>
        </is>
      </c>
      <c r="H1463" t="inlineStr">
        <is>
          <t>No</t>
        </is>
      </c>
      <c r="I1463" t="inlineStr">
        <is>
          <t>No</t>
        </is>
      </c>
      <c r="J1463" t="inlineStr">
        <is>
          <t>0</t>
        </is>
      </c>
      <c r="K1463" t="inlineStr">
        <is>
          <t>Price, S. L. (Scott L.), 1962-</t>
        </is>
      </c>
      <c r="L1463" t="inlineStr">
        <is>
          <t>New York : Ecco Press, c2002, c2000.</t>
        </is>
      </c>
      <c r="M1463" t="inlineStr">
        <is>
          <t>2002</t>
        </is>
      </c>
      <c r="N1463" t="inlineStr">
        <is>
          <t>1st Ecco pbk. ed.</t>
        </is>
      </c>
      <c r="O1463" t="inlineStr">
        <is>
          <t>eng</t>
        </is>
      </c>
      <c r="P1463" t="inlineStr">
        <is>
          <t>nyu</t>
        </is>
      </c>
      <c r="R1463" t="inlineStr">
        <is>
          <t xml:space="preserve">GV </t>
        </is>
      </c>
      <c r="S1463" t="n">
        <v>4</v>
      </c>
      <c r="T1463" t="n">
        <v>4</v>
      </c>
      <c r="U1463" t="inlineStr">
        <is>
          <t>2007-04-11</t>
        </is>
      </c>
      <c r="V1463" t="inlineStr">
        <is>
          <t>2007-04-11</t>
        </is>
      </c>
      <c r="W1463" t="inlineStr">
        <is>
          <t>2004-03-03</t>
        </is>
      </c>
      <c r="X1463" t="inlineStr">
        <is>
          <t>2004-03-03</t>
        </is>
      </c>
      <c r="Y1463" t="n">
        <v>372</v>
      </c>
      <c r="Z1463" t="n">
        <v>347</v>
      </c>
      <c r="AA1463" t="n">
        <v>406</v>
      </c>
      <c r="AB1463" t="n">
        <v>2</v>
      </c>
      <c r="AC1463" t="n">
        <v>2</v>
      </c>
      <c r="AD1463" t="n">
        <v>7</v>
      </c>
      <c r="AE1463" t="n">
        <v>9</v>
      </c>
      <c r="AF1463" t="n">
        <v>1</v>
      </c>
      <c r="AG1463" t="n">
        <v>3</v>
      </c>
      <c r="AH1463" t="n">
        <v>3</v>
      </c>
      <c r="AI1463" t="n">
        <v>3</v>
      </c>
      <c r="AJ1463" t="n">
        <v>4</v>
      </c>
      <c r="AK1463" t="n">
        <v>5</v>
      </c>
      <c r="AL1463" t="n">
        <v>1</v>
      </c>
      <c r="AM1463" t="n">
        <v>1</v>
      </c>
      <c r="AN1463" t="n">
        <v>0</v>
      </c>
      <c r="AO1463" t="n">
        <v>0</v>
      </c>
      <c r="AP1463" t="inlineStr">
        <is>
          <t>No</t>
        </is>
      </c>
      <c r="AQ1463" t="inlineStr">
        <is>
          <t>No</t>
        </is>
      </c>
      <c r="AS1463">
        <f>HYPERLINK("https://creighton-primo.hosted.exlibrisgroup.com/primo-explore/search?tab=default_tab&amp;search_scope=EVERYTHING&amp;vid=01CRU&amp;lang=en_US&amp;offset=0&amp;query=any,contains,991004246949702656","Catalog Record")</f>
        <v/>
      </c>
      <c r="AT1463">
        <f>HYPERLINK("http://www.worldcat.org/oclc/43286998","WorldCat Record")</f>
        <v/>
      </c>
      <c r="AU1463" t="inlineStr">
        <is>
          <t>6613107:eng</t>
        </is>
      </c>
      <c r="AV1463" t="inlineStr">
        <is>
          <t>43286998</t>
        </is>
      </c>
      <c r="AW1463" t="inlineStr">
        <is>
          <t>991004246949702656</t>
        </is>
      </c>
      <c r="AX1463" t="inlineStr">
        <is>
          <t>991004246949702656</t>
        </is>
      </c>
      <c r="AY1463" t="inlineStr">
        <is>
          <t>2258273120002656</t>
        </is>
      </c>
      <c r="AZ1463" t="inlineStr">
        <is>
          <t>BOOK</t>
        </is>
      </c>
      <c r="BB1463" t="inlineStr">
        <is>
          <t>9780060196608</t>
        </is>
      </c>
      <c r="BC1463" t="inlineStr">
        <is>
          <t>32285004891957</t>
        </is>
      </c>
      <c r="BD1463" t="inlineStr">
        <is>
          <t>893525851</t>
        </is>
      </c>
    </row>
    <row r="1464">
      <c r="A1464" t="inlineStr">
        <is>
          <t>No</t>
        </is>
      </c>
      <c r="B1464" t="inlineStr">
        <is>
          <t>GV697.A1 L567 1995</t>
        </is>
      </c>
      <c r="C1464" t="inlineStr">
        <is>
          <t>0                      GV 0697000A  1                  L  567         1995</t>
        </is>
      </c>
      <c r="D1464" t="inlineStr">
        <is>
          <t>Idols of the game : a sporting history of the American century / by Robert Lipsyte and Peter Levine.</t>
        </is>
      </c>
      <c r="F1464" t="inlineStr">
        <is>
          <t>No</t>
        </is>
      </c>
      <c r="G1464" t="inlineStr">
        <is>
          <t>1</t>
        </is>
      </c>
      <c r="H1464" t="inlineStr">
        <is>
          <t>No</t>
        </is>
      </c>
      <c r="I1464" t="inlineStr">
        <is>
          <t>No</t>
        </is>
      </c>
      <c r="J1464" t="inlineStr">
        <is>
          <t>0</t>
        </is>
      </c>
      <c r="K1464" t="inlineStr">
        <is>
          <t>Lipsyte, Robert.</t>
        </is>
      </c>
      <c r="L1464" t="inlineStr">
        <is>
          <t>Atlanta : Turner Pub. ; Kansas City, Mo. : Distributed by Andrews and McMeel, c1995.</t>
        </is>
      </c>
      <c r="M1464" t="inlineStr">
        <is>
          <t>1995</t>
        </is>
      </c>
      <c r="N1464" t="inlineStr">
        <is>
          <t>1st ed.</t>
        </is>
      </c>
      <c r="O1464" t="inlineStr">
        <is>
          <t>eng</t>
        </is>
      </c>
      <c r="P1464" t="inlineStr">
        <is>
          <t>gau</t>
        </is>
      </c>
      <c r="R1464" t="inlineStr">
        <is>
          <t xml:space="preserve">GV </t>
        </is>
      </c>
      <c r="S1464" t="n">
        <v>1</v>
      </c>
      <c r="T1464" t="n">
        <v>1</v>
      </c>
      <c r="U1464" t="inlineStr">
        <is>
          <t>2010-06-10</t>
        </is>
      </c>
      <c r="V1464" t="inlineStr">
        <is>
          <t>2010-06-10</t>
        </is>
      </c>
      <c r="W1464" t="inlineStr">
        <is>
          <t>2010-06-10</t>
        </is>
      </c>
      <c r="X1464" t="inlineStr">
        <is>
          <t>2010-06-10</t>
        </is>
      </c>
      <c r="Y1464" t="n">
        <v>569</v>
      </c>
      <c r="Z1464" t="n">
        <v>544</v>
      </c>
      <c r="AA1464" t="n">
        <v>550</v>
      </c>
      <c r="AB1464" t="n">
        <v>6</v>
      </c>
      <c r="AC1464" t="n">
        <v>6</v>
      </c>
      <c r="AD1464" t="n">
        <v>11</v>
      </c>
      <c r="AE1464" t="n">
        <v>11</v>
      </c>
      <c r="AF1464" t="n">
        <v>4</v>
      </c>
      <c r="AG1464" t="n">
        <v>4</v>
      </c>
      <c r="AH1464" t="n">
        <v>2</v>
      </c>
      <c r="AI1464" t="n">
        <v>2</v>
      </c>
      <c r="AJ1464" t="n">
        <v>5</v>
      </c>
      <c r="AK1464" t="n">
        <v>5</v>
      </c>
      <c r="AL1464" t="n">
        <v>2</v>
      </c>
      <c r="AM1464" t="n">
        <v>2</v>
      </c>
      <c r="AN1464" t="n">
        <v>0</v>
      </c>
      <c r="AO1464" t="n">
        <v>0</v>
      </c>
      <c r="AP1464" t="inlineStr">
        <is>
          <t>No</t>
        </is>
      </c>
      <c r="AQ1464" t="inlineStr">
        <is>
          <t>No</t>
        </is>
      </c>
      <c r="AS1464">
        <f>HYPERLINK("https://creighton-primo.hosted.exlibrisgroup.com/primo-explore/search?tab=default_tab&amp;search_scope=EVERYTHING&amp;vid=01CRU&amp;lang=en_US&amp;offset=0&amp;query=any,contains,991000007879702656","Catalog Record")</f>
        <v/>
      </c>
      <c r="AT1464">
        <f>HYPERLINK("http://www.worldcat.org/oclc/32508580","WorldCat Record")</f>
        <v/>
      </c>
      <c r="AU1464" t="inlineStr">
        <is>
          <t>889863401:eng</t>
        </is>
      </c>
      <c r="AV1464" t="inlineStr">
        <is>
          <t>32508580</t>
        </is>
      </c>
      <c r="AW1464" t="inlineStr">
        <is>
          <t>991000007879702656</t>
        </is>
      </c>
      <c r="AX1464" t="inlineStr">
        <is>
          <t>991000007879702656</t>
        </is>
      </c>
      <c r="AY1464" t="inlineStr">
        <is>
          <t>2261712390002656</t>
        </is>
      </c>
      <c r="AZ1464" t="inlineStr">
        <is>
          <t>BOOK</t>
        </is>
      </c>
      <c r="BB1464" t="inlineStr">
        <is>
          <t>9781570361548</t>
        </is>
      </c>
      <c r="BC1464" t="inlineStr">
        <is>
          <t>32285005587802</t>
        </is>
      </c>
      <c r="BD1464" t="inlineStr">
        <is>
          <t>893242898</t>
        </is>
      </c>
    </row>
    <row r="1465">
      <c r="A1465" t="inlineStr">
        <is>
          <t>No</t>
        </is>
      </c>
      <c r="B1465" t="inlineStr">
        <is>
          <t>GV697.S65 A3 2007</t>
        </is>
      </c>
      <c r="C1465" t="inlineStr">
        <is>
          <t>0                      GV 0697000S  65                 A  3           2007</t>
        </is>
      </c>
      <c r="D1465" t="inlineStr">
        <is>
          <t>Silent Gesture : the autobiography of Tommie Smith / Tommie Smith with David Steele.</t>
        </is>
      </c>
      <c r="F1465" t="inlineStr">
        <is>
          <t>No</t>
        </is>
      </c>
      <c r="G1465" t="inlineStr">
        <is>
          <t>1</t>
        </is>
      </c>
      <c r="H1465" t="inlineStr">
        <is>
          <t>No</t>
        </is>
      </c>
      <c r="I1465" t="inlineStr">
        <is>
          <t>No</t>
        </is>
      </c>
      <c r="J1465" t="inlineStr">
        <is>
          <t>0</t>
        </is>
      </c>
      <c r="K1465" t="inlineStr">
        <is>
          <t>Smith, Tommie, 1944-</t>
        </is>
      </c>
      <c r="L1465" t="inlineStr">
        <is>
          <t>Philadelphia, PA : Temple University Press, 2007.</t>
        </is>
      </c>
      <c r="M1465" t="inlineStr">
        <is>
          <t>2007</t>
        </is>
      </c>
      <c r="O1465" t="inlineStr">
        <is>
          <t>eng</t>
        </is>
      </c>
      <c r="P1465" t="inlineStr">
        <is>
          <t>pau</t>
        </is>
      </c>
      <c r="Q1465" t="inlineStr">
        <is>
          <t>Sporting</t>
        </is>
      </c>
      <c r="R1465" t="inlineStr">
        <is>
          <t xml:space="preserve">GV </t>
        </is>
      </c>
      <c r="S1465" t="n">
        <v>2</v>
      </c>
      <c r="T1465" t="n">
        <v>2</v>
      </c>
      <c r="U1465" t="inlineStr">
        <is>
          <t>2009-01-13</t>
        </is>
      </c>
      <c r="V1465" t="inlineStr">
        <is>
          <t>2009-01-13</t>
        </is>
      </c>
      <c r="W1465" t="inlineStr">
        <is>
          <t>2008-07-28</t>
        </is>
      </c>
      <c r="X1465" t="inlineStr">
        <is>
          <t>2008-07-28</t>
        </is>
      </c>
      <c r="Y1465" t="n">
        <v>483</v>
      </c>
      <c r="Z1465" t="n">
        <v>466</v>
      </c>
      <c r="AA1465" t="n">
        <v>1237</v>
      </c>
      <c r="AB1465" t="n">
        <v>4</v>
      </c>
      <c r="AC1465" t="n">
        <v>26</v>
      </c>
      <c r="AD1465" t="n">
        <v>11</v>
      </c>
      <c r="AE1465" t="n">
        <v>45</v>
      </c>
      <c r="AF1465" t="n">
        <v>6</v>
      </c>
      <c r="AG1465" t="n">
        <v>17</v>
      </c>
      <c r="AH1465" t="n">
        <v>3</v>
      </c>
      <c r="AI1465" t="n">
        <v>9</v>
      </c>
      <c r="AJ1465" t="n">
        <v>5</v>
      </c>
      <c r="AK1465" t="n">
        <v>16</v>
      </c>
      <c r="AL1465" t="n">
        <v>1</v>
      </c>
      <c r="AM1465" t="n">
        <v>12</v>
      </c>
      <c r="AN1465" t="n">
        <v>0</v>
      </c>
      <c r="AO1465" t="n">
        <v>1</v>
      </c>
      <c r="AP1465" t="inlineStr">
        <is>
          <t>No</t>
        </is>
      </c>
      <c r="AQ1465" t="inlineStr">
        <is>
          <t>No</t>
        </is>
      </c>
      <c r="AS1465">
        <f>HYPERLINK("https://creighton-primo.hosted.exlibrisgroup.com/primo-explore/search?tab=default_tab&amp;search_scope=EVERYTHING&amp;vid=01CRU&amp;lang=en_US&amp;offset=0&amp;query=any,contains,991005218729702656","Catalog Record")</f>
        <v/>
      </c>
      <c r="AT1465">
        <f>HYPERLINK("http://www.worldcat.org/oclc/75088038","WorldCat Record")</f>
        <v/>
      </c>
      <c r="AU1465" t="inlineStr">
        <is>
          <t>802963295:eng</t>
        </is>
      </c>
      <c r="AV1465" t="inlineStr">
        <is>
          <t>75088038</t>
        </is>
      </c>
      <c r="AW1465" t="inlineStr">
        <is>
          <t>991005218729702656</t>
        </is>
      </c>
      <c r="AX1465" t="inlineStr">
        <is>
          <t>991005218729702656</t>
        </is>
      </c>
      <c r="AY1465" t="inlineStr">
        <is>
          <t>2268599060002656</t>
        </is>
      </c>
      <c r="AZ1465" t="inlineStr">
        <is>
          <t>BOOK</t>
        </is>
      </c>
      <c r="BB1465" t="inlineStr">
        <is>
          <t>9781592136391</t>
        </is>
      </c>
      <c r="BC1465" t="inlineStr">
        <is>
          <t>32285005450795</t>
        </is>
      </c>
      <c r="BD1465" t="inlineStr">
        <is>
          <t>893320256</t>
        </is>
      </c>
    </row>
    <row r="1466">
      <c r="A1466" t="inlineStr">
        <is>
          <t>No</t>
        </is>
      </c>
      <c r="B1466" t="inlineStr">
        <is>
          <t>GV706.3 .B47 1994</t>
        </is>
      </c>
      <c r="C1466" t="inlineStr">
        <is>
          <t>0                      GV 0706300B  47          1994</t>
        </is>
      </c>
      <c r="D1466" t="inlineStr">
        <is>
          <t>Sports ethics : a reference handbook / Lawrence H. Berlow.</t>
        </is>
      </c>
      <c r="F1466" t="inlineStr">
        <is>
          <t>No</t>
        </is>
      </c>
      <c r="G1466" t="inlineStr">
        <is>
          <t>1</t>
        </is>
      </c>
      <c r="H1466" t="inlineStr">
        <is>
          <t>No</t>
        </is>
      </c>
      <c r="I1466" t="inlineStr">
        <is>
          <t>No</t>
        </is>
      </c>
      <c r="J1466" t="inlineStr">
        <is>
          <t>0</t>
        </is>
      </c>
      <c r="K1466" t="inlineStr">
        <is>
          <t>Berlow, Lawrence H., 1945-</t>
        </is>
      </c>
      <c r="L1466" t="inlineStr">
        <is>
          <t>Santa Barbara, Calif. : ABC-CLIO, c1994.</t>
        </is>
      </c>
      <c r="M1466" t="inlineStr">
        <is>
          <t>1994</t>
        </is>
      </c>
      <c r="O1466" t="inlineStr">
        <is>
          <t>eng</t>
        </is>
      </c>
      <c r="P1466" t="inlineStr">
        <is>
          <t>cau</t>
        </is>
      </c>
      <c r="Q1466" t="inlineStr">
        <is>
          <t>Contemporary world issues</t>
        </is>
      </c>
      <c r="R1466" t="inlineStr">
        <is>
          <t xml:space="preserve">GV </t>
        </is>
      </c>
      <c r="S1466" t="n">
        <v>13</v>
      </c>
      <c r="T1466" t="n">
        <v>13</v>
      </c>
      <c r="U1466" t="inlineStr">
        <is>
          <t>2007-09-20</t>
        </is>
      </c>
      <c r="V1466" t="inlineStr">
        <is>
          <t>2007-09-20</t>
        </is>
      </c>
      <c r="W1466" t="inlineStr">
        <is>
          <t>1995-02-16</t>
        </is>
      </c>
      <c r="X1466" t="inlineStr">
        <is>
          <t>1995-02-16</t>
        </is>
      </c>
      <c r="Y1466" t="n">
        <v>595</v>
      </c>
      <c r="Z1466" t="n">
        <v>541</v>
      </c>
      <c r="AA1466" t="n">
        <v>542</v>
      </c>
      <c r="AB1466" t="n">
        <v>7</v>
      </c>
      <c r="AC1466" t="n">
        <v>7</v>
      </c>
      <c r="AD1466" t="n">
        <v>16</v>
      </c>
      <c r="AE1466" t="n">
        <v>16</v>
      </c>
      <c r="AF1466" t="n">
        <v>4</v>
      </c>
      <c r="AG1466" t="n">
        <v>4</v>
      </c>
      <c r="AH1466" t="n">
        <v>2</v>
      </c>
      <c r="AI1466" t="n">
        <v>2</v>
      </c>
      <c r="AJ1466" t="n">
        <v>7</v>
      </c>
      <c r="AK1466" t="n">
        <v>7</v>
      </c>
      <c r="AL1466" t="n">
        <v>5</v>
      </c>
      <c r="AM1466" t="n">
        <v>5</v>
      </c>
      <c r="AN1466" t="n">
        <v>1</v>
      </c>
      <c r="AO1466" t="n">
        <v>1</v>
      </c>
      <c r="AP1466" t="inlineStr">
        <is>
          <t>No</t>
        </is>
      </c>
      <c r="AQ1466" t="inlineStr">
        <is>
          <t>Yes</t>
        </is>
      </c>
      <c r="AR1466">
        <f>HYPERLINK("http://catalog.hathitrust.org/Record/002916438","HathiTrust Record")</f>
        <v/>
      </c>
      <c r="AS1466">
        <f>HYPERLINK("https://creighton-primo.hosted.exlibrisgroup.com/primo-explore/search?tab=default_tab&amp;search_scope=EVERYTHING&amp;vid=01CRU&amp;lang=en_US&amp;offset=0&amp;query=any,contains,991002386559702656","Catalog Record")</f>
        <v/>
      </c>
      <c r="AT1466">
        <f>HYPERLINK("http://www.worldcat.org/oclc/31011434","WorldCat Record")</f>
        <v/>
      </c>
      <c r="AU1466" t="inlineStr">
        <is>
          <t>32747925:eng</t>
        </is>
      </c>
      <c r="AV1466" t="inlineStr">
        <is>
          <t>31011434</t>
        </is>
      </c>
      <c r="AW1466" t="inlineStr">
        <is>
          <t>991002386559702656</t>
        </is>
      </c>
      <c r="AX1466" t="inlineStr">
        <is>
          <t>991002386559702656</t>
        </is>
      </c>
      <c r="AY1466" t="inlineStr">
        <is>
          <t>2265956760002656</t>
        </is>
      </c>
      <c r="AZ1466" t="inlineStr">
        <is>
          <t>BOOK</t>
        </is>
      </c>
      <c r="BB1466" t="inlineStr">
        <is>
          <t>9780874367690</t>
        </is>
      </c>
      <c r="BC1466" t="inlineStr">
        <is>
          <t>32285002005709</t>
        </is>
      </c>
      <c r="BD1466" t="inlineStr">
        <is>
          <t>893591294</t>
        </is>
      </c>
    </row>
    <row r="1467">
      <c r="A1467" t="inlineStr">
        <is>
          <t>No</t>
        </is>
      </c>
      <c r="B1467" t="inlineStr">
        <is>
          <t>GV706.3 .C56 2010</t>
        </is>
      </c>
      <c r="C1467" t="inlineStr">
        <is>
          <t>0                      GV 0706300C  56          2010</t>
        </is>
      </c>
      <c r="D1467" t="inlineStr">
        <is>
          <t>Sport and character : reclaiming the principles of sportsmanship / Craig Clifford and Randolph M. Feezell.</t>
        </is>
      </c>
      <c r="F1467" t="inlineStr">
        <is>
          <t>No</t>
        </is>
      </c>
      <c r="G1467" t="inlineStr">
        <is>
          <t>1</t>
        </is>
      </c>
      <c r="H1467" t="inlineStr">
        <is>
          <t>No</t>
        </is>
      </c>
      <c r="I1467" t="inlineStr">
        <is>
          <t>No</t>
        </is>
      </c>
      <c r="J1467" t="inlineStr">
        <is>
          <t>0</t>
        </is>
      </c>
      <c r="K1467" t="inlineStr">
        <is>
          <t>Clifford, Craig Edward, 1951-</t>
        </is>
      </c>
      <c r="L1467" t="inlineStr">
        <is>
          <t>Champaign, Ill. : Human Kinetics, c2010.</t>
        </is>
      </c>
      <c r="M1467" t="inlineStr">
        <is>
          <t>2010</t>
        </is>
      </c>
      <c r="O1467" t="inlineStr">
        <is>
          <t>eng</t>
        </is>
      </c>
      <c r="P1467" t="inlineStr">
        <is>
          <t>ilu</t>
        </is>
      </c>
      <c r="R1467" t="inlineStr">
        <is>
          <t xml:space="preserve">GV </t>
        </is>
      </c>
      <c r="S1467" t="n">
        <v>1</v>
      </c>
      <c r="T1467" t="n">
        <v>1</v>
      </c>
      <c r="U1467" t="inlineStr">
        <is>
          <t>2009-11-24</t>
        </is>
      </c>
      <c r="V1467" t="inlineStr">
        <is>
          <t>2009-11-24</t>
        </is>
      </c>
      <c r="W1467" t="inlineStr">
        <is>
          <t>2009-11-19</t>
        </is>
      </c>
      <c r="X1467" t="inlineStr">
        <is>
          <t>2009-11-19</t>
        </is>
      </c>
      <c r="Y1467" t="n">
        <v>341</v>
      </c>
      <c r="Z1467" t="n">
        <v>259</v>
      </c>
      <c r="AA1467" t="n">
        <v>285</v>
      </c>
      <c r="AB1467" t="n">
        <v>3</v>
      </c>
      <c r="AC1467" t="n">
        <v>3</v>
      </c>
      <c r="AD1467" t="n">
        <v>8</v>
      </c>
      <c r="AE1467" t="n">
        <v>9</v>
      </c>
      <c r="AF1467" t="n">
        <v>5</v>
      </c>
      <c r="AG1467" t="n">
        <v>6</v>
      </c>
      <c r="AH1467" t="n">
        <v>1</v>
      </c>
      <c r="AI1467" t="n">
        <v>2</v>
      </c>
      <c r="AJ1467" t="n">
        <v>3</v>
      </c>
      <c r="AK1467" t="n">
        <v>3</v>
      </c>
      <c r="AL1467" t="n">
        <v>2</v>
      </c>
      <c r="AM1467" t="n">
        <v>2</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HYPERLINK("https://creighton-primo.hosted.exlibrisgroup.com/primo-explore/search?tab=default_tab&amp;search_scope=EVERYTHING&amp;vid=01CRU&amp;lang=en_US&amp;offset=0&amp;query=any,contains,991005342149702656","Catalog Record")</f>
        <v/>
      </c>
      <c r="AT1467">
        <f>HYPERLINK("http://www.worldcat.org/oclc/319499696","WorldCat Record")</f>
        <v/>
      </c>
      <c r="AU1467" t="inlineStr">
        <is>
          <t>196419078:eng</t>
        </is>
      </c>
      <c r="AV1467" t="inlineStr">
        <is>
          <t>319499696</t>
        </is>
      </c>
      <c r="AW1467" t="inlineStr">
        <is>
          <t>991005342149702656</t>
        </is>
      </c>
      <c r="AX1467" t="inlineStr">
        <is>
          <t>991005342149702656</t>
        </is>
      </c>
      <c r="AY1467" t="inlineStr">
        <is>
          <t>2271281560002656</t>
        </is>
      </c>
      <c r="AZ1467" t="inlineStr">
        <is>
          <t>BOOK</t>
        </is>
      </c>
      <c r="BB1467" t="inlineStr">
        <is>
          <t>9780736081924</t>
        </is>
      </c>
      <c r="BC1467" t="inlineStr">
        <is>
          <t>32285005551717</t>
        </is>
      </c>
      <c r="BD1467" t="inlineStr">
        <is>
          <t>893520871</t>
        </is>
      </c>
    </row>
    <row r="1468">
      <c r="A1468" t="inlineStr">
        <is>
          <t>No</t>
        </is>
      </c>
      <c r="B1468" t="inlineStr">
        <is>
          <t>GV706.3 .L84 2009</t>
        </is>
      </c>
      <c r="C1468" t="inlineStr">
        <is>
          <t>0                      GV 0706300L  84          2009</t>
        </is>
      </c>
      <c r="D1468" t="inlineStr">
        <is>
          <t>Modern sports ethics : a reference handbook / Angela Lumpkin.</t>
        </is>
      </c>
      <c r="F1468" t="inlineStr">
        <is>
          <t>No</t>
        </is>
      </c>
      <c r="G1468" t="inlineStr">
        <is>
          <t>1</t>
        </is>
      </c>
      <c r="H1468" t="inlineStr">
        <is>
          <t>No</t>
        </is>
      </c>
      <c r="I1468" t="inlineStr">
        <is>
          <t>No</t>
        </is>
      </c>
      <c r="J1468" t="inlineStr">
        <is>
          <t>0</t>
        </is>
      </c>
      <c r="K1468" t="inlineStr">
        <is>
          <t>Lumpkin, Angela.</t>
        </is>
      </c>
      <c r="L1468" t="inlineStr">
        <is>
          <t>Santa Barbara, Calif. : ABC-CLIO, c2009.</t>
        </is>
      </c>
      <c r="M1468" t="inlineStr">
        <is>
          <t>2009</t>
        </is>
      </c>
      <c r="O1468" t="inlineStr">
        <is>
          <t>eng</t>
        </is>
      </c>
      <c r="P1468" t="inlineStr">
        <is>
          <t>cau</t>
        </is>
      </c>
      <c r="Q1468" t="inlineStr">
        <is>
          <t>Contemporary world issues</t>
        </is>
      </c>
      <c r="R1468" t="inlineStr">
        <is>
          <t xml:space="preserve">GV </t>
        </is>
      </c>
      <c r="S1468" t="n">
        <v>2</v>
      </c>
      <c r="T1468" t="n">
        <v>2</v>
      </c>
      <c r="U1468" t="inlineStr">
        <is>
          <t>2009-09-15</t>
        </is>
      </c>
      <c r="V1468" t="inlineStr">
        <is>
          <t>2009-09-15</t>
        </is>
      </c>
      <c r="W1468" t="inlineStr">
        <is>
          <t>2009-08-19</t>
        </is>
      </c>
      <c r="X1468" t="inlineStr">
        <is>
          <t>2009-08-19</t>
        </is>
      </c>
      <c r="Y1468" t="n">
        <v>588</v>
      </c>
      <c r="Z1468" t="n">
        <v>534</v>
      </c>
      <c r="AA1468" t="n">
        <v>812</v>
      </c>
      <c r="AB1468" t="n">
        <v>5</v>
      </c>
      <c r="AC1468" t="n">
        <v>10</v>
      </c>
      <c r="AD1468" t="n">
        <v>16</v>
      </c>
      <c r="AE1468" t="n">
        <v>26</v>
      </c>
      <c r="AF1468" t="n">
        <v>6</v>
      </c>
      <c r="AG1468" t="n">
        <v>11</v>
      </c>
      <c r="AH1468" t="n">
        <v>5</v>
      </c>
      <c r="AI1468" t="n">
        <v>7</v>
      </c>
      <c r="AJ1468" t="n">
        <v>5</v>
      </c>
      <c r="AK1468" t="n">
        <v>9</v>
      </c>
      <c r="AL1468" t="n">
        <v>4</v>
      </c>
      <c r="AM1468" t="n">
        <v>7</v>
      </c>
      <c r="AN1468" t="n">
        <v>0</v>
      </c>
      <c r="AO1468" t="n">
        <v>0</v>
      </c>
      <c r="AP1468" t="inlineStr">
        <is>
          <t>No</t>
        </is>
      </c>
      <c r="AQ1468" t="inlineStr">
        <is>
          <t>Yes</t>
        </is>
      </c>
      <c r="AR1468">
        <f>HYPERLINK("http://catalog.hathitrust.org/Record/007532446","HathiTrust Record")</f>
        <v/>
      </c>
      <c r="AS1468">
        <f>HYPERLINK("https://creighton-primo.hosted.exlibrisgroup.com/primo-explore/search?tab=default_tab&amp;search_scope=EVERYTHING&amp;vid=01CRU&amp;lang=en_US&amp;offset=0&amp;query=any,contains,991005327869702656","Catalog Record")</f>
        <v/>
      </c>
      <c r="AT1468">
        <f>HYPERLINK("http://www.worldcat.org/oclc/303021636","WorldCat Record")</f>
        <v/>
      </c>
      <c r="AU1468" t="inlineStr">
        <is>
          <t>811101524:eng</t>
        </is>
      </c>
      <c r="AV1468" t="inlineStr">
        <is>
          <t>303021636</t>
        </is>
      </c>
      <c r="AW1468" t="inlineStr">
        <is>
          <t>991005327869702656</t>
        </is>
      </c>
      <c r="AX1468" t="inlineStr">
        <is>
          <t>991005327869702656</t>
        </is>
      </c>
      <c r="AY1468" t="inlineStr">
        <is>
          <t>2259911440002656</t>
        </is>
      </c>
      <c r="AZ1468" t="inlineStr">
        <is>
          <t>BOOK</t>
        </is>
      </c>
      <c r="BB1468" t="inlineStr">
        <is>
          <t>9781598841978</t>
        </is>
      </c>
      <c r="BC1468" t="inlineStr">
        <is>
          <t>32285005542062</t>
        </is>
      </c>
      <c r="BD1468" t="inlineStr">
        <is>
          <t>893320449</t>
        </is>
      </c>
    </row>
    <row r="1469">
      <c r="A1469" t="inlineStr">
        <is>
          <t>No</t>
        </is>
      </c>
      <c r="B1469" t="inlineStr">
        <is>
          <t>GV706.3 .M32 1980</t>
        </is>
      </c>
      <c r="C1469" t="inlineStr">
        <is>
          <t>0                      GV 0706300M  32          1980</t>
        </is>
      </c>
      <c r="D1469" t="inlineStr">
        <is>
          <t>Fair play : ethics in sport and education / Peter McIntosh ; foreword by Sir Roger Bannister.</t>
        </is>
      </c>
      <c r="F1469" t="inlineStr">
        <is>
          <t>No</t>
        </is>
      </c>
      <c r="G1469" t="inlineStr">
        <is>
          <t>1</t>
        </is>
      </c>
      <c r="H1469" t="inlineStr">
        <is>
          <t>No</t>
        </is>
      </c>
      <c r="I1469" t="inlineStr">
        <is>
          <t>No</t>
        </is>
      </c>
      <c r="J1469" t="inlineStr">
        <is>
          <t>0</t>
        </is>
      </c>
      <c r="K1469" t="inlineStr">
        <is>
          <t>McIntosh, Peter C.</t>
        </is>
      </c>
      <c r="L1469" t="inlineStr">
        <is>
          <t>London : Heinemann, 1980, c1979.</t>
        </is>
      </c>
      <c r="M1469" t="inlineStr">
        <is>
          <t>1980</t>
        </is>
      </c>
      <c r="O1469" t="inlineStr">
        <is>
          <t>eng</t>
        </is>
      </c>
      <c r="P1469" t="inlineStr">
        <is>
          <t>enk</t>
        </is>
      </c>
      <c r="Q1469" t="inlineStr">
        <is>
          <t>H. E. B. paperback.</t>
        </is>
      </c>
      <c r="R1469" t="inlineStr">
        <is>
          <t xml:space="preserve">GV </t>
        </is>
      </c>
      <c r="S1469" t="n">
        <v>1</v>
      </c>
      <c r="T1469" t="n">
        <v>1</v>
      </c>
      <c r="U1469" t="inlineStr">
        <is>
          <t>2010-07-15</t>
        </is>
      </c>
      <c r="V1469" t="inlineStr">
        <is>
          <t>2010-07-15</t>
        </is>
      </c>
      <c r="W1469" t="inlineStr">
        <is>
          <t>2010-07-15</t>
        </is>
      </c>
      <c r="X1469" t="inlineStr">
        <is>
          <t>2010-07-15</t>
        </is>
      </c>
      <c r="Y1469" t="n">
        <v>93</v>
      </c>
      <c r="Z1469" t="n">
        <v>56</v>
      </c>
      <c r="AA1469" t="n">
        <v>421</v>
      </c>
      <c r="AB1469" t="n">
        <v>1</v>
      </c>
      <c r="AC1469" t="n">
        <v>5</v>
      </c>
      <c r="AD1469" t="n">
        <v>1</v>
      </c>
      <c r="AE1469" t="n">
        <v>20</v>
      </c>
      <c r="AF1469" t="n">
        <v>0</v>
      </c>
      <c r="AG1469" t="n">
        <v>10</v>
      </c>
      <c r="AH1469" t="n">
        <v>0</v>
      </c>
      <c r="AI1469" t="n">
        <v>2</v>
      </c>
      <c r="AJ1469" t="n">
        <v>1</v>
      </c>
      <c r="AK1469" t="n">
        <v>10</v>
      </c>
      <c r="AL1469" t="n">
        <v>0</v>
      </c>
      <c r="AM1469" t="n">
        <v>4</v>
      </c>
      <c r="AN1469" t="n">
        <v>0</v>
      </c>
      <c r="AO1469" t="n">
        <v>0</v>
      </c>
      <c r="AP1469" t="inlineStr">
        <is>
          <t>No</t>
        </is>
      </c>
      <c r="AQ1469" t="inlineStr">
        <is>
          <t>No</t>
        </is>
      </c>
      <c r="AS1469">
        <f>HYPERLINK("https://creighton-primo.hosted.exlibrisgroup.com/primo-explore/search?tab=default_tab&amp;search_scope=EVERYTHING&amp;vid=01CRU&amp;lang=en_US&amp;offset=0&amp;query=any,contains,991000028529702656","Catalog Record")</f>
        <v/>
      </c>
      <c r="AT1469">
        <f>HYPERLINK("http://www.worldcat.org/oclc/7182729","WorldCat Record")</f>
        <v/>
      </c>
      <c r="AU1469" t="inlineStr">
        <is>
          <t>15044012:eng</t>
        </is>
      </c>
      <c r="AV1469" t="inlineStr">
        <is>
          <t>7182729</t>
        </is>
      </c>
      <c r="AW1469" t="inlineStr">
        <is>
          <t>991000028529702656</t>
        </is>
      </c>
      <c r="AX1469" t="inlineStr">
        <is>
          <t>991000028529702656</t>
        </is>
      </c>
      <c r="AY1469" t="inlineStr">
        <is>
          <t>2255417380002656</t>
        </is>
      </c>
      <c r="AZ1469" t="inlineStr">
        <is>
          <t>BOOK</t>
        </is>
      </c>
      <c r="BB1469" t="inlineStr">
        <is>
          <t>9780435805821</t>
        </is>
      </c>
      <c r="BC1469" t="inlineStr">
        <is>
          <t>32285005590376</t>
        </is>
      </c>
      <c r="BD1469" t="inlineStr">
        <is>
          <t>893514937</t>
        </is>
      </c>
    </row>
    <row r="1470">
      <c r="A1470" t="inlineStr">
        <is>
          <t>No</t>
        </is>
      </c>
      <c r="B1470" t="inlineStr">
        <is>
          <t>GV706.3 .S34 2009</t>
        </is>
      </c>
      <c r="C1470" t="inlineStr">
        <is>
          <t>0                      GV 0706300S  34          2009</t>
        </is>
      </c>
      <c r="D1470" t="inlineStr">
        <is>
          <t>Ethics of sport and athletics : theory, issues, and application / Robert C. Schneider.</t>
        </is>
      </c>
      <c r="F1470" t="inlineStr">
        <is>
          <t>No</t>
        </is>
      </c>
      <c r="G1470" t="inlineStr">
        <is>
          <t>1</t>
        </is>
      </c>
      <c r="H1470" t="inlineStr">
        <is>
          <t>No</t>
        </is>
      </c>
      <c r="I1470" t="inlineStr">
        <is>
          <t>No</t>
        </is>
      </c>
      <c r="J1470" t="inlineStr">
        <is>
          <t>0</t>
        </is>
      </c>
      <c r="K1470" t="inlineStr">
        <is>
          <t>Schneider, Robert C.</t>
        </is>
      </c>
      <c r="L1470" t="inlineStr">
        <is>
          <t>Philadelphia : Wolters Kluwer Health/Lippincott Williams &amp; Wilkins, c2009.</t>
        </is>
      </c>
      <c r="M1470" t="inlineStr">
        <is>
          <t>2009</t>
        </is>
      </c>
      <c r="O1470" t="inlineStr">
        <is>
          <t>eng</t>
        </is>
      </c>
      <c r="P1470" t="inlineStr">
        <is>
          <t>pau</t>
        </is>
      </c>
      <c r="R1470" t="inlineStr">
        <is>
          <t xml:space="preserve">GV </t>
        </is>
      </c>
      <c r="S1470" t="n">
        <v>3</v>
      </c>
      <c r="T1470" t="n">
        <v>3</v>
      </c>
      <c r="U1470" t="inlineStr">
        <is>
          <t>2009-10-27</t>
        </is>
      </c>
      <c r="V1470" t="inlineStr">
        <is>
          <t>2009-10-27</t>
        </is>
      </c>
      <c r="W1470" t="inlineStr">
        <is>
          <t>2009-02-05</t>
        </is>
      </c>
      <c r="X1470" t="inlineStr">
        <is>
          <t>2009-02-05</t>
        </is>
      </c>
      <c r="Y1470" t="n">
        <v>187</v>
      </c>
      <c r="Z1470" t="n">
        <v>112</v>
      </c>
      <c r="AA1470" t="n">
        <v>113</v>
      </c>
      <c r="AB1470" t="n">
        <v>1</v>
      </c>
      <c r="AC1470" t="n">
        <v>1</v>
      </c>
      <c r="AD1470" t="n">
        <v>4</v>
      </c>
      <c r="AE1470" t="n">
        <v>4</v>
      </c>
      <c r="AF1470" t="n">
        <v>3</v>
      </c>
      <c r="AG1470" t="n">
        <v>3</v>
      </c>
      <c r="AH1470" t="n">
        <v>1</v>
      </c>
      <c r="AI1470" t="n">
        <v>1</v>
      </c>
      <c r="AJ1470" t="n">
        <v>3</v>
      </c>
      <c r="AK1470" t="n">
        <v>3</v>
      </c>
      <c r="AL1470" t="n">
        <v>0</v>
      </c>
      <c r="AM1470" t="n">
        <v>0</v>
      </c>
      <c r="AN1470" t="n">
        <v>0</v>
      </c>
      <c r="AO1470" t="n">
        <v>0</v>
      </c>
      <c r="AP1470" t="inlineStr">
        <is>
          <t>No</t>
        </is>
      </c>
      <c r="AQ1470" t="inlineStr">
        <is>
          <t>No</t>
        </is>
      </c>
      <c r="AS1470">
        <f>HYPERLINK("https://creighton-primo.hosted.exlibrisgroup.com/primo-explore/search?tab=default_tab&amp;search_scope=EVERYTHING&amp;vid=01CRU&amp;lang=en_US&amp;offset=0&amp;query=any,contains,991005293649702656","Catalog Record")</f>
        <v/>
      </c>
      <c r="AT1470">
        <f>HYPERLINK("http://www.worldcat.org/oclc/225088144","WorldCat Record")</f>
        <v/>
      </c>
      <c r="AU1470" t="inlineStr">
        <is>
          <t>891682948:eng</t>
        </is>
      </c>
      <c r="AV1470" t="inlineStr">
        <is>
          <t>225088144</t>
        </is>
      </c>
      <c r="AW1470" t="inlineStr">
        <is>
          <t>991005293649702656</t>
        </is>
      </c>
      <c r="AX1470" t="inlineStr">
        <is>
          <t>991005293649702656</t>
        </is>
      </c>
      <c r="AY1470" t="inlineStr">
        <is>
          <t>2270896560002656</t>
        </is>
      </c>
      <c r="AZ1470" t="inlineStr">
        <is>
          <t>BOOK</t>
        </is>
      </c>
      <c r="BB1470" t="inlineStr">
        <is>
          <t>9780781787918</t>
        </is>
      </c>
      <c r="BC1470" t="inlineStr">
        <is>
          <t>32285005503130</t>
        </is>
      </c>
      <c r="BD1470" t="inlineStr">
        <is>
          <t>893320397</t>
        </is>
      </c>
    </row>
    <row r="1471">
      <c r="A1471" t="inlineStr">
        <is>
          <t>No</t>
        </is>
      </c>
      <c r="B1471" t="inlineStr">
        <is>
          <t>GV706.4 .A377 1998</t>
        </is>
      </c>
      <c r="C1471" t="inlineStr">
        <is>
          <t>0                      GV 0706400A  377         1998</t>
        </is>
      </c>
      <c r="D1471" t="inlineStr">
        <is>
          <t>Advances in sport and exercise psychology measurement / Joan L. Duda, editor.</t>
        </is>
      </c>
      <c r="F1471" t="inlineStr">
        <is>
          <t>No</t>
        </is>
      </c>
      <c r="G1471" t="inlineStr">
        <is>
          <t>1</t>
        </is>
      </c>
      <c r="H1471" t="inlineStr">
        <is>
          <t>No</t>
        </is>
      </c>
      <c r="I1471" t="inlineStr">
        <is>
          <t>No</t>
        </is>
      </c>
      <c r="J1471" t="inlineStr">
        <is>
          <t>0</t>
        </is>
      </c>
      <c r="L1471" t="inlineStr">
        <is>
          <t>Morgantown, W. Va. : Fitness Information Technology, Inc., c1998.</t>
        </is>
      </c>
      <c r="M1471" t="inlineStr">
        <is>
          <t>1998</t>
        </is>
      </c>
      <c r="O1471" t="inlineStr">
        <is>
          <t>eng</t>
        </is>
      </c>
      <c r="P1471" t="inlineStr">
        <is>
          <t>wvu</t>
        </is>
      </c>
      <c r="R1471" t="inlineStr">
        <is>
          <t xml:space="preserve">GV </t>
        </is>
      </c>
      <c r="S1471" t="n">
        <v>2</v>
      </c>
      <c r="T1471" t="n">
        <v>2</v>
      </c>
      <c r="U1471" t="inlineStr">
        <is>
          <t>2010-11-23</t>
        </is>
      </c>
      <c r="V1471" t="inlineStr">
        <is>
          <t>2010-11-23</t>
        </is>
      </c>
      <c r="W1471" t="inlineStr">
        <is>
          <t>1998-04-28</t>
        </is>
      </c>
      <c r="X1471" t="inlineStr">
        <is>
          <t>1998-04-28</t>
        </is>
      </c>
      <c r="Y1471" t="n">
        <v>333</v>
      </c>
      <c r="Z1471" t="n">
        <v>224</v>
      </c>
      <c r="AA1471" t="n">
        <v>226</v>
      </c>
      <c r="AB1471" t="n">
        <v>2</v>
      </c>
      <c r="AC1471" t="n">
        <v>2</v>
      </c>
      <c r="AD1471" t="n">
        <v>7</v>
      </c>
      <c r="AE1471" t="n">
        <v>7</v>
      </c>
      <c r="AF1471" t="n">
        <v>5</v>
      </c>
      <c r="AG1471" t="n">
        <v>5</v>
      </c>
      <c r="AH1471" t="n">
        <v>1</v>
      </c>
      <c r="AI1471" t="n">
        <v>1</v>
      </c>
      <c r="AJ1471" t="n">
        <v>4</v>
      </c>
      <c r="AK1471" t="n">
        <v>4</v>
      </c>
      <c r="AL1471" t="n">
        <v>1</v>
      </c>
      <c r="AM1471" t="n">
        <v>1</v>
      </c>
      <c r="AN1471" t="n">
        <v>0</v>
      </c>
      <c r="AO1471" t="n">
        <v>0</v>
      </c>
      <c r="AP1471" t="inlineStr">
        <is>
          <t>No</t>
        </is>
      </c>
      <c r="AQ1471" t="inlineStr">
        <is>
          <t>Yes</t>
        </is>
      </c>
      <c r="AR1471">
        <f>HYPERLINK("http://catalog.hathitrust.org/Record/005098526","HathiTrust Record")</f>
        <v/>
      </c>
      <c r="AS1471">
        <f>HYPERLINK("https://creighton-primo.hosted.exlibrisgroup.com/primo-explore/search?tab=default_tab&amp;search_scope=EVERYTHING&amp;vid=01CRU&amp;lang=en_US&amp;offset=0&amp;query=any,contains,991002922969702656","Catalog Record")</f>
        <v/>
      </c>
      <c r="AT1471">
        <f>HYPERLINK("http://www.worldcat.org/oclc/38851328","WorldCat Record")</f>
        <v/>
      </c>
      <c r="AU1471" t="inlineStr">
        <is>
          <t>41315851:eng</t>
        </is>
      </c>
      <c r="AV1471" t="inlineStr">
        <is>
          <t>38851328</t>
        </is>
      </c>
      <c r="AW1471" t="inlineStr">
        <is>
          <t>991002922969702656</t>
        </is>
      </c>
      <c r="AX1471" t="inlineStr">
        <is>
          <t>991002922969702656</t>
        </is>
      </c>
      <c r="AY1471" t="inlineStr">
        <is>
          <t>2269878540002656</t>
        </is>
      </c>
      <c r="AZ1471" t="inlineStr">
        <is>
          <t>BOOK</t>
        </is>
      </c>
      <c r="BB1471" t="inlineStr">
        <is>
          <t>9781885693112</t>
        </is>
      </c>
      <c r="BC1471" t="inlineStr">
        <is>
          <t>32285003378246</t>
        </is>
      </c>
      <c r="BD1471" t="inlineStr">
        <is>
          <t>893428216</t>
        </is>
      </c>
    </row>
    <row r="1472">
      <c r="A1472" t="inlineStr">
        <is>
          <t>No</t>
        </is>
      </c>
      <c r="B1472" t="inlineStr">
        <is>
          <t>GV706.4 .D65 2000</t>
        </is>
      </c>
      <c r="C1472" t="inlineStr">
        <is>
          <t>0                      GV 0706400D  65          2000</t>
        </is>
      </c>
      <c r="D1472" t="inlineStr">
        <is>
          <t>Doing sport psychology / Mark B. Andersen, editor.</t>
        </is>
      </c>
      <c r="F1472" t="inlineStr">
        <is>
          <t>No</t>
        </is>
      </c>
      <c r="G1472" t="inlineStr">
        <is>
          <t>1</t>
        </is>
      </c>
      <c r="H1472" t="inlineStr">
        <is>
          <t>No</t>
        </is>
      </c>
      <c r="I1472" t="inlineStr">
        <is>
          <t>No</t>
        </is>
      </c>
      <c r="J1472" t="inlineStr">
        <is>
          <t>0</t>
        </is>
      </c>
      <c r="L1472" t="inlineStr">
        <is>
          <t>Champaign, IL : Human Kinetics, c2000.</t>
        </is>
      </c>
      <c r="M1472" t="inlineStr">
        <is>
          <t>2000</t>
        </is>
      </c>
      <c r="O1472" t="inlineStr">
        <is>
          <t>eng</t>
        </is>
      </c>
      <c r="P1472" t="inlineStr">
        <is>
          <t>ilu</t>
        </is>
      </c>
      <c r="R1472" t="inlineStr">
        <is>
          <t xml:space="preserve">GV </t>
        </is>
      </c>
      <c r="S1472" t="n">
        <v>7</v>
      </c>
      <c r="T1472" t="n">
        <v>7</v>
      </c>
      <c r="U1472" t="inlineStr">
        <is>
          <t>2007-01-28</t>
        </is>
      </c>
      <c r="V1472" t="inlineStr">
        <is>
          <t>2007-01-28</t>
        </is>
      </c>
      <c r="W1472" t="inlineStr">
        <is>
          <t>2001-01-30</t>
        </is>
      </c>
      <c r="X1472" t="inlineStr">
        <is>
          <t>2001-01-30</t>
        </is>
      </c>
      <c r="Y1472" t="n">
        <v>480</v>
      </c>
      <c r="Z1472" t="n">
        <v>332</v>
      </c>
      <c r="AA1472" t="n">
        <v>333</v>
      </c>
      <c r="AB1472" t="n">
        <v>4</v>
      </c>
      <c r="AC1472" t="n">
        <v>4</v>
      </c>
      <c r="AD1472" t="n">
        <v>13</v>
      </c>
      <c r="AE1472" t="n">
        <v>13</v>
      </c>
      <c r="AF1472" t="n">
        <v>8</v>
      </c>
      <c r="AG1472" t="n">
        <v>8</v>
      </c>
      <c r="AH1472" t="n">
        <v>1</v>
      </c>
      <c r="AI1472" t="n">
        <v>1</v>
      </c>
      <c r="AJ1472" t="n">
        <v>6</v>
      </c>
      <c r="AK1472" t="n">
        <v>6</v>
      </c>
      <c r="AL1472" t="n">
        <v>3</v>
      </c>
      <c r="AM1472" t="n">
        <v>3</v>
      </c>
      <c r="AN1472" t="n">
        <v>0</v>
      </c>
      <c r="AO1472" t="n">
        <v>0</v>
      </c>
      <c r="AP1472" t="inlineStr">
        <is>
          <t>No</t>
        </is>
      </c>
      <c r="AQ1472" t="inlineStr">
        <is>
          <t>Yes</t>
        </is>
      </c>
      <c r="AR1472">
        <f>HYPERLINK("http://catalog.hathitrust.org/Record/004183270","HathiTrust Record")</f>
        <v/>
      </c>
      <c r="AS1472">
        <f>HYPERLINK("https://creighton-primo.hosted.exlibrisgroup.com/primo-explore/search?tab=default_tab&amp;search_scope=EVERYTHING&amp;vid=01CRU&amp;lang=en_US&amp;offset=0&amp;query=any,contains,991003461409702656","Catalog Record")</f>
        <v/>
      </c>
      <c r="AT1472">
        <f>HYPERLINK("http://www.worldcat.org/oclc/44075979","WorldCat Record")</f>
        <v/>
      </c>
      <c r="AU1472" t="inlineStr">
        <is>
          <t>33447288:eng</t>
        </is>
      </c>
      <c r="AV1472" t="inlineStr">
        <is>
          <t>44075979</t>
        </is>
      </c>
      <c r="AW1472" t="inlineStr">
        <is>
          <t>991003461409702656</t>
        </is>
      </c>
      <c r="AX1472" t="inlineStr">
        <is>
          <t>991003461409702656</t>
        </is>
      </c>
      <c r="AY1472" t="inlineStr">
        <is>
          <t>2271469640002656</t>
        </is>
      </c>
      <c r="AZ1472" t="inlineStr">
        <is>
          <t>BOOK</t>
        </is>
      </c>
      <c r="BB1472" t="inlineStr">
        <is>
          <t>9780736000864</t>
        </is>
      </c>
      <c r="BC1472" t="inlineStr">
        <is>
          <t>32285004292586</t>
        </is>
      </c>
      <c r="BD1472" t="inlineStr">
        <is>
          <t>893799733</t>
        </is>
      </c>
    </row>
    <row r="1473">
      <c r="A1473" t="inlineStr">
        <is>
          <t>No</t>
        </is>
      </c>
      <c r="B1473" t="inlineStr">
        <is>
          <t>GV706.4 .S66 1990</t>
        </is>
      </c>
      <c r="C1473" t="inlineStr">
        <is>
          <t>0                      GV 0706400S  66          1990</t>
        </is>
      </c>
      <c r="D1473" t="inlineStr">
        <is>
          <t>Sport, men, and the gender order : critical feminist perspectives / Michael A. Messner, Donald F. Sabo, editors.</t>
        </is>
      </c>
      <c r="F1473" t="inlineStr">
        <is>
          <t>No</t>
        </is>
      </c>
      <c r="G1473" t="inlineStr">
        <is>
          <t>1</t>
        </is>
      </c>
      <c r="H1473" t="inlineStr">
        <is>
          <t>No</t>
        </is>
      </c>
      <c r="I1473" t="inlineStr">
        <is>
          <t>No</t>
        </is>
      </c>
      <c r="J1473" t="inlineStr">
        <is>
          <t>0</t>
        </is>
      </c>
      <c r="L1473" t="inlineStr">
        <is>
          <t>Champaign, Ill. : Human Kinetics Books, c1990.</t>
        </is>
      </c>
      <c r="M1473" t="inlineStr">
        <is>
          <t>1990</t>
        </is>
      </c>
      <c r="O1473" t="inlineStr">
        <is>
          <t>eng</t>
        </is>
      </c>
      <c r="P1473" t="inlineStr">
        <is>
          <t>ilu</t>
        </is>
      </c>
      <c r="R1473" t="inlineStr">
        <is>
          <t xml:space="preserve">GV </t>
        </is>
      </c>
      <c r="S1473" t="n">
        <v>24</v>
      </c>
      <c r="T1473" t="n">
        <v>24</v>
      </c>
      <c r="U1473" t="inlineStr">
        <is>
          <t>2007-02-15</t>
        </is>
      </c>
      <c r="V1473" t="inlineStr">
        <is>
          <t>2007-02-15</t>
        </is>
      </c>
      <c r="W1473" t="inlineStr">
        <is>
          <t>1992-03-31</t>
        </is>
      </c>
      <c r="X1473" t="inlineStr">
        <is>
          <t>1992-03-31</t>
        </is>
      </c>
      <c r="Y1473" t="n">
        <v>734</v>
      </c>
      <c r="Z1473" t="n">
        <v>551</v>
      </c>
      <c r="AA1473" t="n">
        <v>557</v>
      </c>
      <c r="AB1473" t="n">
        <v>8</v>
      </c>
      <c r="AC1473" t="n">
        <v>8</v>
      </c>
      <c r="AD1473" t="n">
        <v>28</v>
      </c>
      <c r="AE1473" t="n">
        <v>28</v>
      </c>
      <c r="AF1473" t="n">
        <v>10</v>
      </c>
      <c r="AG1473" t="n">
        <v>10</v>
      </c>
      <c r="AH1473" t="n">
        <v>5</v>
      </c>
      <c r="AI1473" t="n">
        <v>5</v>
      </c>
      <c r="AJ1473" t="n">
        <v>11</v>
      </c>
      <c r="AK1473" t="n">
        <v>11</v>
      </c>
      <c r="AL1473" t="n">
        <v>7</v>
      </c>
      <c r="AM1473" t="n">
        <v>7</v>
      </c>
      <c r="AN1473" t="n">
        <v>1</v>
      </c>
      <c r="AO1473" t="n">
        <v>1</v>
      </c>
      <c r="AP1473" t="inlineStr">
        <is>
          <t>No</t>
        </is>
      </c>
      <c r="AQ1473" t="inlineStr">
        <is>
          <t>Yes</t>
        </is>
      </c>
      <c r="AR1473">
        <f>HYPERLINK("http://catalog.hathitrust.org/Record/002447925","HathiTrust Record")</f>
        <v/>
      </c>
      <c r="AS1473">
        <f>HYPERLINK("https://creighton-primo.hosted.exlibrisgroup.com/primo-explore/search?tab=default_tab&amp;search_scope=EVERYTHING&amp;vid=01CRU&amp;lang=en_US&amp;offset=0&amp;query=any,contains,991001648829702656","Catalog Record")</f>
        <v/>
      </c>
      <c r="AT1473">
        <f>HYPERLINK("http://www.worldcat.org/oclc/21077909","WorldCat Record")</f>
        <v/>
      </c>
      <c r="AU1473" t="inlineStr">
        <is>
          <t>852683120:eng</t>
        </is>
      </c>
      <c r="AV1473" t="inlineStr">
        <is>
          <t>21077909</t>
        </is>
      </c>
      <c r="AW1473" t="inlineStr">
        <is>
          <t>991001648829702656</t>
        </is>
      </c>
      <c r="AX1473" t="inlineStr">
        <is>
          <t>991001648829702656</t>
        </is>
      </c>
      <c r="AY1473" t="inlineStr">
        <is>
          <t>2270364130002656</t>
        </is>
      </c>
      <c r="AZ1473" t="inlineStr">
        <is>
          <t>BOOK</t>
        </is>
      </c>
      <c r="BB1473" t="inlineStr">
        <is>
          <t>9780873222815</t>
        </is>
      </c>
      <c r="BC1473" t="inlineStr">
        <is>
          <t>32285001007417</t>
        </is>
      </c>
      <c r="BD1473" t="inlineStr">
        <is>
          <t>893897940</t>
        </is>
      </c>
    </row>
    <row r="1474">
      <c r="A1474" t="inlineStr">
        <is>
          <t>No</t>
        </is>
      </c>
      <c r="B1474" t="inlineStr">
        <is>
          <t>GV706.5 .E57 1986</t>
        </is>
      </c>
      <c r="C1474" t="inlineStr">
        <is>
          <t>0                      GV 0706500E  57          1986</t>
        </is>
      </c>
      <c r="D1474" t="inlineStr">
        <is>
          <t>Sociology of North American sport / D. Stanley Eitzen, George H. Sage.</t>
        </is>
      </c>
      <c r="F1474" t="inlineStr">
        <is>
          <t>No</t>
        </is>
      </c>
      <c r="G1474" t="inlineStr">
        <is>
          <t>1</t>
        </is>
      </c>
      <c r="H1474" t="inlineStr">
        <is>
          <t>No</t>
        </is>
      </c>
      <c r="I1474" t="inlineStr">
        <is>
          <t>Yes</t>
        </is>
      </c>
      <c r="J1474" t="inlineStr">
        <is>
          <t>0</t>
        </is>
      </c>
      <c r="K1474" t="inlineStr">
        <is>
          <t>Eitzen, D. Stanley.</t>
        </is>
      </c>
      <c r="L1474" t="inlineStr">
        <is>
          <t>Dubuque, Iowa : W.C. Brown Co., c1986.</t>
        </is>
      </c>
      <c r="M1474" t="inlineStr">
        <is>
          <t>1986</t>
        </is>
      </c>
      <c r="N1474" t="inlineStr">
        <is>
          <t>3rd ed.</t>
        </is>
      </c>
      <c r="O1474" t="inlineStr">
        <is>
          <t>eng</t>
        </is>
      </c>
      <c r="P1474" t="inlineStr">
        <is>
          <t>iau</t>
        </is>
      </c>
      <c r="R1474" t="inlineStr">
        <is>
          <t xml:space="preserve">GV </t>
        </is>
      </c>
      <c r="S1474" t="n">
        <v>2</v>
      </c>
      <c r="T1474" t="n">
        <v>2</v>
      </c>
      <c r="U1474" t="inlineStr">
        <is>
          <t>1992-02-02</t>
        </is>
      </c>
      <c r="V1474" t="inlineStr">
        <is>
          <t>1992-02-02</t>
        </is>
      </c>
      <c r="W1474" t="inlineStr">
        <is>
          <t>1990-05-01</t>
        </is>
      </c>
      <c r="X1474" t="inlineStr">
        <is>
          <t>1990-05-01</t>
        </is>
      </c>
      <c r="Y1474" t="n">
        <v>179</v>
      </c>
      <c r="Z1474" t="n">
        <v>144</v>
      </c>
      <c r="AA1474" t="n">
        <v>522</v>
      </c>
      <c r="AB1474" t="n">
        <v>3</v>
      </c>
      <c r="AC1474" t="n">
        <v>6</v>
      </c>
      <c r="AD1474" t="n">
        <v>5</v>
      </c>
      <c r="AE1474" t="n">
        <v>25</v>
      </c>
      <c r="AF1474" t="n">
        <v>3</v>
      </c>
      <c r="AG1474" t="n">
        <v>10</v>
      </c>
      <c r="AH1474" t="n">
        <v>0</v>
      </c>
      <c r="AI1474" t="n">
        <v>4</v>
      </c>
      <c r="AJ1474" t="n">
        <v>0</v>
      </c>
      <c r="AK1474" t="n">
        <v>11</v>
      </c>
      <c r="AL1474" t="n">
        <v>2</v>
      </c>
      <c r="AM1474" t="n">
        <v>5</v>
      </c>
      <c r="AN1474" t="n">
        <v>0</v>
      </c>
      <c r="AO1474" t="n">
        <v>0</v>
      </c>
      <c r="AP1474" t="inlineStr">
        <is>
          <t>No</t>
        </is>
      </c>
      <c r="AQ1474" t="inlineStr">
        <is>
          <t>Yes</t>
        </is>
      </c>
      <c r="AR1474">
        <f>HYPERLINK("http://catalog.hathitrust.org/Record/007104795","HathiTrust Record")</f>
        <v/>
      </c>
      <c r="AS1474">
        <f>HYPERLINK("https://creighton-primo.hosted.exlibrisgroup.com/primo-explore/search?tab=default_tab&amp;search_scope=EVERYTHING&amp;vid=01CRU&amp;lang=en_US&amp;offset=0&amp;query=any,contains,991000806949702656","Catalog Record")</f>
        <v/>
      </c>
      <c r="AT1474">
        <f>HYPERLINK("http://www.worldcat.org/oclc/13311531","WorldCat Record")</f>
        <v/>
      </c>
      <c r="AU1474" t="inlineStr">
        <is>
          <t>2541559:eng</t>
        </is>
      </c>
      <c r="AV1474" t="inlineStr">
        <is>
          <t>13311531</t>
        </is>
      </c>
      <c r="AW1474" t="inlineStr">
        <is>
          <t>991000806949702656</t>
        </is>
      </c>
      <c r="AX1474" t="inlineStr">
        <is>
          <t>991000806949702656</t>
        </is>
      </c>
      <c r="AY1474" t="inlineStr">
        <is>
          <t>2270638860002656</t>
        </is>
      </c>
      <c r="AZ1474" t="inlineStr">
        <is>
          <t>BOOK</t>
        </is>
      </c>
      <c r="BB1474" t="inlineStr">
        <is>
          <t>9780697009876</t>
        </is>
      </c>
      <c r="BC1474" t="inlineStr">
        <is>
          <t>32285000145523</t>
        </is>
      </c>
      <c r="BD1474" t="inlineStr">
        <is>
          <t>893339904</t>
        </is>
      </c>
    </row>
    <row r="1475">
      <c r="A1475" t="inlineStr">
        <is>
          <t>No</t>
        </is>
      </c>
      <c r="B1475" t="inlineStr">
        <is>
          <t>GV706.5 .K67</t>
        </is>
      </c>
      <c r="C1475" t="inlineStr">
        <is>
          <t>0                      GV 0706500K  67</t>
        </is>
      </c>
      <c r="D1475" t="inlineStr">
        <is>
          <t>Sports illusion, sports reality : a reporter's view of sports, journalism, and society / Leonard Koppett.</t>
        </is>
      </c>
      <c r="F1475" t="inlineStr">
        <is>
          <t>No</t>
        </is>
      </c>
      <c r="G1475" t="inlineStr">
        <is>
          <t>1</t>
        </is>
      </c>
      <c r="H1475" t="inlineStr">
        <is>
          <t>No</t>
        </is>
      </c>
      <c r="I1475" t="inlineStr">
        <is>
          <t>No</t>
        </is>
      </c>
      <c r="J1475" t="inlineStr">
        <is>
          <t>0</t>
        </is>
      </c>
      <c r="K1475" t="inlineStr">
        <is>
          <t>Koppett, Leonard.</t>
        </is>
      </c>
      <c r="L1475" t="inlineStr">
        <is>
          <t>Boston : Houghton Mifflin, 1981.</t>
        </is>
      </c>
      <c r="M1475" t="inlineStr">
        <is>
          <t>1981</t>
        </is>
      </c>
      <c r="O1475" t="inlineStr">
        <is>
          <t>eng</t>
        </is>
      </c>
      <c r="P1475" t="inlineStr">
        <is>
          <t>mau</t>
        </is>
      </c>
      <c r="R1475" t="inlineStr">
        <is>
          <t xml:space="preserve">GV </t>
        </is>
      </c>
      <c r="S1475" t="n">
        <v>4</v>
      </c>
      <c r="T1475" t="n">
        <v>4</v>
      </c>
      <c r="U1475" t="inlineStr">
        <is>
          <t>1996-10-08</t>
        </is>
      </c>
      <c r="V1475" t="inlineStr">
        <is>
          <t>1996-10-08</t>
        </is>
      </c>
      <c r="W1475" t="inlineStr">
        <is>
          <t>1990-10-17</t>
        </is>
      </c>
      <c r="X1475" t="inlineStr">
        <is>
          <t>1990-10-17</t>
        </is>
      </c>
      <c r="Y1475" t="n">
        <v>483</v>
      </c>
      <c r="Z1475" t="n">
        <v>451</v>
      </c>
      <c r="AA1475" t="n">
        <v>564</v>
      </c>
      <c r="AB1475" t="n">
        <v>3</v>
      </c>
      <c r="AC1475" t="n">
        <v>3</v>
      </c>
      <c r="AD1475" t="n">
        <v>12</v>
      </c>
      <c r="AE1475" t="n">
        <v>19</v>
      </c>
      <c r="AF1475" t="n">
        <v>7</v>
      </c>
      <c r="AG1475" t="n">
        <v>9</v>
      </c>
      <c r="AH1475" t="n">
        <v>1</v>
      </c>
      <c r="AI1475" t="n">
        <v>3</v>
      </c>
      <c r="AJ1475" t="n">
        <v>5</v>
      </c>
      <c r="AK1475" t="n">
        <v>10</v>
      </c>
      <c r="AL1475" t="n">
        <v>2</v>
      </c>
      <c r="AM1475" t="n">
        <v>2</v>
      </c>
      <c r="AN1475" t="n">
        <v>0</v>
      </c>
      <c r="AO1475" t="n">
        <v>0</v>
      </c>
      <c r="AP1475" t="inlineStr">
        <is>
          <t>No</t>
        </is>
      </c>
      <c r="AQ1475" t="inlineStr">
        <is>
          <t>Yes</t>
        </is>
      </c>
      <c r="AR1475">
        <f>HYPERLINK("http://catalog.hathitrust.org/Record/000761421","HathiTrust Record")</f>
        <v/>
      </c>
      <c r="AS1475">
        <f>HYPERLINK("https://creighton-primo.hosted.exlibrisgroup.com/primo-explore/search?tab=default_tab&amp;search_scope=EVERYTHING&amp;vid=01CRU&amp;lang=en_US&amp;offset=0&amp;query=any,contains,991005134109702656","Catalog Record")</f>
        <v/>
      </c>
      <c r="AT1475">
        <f>HYPERLINK("http://www.worldcat.org/oclc/7575214","WorldCat Record")</f>
        <v/>
      </c>
      <c r="AU1475" t="inlineStr">
        <is>
          <t>469062:eng</t>
        </is>
      </c>
      <c r="AV1475" t="inlineStr">
        <is>
          <t>7575214</t>
        </is>
      </c>
      <c r="AW1475" t="inlineStr">
        <is>
          <t>991005134109702656</t>
        </is>
      </c>
      <c r="AX1475" t="inlineStr">
        <is>
          <t>991005134109702656</t>
        </is>
      </c>
      <c r="AY1475" t="inlineStr">
        <is>
          <t>2265550900002656</t>
        </is>
      </c>
      <c r="AZ1475" t="inlineStr">
        <is>
          <t>BOOK</t>
        </is>
      </c>
      <c r="BB1475" t="inlineStr">
        <is>
          <t>9780395312971</t>
        </is>
      </c>
      <c r="BC1475" t="inlineStr">
        <is>
          <t>32285000342195</t>
        </is>
      </c>
      <c r="BD1475" t="inlineStr">
        <is>
          <t>893326217</t>
        </is>
      </c>
    </row>
    <row r="1476">
      <c r="A1476" t="inlineStr">
        <is>
          <t>No</t>
        </is>
      </c>
      <c r="B1476" t="inlineStr">
        <is>
          <t>GV706.5 .L465 1988</t>
        </is>
      </c>
      <c r="C1476" t="inlineStr">
        <is>
          <t>0                      GV 0706500L  465         1988</t>
        </is>
      </c>
      <c r="D1476" t="inlineStr">
        <is>
          <t>A sociological perspective of sport / Wilbert Marcellus Leonard II.</t>
        </is>
      </c>
      <c r="F1476" t="inlineStr">
        <is>
          <t>No</t>
        </is>
      </c>
      <c r="G1476" t="inlineStr">
        <is>
          <t>1</t>
        </is>
      </c>
      <c r="H1476" t="inlineStr">
        <is>
          <t>No</t>
        </is>
      </c>
      <c r="I1476" t="inlineStr">
        <is>
          <t>No</t>
        </is>
      </c>
      <c r="J1476" t="inlineStr">
        <is>
          <t>0</t>
        </is>
      </c>
      <c r="K1476" t="inlineStr">
        <is>
          <t>Leonard, Wilbert Marcellus.</t>
        </is>
      </c>
      <c r="L1476" t="inlineStr">
        <is>
          <t>New York : Macmillan ; London : Collier Macmillan, c1988.</t>
        </is>
      </c>
      <c r="M1476" t="inlineStr">
        <is>
          <t>1988</t>
        </is>
      </c>
      <c r="N1476" t="inlineStr">
        <is>
          <t>3rd ed.</t>
        </is>
      </c>
      <c r="O1476" t="inlineStr">
        <is>
          <t>eng</t>
        </is>
      </c>
      <c r="P1476" t="inlineStr">
        <is>
          <t>nyu</t>
        </is>
      </c>
      <c r="R1476" t="inlineStr">
        <is>
          <t xml:space="preserve">GV </t>
        </is>
      </c>
      <c r="S1476" t="n">
        <v>9</v>
      </c>
      <c r="T1476" t="n">
        <v>9</v>
      </c>
      <c r="U1476" t="inlineStr">
        <is>
          <t>1998-02-08</t>
        </is>
      </c>
      <c r="V1476" t="inlineStr">
        <is>
          <t>1998-02-08</t>
        </is>
      </c>
      <c r="W1476" t="inlineStr">
        <is>
          <t>1992-01-28</t>
        </is>
      </c>
      <c r="X1476" t="inlineStr">
        <is>
          <t>1992-01-28</t>
        </is>
      </c>
      <c r="Y1476" t="n">
        <v>194</v>
      </c>
      <c r="Z1476" t="n">
        <v>142</v>
      </c>
      <c r="AA1476" t="n">
        <v>590</v>
      </c>
      <c r="AB1476" t="n">
        <v>3</v>
      </c>
      <c r="AC1476" t="n">
        <v>5</v>
      </c>
      <c r="AD1476" t="n">
        <v>5</v>
      </c>
      <c r="AE1476" t="n">
        <v>23</v>
      </c>
      <c r="AF1476" t="n">
        <v>1</v>
      </c>
      <c r="AG1476" t="n">
        <v>11</v>
      </c>
      <c r="AH1476" t="n">
        <v>1</v>
      </c>
      <c r="AI1476" t="n">
        <v>5</v>
      </c>
      <c r="AJ1476" t="n">
        <v>1</v>
      </c>
      <c r="AK1476" t="n">
        <v>9</v>
      </c>
      <c r="AL1476" t="n">
        <v>2</v>
      </c>
      <c r="AM1476" t="n">
        <v>4</v>
      </c>
      <c r="AN1476" t="n">
        <v>0</v>
      </c>
      <c r="AO1476" t="n">
        <v>0</v>
      </c>
      <c r="AP1476" t="inlineStr">
        <is>
          <t>No</t>
        </is>
      </c>
      <c r="AQ1476" t="inlineStr">
        <is>
          <t>No</t>
        </is>
      </c>
      <c r="AS1476">
        <f>HYPERLINK("https://creighton-primo.hosted.exlibrisgroup.com/primo-explore/search?tab=default_tab&amp;search_scope=EVERYTHING&amp;vid=01CRU&amp;lang=en_US&amp;offset=0&amp;query=any,contains,991001080889702656","Catalog Record")</f>
        <v/>
      </c>
      <c r="AT1476">
        <f>HYPERLINK("http://www.worldcat.org/oclc/16086918","WorldCat Record")</f>
        <v/>
      </c>
      <c r="AU1476" t="inlineStr">
        <is>
          <t>600868:eng</t>
        </is>
      </c>
      <c r="AV1476" t="inlineStr">
        <is>
          <t>16086918</t>
        </is>
      </c>
      <c r="AW1476" t="inlineStr">
        <is>
          <t>991001080889702656</t>
        </is>
      </c>
      <c r="AX1476" t="inlineStr">
        <is>
          <t>991001080889702656</t>
        </is>
      </c>
      <c r="AY1476" t="inlineStr">
        <is>
          <t>2257303710002656</t>
        </is>
      </c>
      <c r="AZ1476" t="inlineStr">
        <is>
          <t>BOOK</t>
        </is>
      </c>
      <c r="BB1476" t="inlineStr">
        <is>
          <t>9780023698668</t>
        </is>
      </c>
      <c r="BC1476" t="inlineStr">
        <is>
          <t>32285000866920</t>
        </is>
      </c>
      <c r="BD1476" t="inlineStr">
        <is>
          <t>893243838</t>
        </is>
      </c>
    </row>
    <row r="1477">
      <c r="A1477" t="inlineStr">
        <is>
          <t>No</t>
        </is>
      </c>
      <c r="B1477" t="inlineStr">
        <is>
          <t>GV706.5 .L69</t>
        </is>
      </c>
      <c r="C1477" t="inlineStr">
        <is>
          <t>0                      GV 0706500L  69</t>
        </is>
      </c>
      <c r="D1477" t="inlineStr">
        <is>
          <t>Sport and social systems : a guide to the analysis, problems, and literature / John W. Loy, Barry D. McPherson, Gerald Kenyon.</t>
        </is>
      </c>
      <c r="F1477" t="inlineStr">
        <is>
          <t>No</t>
        </is>
      </c>
      <c r="G1477" t="inlineStr">
        <is>
          <t>1</t>
        </is>
      </c>
      <c r="H1477" t="inlineStr">
        <is>
          <t>No</t>
        </is>
      </c>
      <c r="I1477" t="inlineStr">
        <is>
          <t>No</t>
        </is>
      </c>
      <c r="J1477" t="inlineStr">
        <is>
          <t>0</t>
        </is>
      </c>
      <c r="K1477" t="inlineStr">
        <is>
          <t>Loy, John W.</t>
        </is>
      </c>
      <c r="L1477" t="inlineStr">
        <is>
          <t>Reading, Mass. : Addison-Wesley, c1978.</t>
        </is>
      </c>
      <c r="M1477" t="inlineStr">
        <is>
          <t>1978</t>
        </is>
      </c>
      <c r="O1477" t="inlineStr">
        <is>
          <t>eng</t>
        </is>
      </c>
      <c r="P1477" t="inlineStr">
        <is>
          <t>mau</t>
        </is>
      </c>
      <c r="Q1477" t="inlineStr">
        <is>
          <t>Addison-Wesley series in the social significance of sport</t>
        </is>
      </c>
      <c r="R1477" t="inlineStr">
        <is>
          <t xml:space="preserve">GV </t>
        </is>
      </c>
      <c r="S1477" t="n">
        <v>1</v>
      </c>
      <c r="T1477" t="n">
        <v>1</v>
      </c>
      <c r="U1477" t="inlineStr">
        <is>
          <t>1995-04-08</t>
        </is>
      </c>
      <c r="V1477" t="inlineStr">
        <is>
          <t>1995-04-08</t>
        </is>
      </c>
      <c r="W1477" t="inlineStr">
        <is>
          <t>1990-03-28</t>
        </is>
      </c>
      <c r="X1477" t="inlineStr">
        <is>
          <t>1990-03-28</t>
        </is>
      </c>
      <c r="Y1477" t="n">
        <v>513</v>
      </c>
      <c r="Z1477" t="n">
        <v>386</v>
      </c>
      <c r="AA1477" t="n">
        <v>388</v>
      </c>
      <c r="AB1477" t="n">
        <v>6</v>
      </c>
      <c r="AC1477" t="n">
        <v>6</v>
      </c>
      <c r="AD1477" t="n">
        <v>14</v>
      </c>
      <c r="AE1477" t="n">
        <v>14</v>
      </c>
      <c r="AF1477" t="n">
        <v>4</v>
      </c>
      <c r="AG1477" t="n">
        <v>4</v>
      </c>
      <c r="AH1477" t="n">
        <v>2</v>
      </c>
      <c r="AI1477" t="n">
        <v>2</v>
      </c>
      <c r="AJ1477" t="n">
        <v>6</v>
      </c>
      <c r="AK1477" t="n">
        <v>6</v>
      </c>
      <c r="AL1477" t="n">
        <v>5</v>
      </c>
      <c r="AM1477" t="n">
        <v>5</v>
      </c>
      <c r="AN1477" t="n">
        <v>0</v>
      </c>
      <c r="AO1477" t="n">
        <v>0</v>
      </c>
      <c r="AP1477" t="inlineStr">
        <is>
          <t>No</t>
        </is>
      </c>
      <c r="AQ1477" t="inlineStr">
        <is>
          <t>Yes</t>
        </is>
      </c>
      <c r="AR1477">
        <f>HYPERLINK("http://catalog.hathitrust.org/Record/000174982","HathiTrust Record")</f>
        <v/>
      </c>
      <c r="AS1477">
        <f>HYPERLINK("https://creighton-primo.hosted.exlibrisgroup.com/primo-explore/search?tab=default_tab&amp;search_scope=EVERYTHING&amp;vid=01CRU&amp;lang=en_US&amp;offset=0&amp;query=any,contains,991004552689702656","Catalog Record")</f>
        <v/>
      </c>
      <c r="AT1477">
        <f>HYPERLINK("http://www.worldcat.org/oclc/3947517","WorldCat Record")</f>
        <v/>
      </c>
      <c r="AU1477" t="inlineStr">
        <is>
          <t>308796182:eng</t>
        </is>
      </c>
      <c r="AV1477" t="inlineStr">
        <is>
          <t>3947517</t>
        </is>
      </c>
      <c r="AW1477" t="inlineStr">
        <is>
          <t>991004552689702656</t>
        </is>
      </c>
      <c r="AX1477" t="inlineStr">
        <is>
          <t>991004552689702656</t>
        </is>
      </c>
      <c r="AY1477" t="inlineStr">
        <is>
          <t>2267964970002656</t>
        </is>
      </c>
      <c r="AZ1477" t="inlineStr">
        <is>
          <t>BOOK</t>
        </is>
      </c>
      <c r="BB1477" t="inlineStr">
        <is>
          <t>9780201041439</t>
        </is>
      </c>
      <c r="BC1477" t="inlineStr">
        <is>
          <t>32285000099670</t>
        </is>
      </c>
      <c r="BD1477" t="inlineStr">
        <is>
          <t>893442746</t>
        </is>
      </c>
    </row>
    <row r="1478">
      <c r="A1478" t="inlineStr">
        <is>
          <t>No</t>
        </is>
      </c>
      <c r="B1478" t="inlineStr">
        <is>
          <t>GV706.5 .M345 2004</t>
        </is>
      </c>
      <c r="C1478" t="inlineStr">
        <is>
          <t>0                      GV 0706500M  345         2004</t>
        </is>
      </c>
      <c r="D1478" t="inlineStr">
        <is>
          <t>The meaning of sports : why Americans watch baseball, football, and basketball and what they see when they do / Michael Mandelbaum.</t>
        </is>
      </c>
      <c r="F1478" t="inlineStr">
        <is>
          <t>No</t>
        </is>
      </c>
      <c r="G1478" t="inlineStr">
        <is>
          <t>1</t>
        </is>
      </c>
      <c r="H1478" t="inlineStr">
        <is>
          <t>No</t>
        </is>
      </c>
      <c r="I1478" t="inlineStr">
        <is>
          <t>No</t>
        </is>
      </c>
      <c r="J1478" t="inlineStr">
        <is>
          <t>0</t>
        </is>
      </c>
      <c r="K1478" t="inlineStr">
        <is>
          <t>Mandelbaum, Michael.</t>
        </is>
      </c>
      <c r="L1478" t="inlineStr">
        <is>
          <t>New York : Public Affairs, c2004.</t>
        </is>
      </c>
      <c r="M1478" t="inlineStr">
        <is>
          <t>2004</t>
        </is>
      </c>
      <c r="O1478" t="inlineStr">
        <is>
          <t>eng</t>
        </is>
      </c>
      <c r="P1478" t="inlineStr">
        <is>
          <t>nyu</t>
        </is>
      </c>
      <c r="R1478" t="inlineStr">
        <is>
          <t xml:space="preserve">GV </t>
        </is>
      </c>
      <c r="S1478" t="n">
        <v>5</v>
      </c>
      <c r="T1478" t="n">
        <v>5</v>
      </c>
      <c r="U1478" t="inlineStr">
        <is>
          <t>2009-11-16</t>
        </is>
      </c>
      <c r="V1478" t="inlineStr">
        <is>
          <t>2009-11-16</t>
        </is>
      </c>
      <c r="W1478" t="inlineStr">
        <is>
          <t>2004-07-22</t>
        </is>
      </c>
      <c r="X1478" t="inlineStr">
        <is>
          <t>2004-07-22</t>
        </is>
      </c>
      <c r="Y1478" t="n">
        <v>776</v>
      </c>
      <c r="Z1478" t="n">
        <v>701</v>
      </c>
      <c r="AA1478" t="n">
        <v>853</v>
      </c>
      <c r="AB1478" t="n">
        <v>8</v>
      </c>
      <c r="AC1478" t="n">
        <v>8</v>
      </c>
      <c r="AD1478" t="n">
        <v>32</v>
      </c>
      <c r="AE1478" t="n">
        <v>34</v>
      </c>
      <c r="AF1478" t="n">
        <v>16</v>
      </c>
      <c r="AG1478" t="n">
        <v>17</v>
      </c>
      <c r="AH1478" t="n">
        <v>5</v>
      </c>
      <c r="AI1478" t="n">
        <v>6</v>
      </c>
      <c r="AJ1478" t="n">
        <v>13</v>
      </c>
      <c r="AK1478" t="n">
        <v>13</v>
      </c>
      <c r="AL1478" t="n">
        <v>6</v>
      </c>
      <c r="AM1478" t="n">
        <v>6</v>
      </c>
      <c r="AN1478" t="n">
        <v>0</v>
      </c>
      <c r="AO1478" t="n">
        <v>0</v>
      </c>
      <c r="AP1478" t="inlineStr">
        <is>
          <t>No</t>
        </is>
      </c>
      <c r="AQ1478" t="inlineStr">
        <is>
          <t>No</t>
        </is>
      </c>
      <c r="AS1478">
        <f>HYPERLINK("https://creighton-primo.hosted.exlibrisgroup.com/primo-explore/search?tab=default_tab&amp;search_scope=EVERYTHING&amp;vid=01CRU&amp;lang=en_US&amp;offset=0&amp;query=any,contains,991004317599702656","Catalog Record")</f>
        <v/>
      </c>
      <c r="AT1478">
        <f>HYPERLINK("http://www.worldcat.org/oclc/55539339","WorldCat Record")</f>
        <v/>
      </c>
      <c r="AU1478" t="inlineStr">
        <is>
          <t>887032153:eng</t>
        </is>
      </c>
      <c r="AV1478" t="inlineStr">
        <is>
          <t>55539339</t>
        </is>
      </c>
      <c r="AW1478" t="inlineStr">
        <is>
          <t>991004317599702656</t>
        </is>
      </c>
      <c r="AX1478" t="inlineStr">
        <is>
          <t>991004317599702656</t>
        </is>
      </c>
      <c r="AY1478" t="inlineStr">
        <is>
          <t>2257367050002656</t>
        </is>
      </c>
      <c r="AZ1478" t="inlineStr">
        <is>
          <t>BOOK</t>
        </is>
      </c>
      <c r="BB1478" t="inlineStr">
        <is>
          <t>9781586482527</t>
        </is>
      </c>
      <c r="BC1478" t="inlineStr">
        <is>
          <t>32285004925003</t>
        </is>
      </c>
      <c r="BD1478" t="inlineStr">
        <is>
          <t>893712444</t>
        </is>
      </c>
    </row>
    <row r="1479">
      <c r="A1479" t="inlineStr">
        <is>
          <t>No</t>
        </is>
      </c>
      <c r="B1479" t="inlineStr">
        <is>
          <t>GV706.5 .R59 1990</t>
        </is>
      </c>
      <c r="C1479" t="inlineStr">
        <is>
          <t>0                      GV 0706500R  59          1990</t>
        </is>
      </c>
      <c r="D1479" t="inlineStr">
        <is>
          <t>Ritual and record : sports records and quantification in pre-modern societies / edited by John Marshall Carter and Arnd Krüger.</t>
        </is>
      </c>
      <c r="F1479" t="inlineStr">
        <is>
          <t>No</t>
        </is>
      </c>
      <c r="G1479" t="inlineStr">
        <is>
          <t>1</t>
        </is>
      </c>
      <c r="H1479" t="inlineStr">
        <is>
          <t>No</t>
        </is>
      </c>
      <c r="I1479" t="inlineStr">
        <is>
          <t>No</t>
        </is>
      </c>
      <c r="J1479" t="inlineStr">
        <is>
          <t>0</t>
        </is>
      </c>
      <c r="L1479" t="inlineStr">
        <is>
          <t>New York : Greenwood Press, 1990.</t>
        </is>
      </c>
      <c r="M1479" t="inlineStr">
        <is>
          <t>1990</t>
        </is>
      </c>
      <c r="O1479" t="inlineStr">
        <is>
          <t>eng</t>
        </is>
      </c>
      <c r="P1479" t="inlineStr">
        <is>
          <t>nyu</t>
        </is>
      </c>
      <c r="Q1479" t="inlineStr">
        <is>
          <t>Contributions to the study of world history, 0885-9159 ; no. 17</t>
        </is>
      </c>
      <c r="R1479" t="inlineStr">
        <is>
          <t xml:space="preserve">GV </t>
        </is>
      </c>
      <c r="S1479" t="n">
        <v>2</v>
      </c>
      <c r="T1479" t="n">
        <v>2</v>
      </c>
      <c r="U1479" t="inlineStr">
        <is>
          <t>2008-01-27</t>
        </is>
      </c>
      <c r="V1479" t="inlineStr">
        <is>
          <t>2008-01-27</t>
        </is>
      </c>
      <c r="W1479" t="inlineStr">
        <is>
          <t>2006-11-16</t>
        </is>
      </c>
      <c r="X1479" t="inlineStr">
        <is>
          <t>2006-11-16</t>
        </is>
      </c>
      <c r="Y1479" t="n">
        <v>259</v>
      </c>
      <c r="Z1479" t="n">
        <v>204</v>
      </c>
      <c r="AA1479" t="n">
        <v>205</v>
      </c>
      <c r="AB1479" t="n">
        <v>3</v>
      </c>
      <c r="AC1479" t="n">
        <v>3</v>
      </c>
      <c r="AD1479" t="n">
        <v>8</v>
      </c>
      <c r="AE1479" t="n">
        <v>8</v>
      </c>
      <c r="AF1479" t="n">
        <v>1</v>
      </c>
      <c r="AG1479" t="n">
        <v>1</v>
      </c>
      <c r="AH1479" t="n">
        <v>2</v>
      </c>
      <c r="AI1479" t="n">
        <v>2</v>
      </c>
      <c r="AJ1479" t="n">
        <v>5</v>
      </c>
      <c r="AK1479" t="n">
        <v>5</v>
      </c>
      <c r="AL1479" t="n">
        <v>2</v>
      </c>
      <c r="AM1479" t="n">
        <v>2</v>
      </c>
      <c r="AN1479" t="n">
        <v>0</v>
      </c>
      <c r="AO1479" t="n">
        <v>0</v>
      </c>
      <c r="AP1479" t="inlineStr">
        <is>
          <t>No</t>
        </is>
      </c>
      <c r="AQ1479" t="inlineStr">
        <is>
          <t>Yes</t>
        </is>
      </c>
      <c r="AR1479">
        <f>HYPERLINK("http://catalog.hathitrust.org/Record/006940037","HathiTrust Record")</f>
        <v/>
      </c>
      <c r="AS1479">
        <f>HYPERLINK("https://creighton-primo.hosted.exlibrisgroup.com/primo-explore/search?tab=default_tab&amp;search_scope=EVERYTHING&amp;vid=01CRU&amp;lang=en_US&amp;offset=0&amp;query=any,contains,991004983239702656","Catalog Record")</f>
        <v/>
      </c>
      <c r="AT1479">
        <f>HYPERLINK("http://www.worldcat.org/oclc/20932609","WorldCat Record")</f>
        <v/>
      </c>
      <c r="AU1479" t="inlineStr">
        <is>
          <t>836805916:eng</t>
        </is>
      </c>
      <c r="AV1479" t="inlineStr">
        <is>
          <t>20932609</t>
        </is>
      </c>
      <c r="AW1479" t="inlineStr">
        <is>
          <t>991004983239702656</t>
        </is>
      </c>
      <c r="AX1479" t="inlineStr">
        <is>
          <t>991004983239702656</t>
        </is>
      </c>
      <c r="AY1479" t="inlineStr">
        <is>
          <t>2265645820002656</t>
        </is>
      </c>
      <c r="AZ1479" t="inlineStr">
        <is>
          <t>BOOK</t>
        </is>
      </c>
      <c r="BB1479" t="inlineStr">
        <is>
          <t>9780313256998</t>
        </is>
      </c>
      <c r="BC1479" t="inlineStr">
        <is>
          <t>32285005260277</t>
        </is>
      </c>
      <c r="BD1479" t="inlineStr">
        <is>
          <t>893344474</t>
        </is>
      </c>
    </row>
    <row r="1480">
      <c r="A1480" t="inlineStr">
        <is>
          <t>No</t>
        </is>
      </c>
      <c r="B1480" t="inlineStr">
        <is>
          <t>GV708.5 .O46 1984</t>
        </is>
      </c>
      <c r="C1480" t="inlineStr">
        <is>
          <t>0                      GV 0708500O  46          1984</t>
        </is>
      </c>
      <c r="D1480" t="inlineStr">
        <is>
          <t>Sport and aging / Barry D. McPherson, editor.</t>
        </is>
      </c>
      <c r="F1480" t="inlineStr">
        <is>
          <t>No</t>
        </is>
      </c>
      <c r="G1480" t="inlineStr">
        <is>
          <t>1</t>
        </is>
      </c>
      <c r="H1480" t="inlineStr">
        <is>
          <t>No</t>
        </is>
      </c>
      <c r="I1480" t="inlineStr">
        <is>
          <t>No</t>
        </is>
      </c>
      <c r="J1480" t="inlineStr">
        <is>
          <t>0</t>
        </is>
      </c>
      <c r="K1480" t="inlineStr">
        <is>
          <t>Olympic Scientific Congress (1984 : Eugene, Or.)</t>
        </is>
      </c>
      <c r="L1480" t="inlineStr">
        <is>
          <t>Champaign, IL : Human Kinetics Publishers, c1986.</t>
        </is>
      </c>
      <c r="M1480" t="inlineStr">
        <is>
          <t>1986</t>
        </is>
      </c>
      <c r="O1480" t="inlineStr">
        <is>
          <t>eng</t>
        </is>
      </c>
      <c r="P1480" t="inlineStr">
        <is>
          <t>ilu</t>
        </is>
      </c>
      <c r="Q1480" t="inlineStr">
        <is>
          <t>1984 Olympic Scientific Congress proceedings ; v. 5</t>
        </is>
      </c>
      <c r="R1480" t="inlineStr">
        <is>
          <t xml:space="preserve">GV </t>
        </is>
      </c>
      <c r="S1480" t="n">
        <v>6</v>
      </c>
      <c r="T1480" t="n">
        <v>6</v>
      </c>
      <c r="U1480" t="inlineStr">
        <is>
          <t>1994-11-19</t>
        </is>
      </c>
      <c r="V1480" t="inlineStr">
        <is>
          <t>1994-11-19</t>
        </is>
      </c>
      <c r="W1480" t="inlineStr">
        <is>
          <t>1990-10-17</t>
        </is>
      </c>
      <c r="X1480" t="inlineStr">
        <is>
          <t>1990-10-17</t>
        </is>
      </c>
      <c r="Y1480" t="n">
        <v>455</v>
      </c>
      <c r="Z1480" t="n">
        <v>335</v>
      </c>
      <c r="AA1480" t="n">
        <v>337</v>
      </c>
      <c r="AB1480" t="n">
        <v>4</v>
      </c>
      <c r="AC1480" t="n">
        <v>4</v>
      </c>
      <c r="AD1480" t="n">
        <v>14</v>
      </c>
      <c r="AE1480" t="n">
        <v>14</v>
      </c>
      <c r="AF1480" t="n">
        <v>7</v>
      </c>
      <c r="AG1480" t="n">
        <v>7</v>
      </c>
      <c r="AH1480" t="n">
        <v>2</v>
      </c>
      <c r="AI1480" t="n">
        <v>2</v>
      </c>
      <c r="AJ1480" t="n">
        <v>4</v>
      </c>
      <c r="AK1480" t="n">
        <v>4</v>
      </c>
      <c r="AL1480" t="n">
        <v>3</v>
      </c>
      <c r="AM1480" t="n">
        <v>3</v>
      </c>
      <c r="AN1480" t="n">
        <v>0</v>
      </c>
      <c r="AO1480" t="n">
        <v>0</v>
      </c>
      <c r="AP1480" t="inlineStr">
        <is>
          <t>No</t>
        </is>
      </c>
      <c r="AQ1480" t="inlineStr">
        <is>
          <t>Yes</t>
        </is>
      </c>
      <c r="AR1480">
        <f>HYPERLINK("http://catalog.hathitrust.org/Record/007104400","HathiTrust Record")</f>
        <v/>
      </c>
      <c r="AS1480">
        <f>HYPERLINK("https://creighton-primo.hosted.exlibrisgroup.com/primo-explore/search?tab=default_tab&amp;search_scope=EVERYTHING&amp;vid=01CRU&amp;lang=en_US&amp;offset=0&amp;query=any,contains,991000688489702656","Catalog Record")</f>
        <v/>
      </c>
      <c r="AT1480">
        <f>HYPERLINK("http://www.worldcat.org/oclc/12422376","WorldCat Record")</f>
        <v/>
      </c>
      <c r="AU1480" t="inlineStr">
        <is>
          <t>5067050:eng</t>
        </is>
      </c>
      <c r="AV1480" t="inlineStr">
        <is>
          <t>12422376</t>
        </is>
      </c>
      <c r="AW1480" t="inlineStr">
        <is>
          <t>991000688489702656</t>
        </is>
      </c>
      <c r="AX1480" t="inlineStr">
        <is>
          <t>991000688489702656</t>
        </is>
      </c>
      <c r="AY1480" t="inlineStr">
        <is>
          <t>2256036580002656</t>
        </is>
      </c>
      <c r="AZ1480" t="inlineStr">
        <is>
          <t>BOOK</t>
        </is>
      </c>
      <c r="BB1480" t="inlineStr">
        <is>
          <t>9780873220125</t>
        </is>
      </c>
      <c r="BC1480" t="inlineStr">
        <is>
          <t>32285000342344</t>
        </is>
      </c>
      <c r="BD1480" t="inlineStr">
        <is>
          <t>893413591</t>
        </is>
      </c>
    </row>
    <row r="1481">
      <c r="A1481" t="inlineStr">
        <is>
          <t>No</t>
        </is>
      </c>
      <c r="B1481" t="inlineStr">
        <is>
          <t>GV709 .F35 2004</t>
        </is>
      </c>
      <c r="C1481" t="inlineStr">
        <is>
          <t>0                      GV 0709000F  35          2004</t>
        </is>
      </c>
      <c r="D1481" t="inlineStr">
        <is>
          <t>The female athlete : train for success / Michael Bradley ... [et al.].</t>
        </is>
      </c>
      <c r="F1481" t="inlineStr">
        <is>
          <t>No</t>
        </is>
      </c>
      <c r="G1481" t="inlineStr">
        <is>
          <t>1</t>
        </is>
      </c>
      <c r="H1481" t="inlineStr">
        <is>
          <t>No</t>
        </is>
      </c>
      <c r="I1481" t="inlineStr">
        <is>
          <t>No</t>
        </is>
      </c>
      <c r="J1481" t="inlineStr">
        <is>
          <t>0</t>
        </is>
      </c>
      <c r="L1481" t="inlineStr">
        <is>
          <t>Terre Haute, Ind. : Wish Pub. ; Indianapolis : Distributed in the U.S. by Cardinal Publishers Group, c2004.</t>
        </is>
      </c>
      <c r="M1481" t="inlineStr">
        <is>
          <t>2004</t>
        </is>
      </c>
      <c r="O1481" t="inlineStr">
        <is>
          <t>eng</t>
        </is>
      </c>
      <c r="P1481" t="inlineStr">
        <is>
          <t>inu</t>
        </is>
      </c>
      <c r="R1481" t="inlineStr">
        <is>
          <t xml:space="preserve">GV </t>
        </is>
      </c>
      <c r="S1481" t="n">
        <v>6</v>
      </c>
      <c r="T1481" t="n">
        <v>6</v>
      </c>
      <c r="U1481" t="inlineStr">
        <is>
          <t>2007-01-10</t>
        </is>
      </c>
      <c r="V1481" t="inlineStr">
        <is>
          <t>2007-01-10</t>
        </is>
      </c>
      <c r="W1481" t="inlineStr">
        <is>
          <t>2004-11-15</t>
        </is>
      </c>
      <c r="X1481" t="inlineStr">
        <is>
          <t>2004-11-15</t>
        </is>
      </c>
      <c r="Y1481" t="n">
        <v>250</v>
      </c>
      <c r="Z1481" t="n">
        <v>235</v>
      </c>
      <c r="AA1481" t="n">
        <v>250</v>
      </c>
      <c r="AB1481" t="n">
        <v>3</v>
      </c>
      <c r="AC1481" t="n">
        <v>3</v>
      </c>
      <c r="AD1481" t="n">
        <v>7</v>
      </c>
      <c r="AE1481" t="n">
        <v>7</v>
      </c>
      <c r="AF1481" t="n">
        <v>3</v>
      </c>
      <c r="AG1481" t="n">
        <v>3</v>
      </c>
      <c r="AH1481" t="n">
        <v>2</v>
      </c>
      <c r="AI1481" t="n">
        <v>2</v>
      </c>
      <c r="AJ1481" t="n">
        <v>2</v>
      </c>
      <c r="AK1481" t="n">
        <v>2</v>
      </c>
      <c r="AL1481" t="n">
        <v>2</v>
      </c>
      <c r="AM1481" t="n">
        <v>2</v>
      </c>
      <c r="AN1481" t="n">
        <v>0</v>
      </c>
      <c r="AO1481" t="n">
        <v>0</v>
      </c>
      <c r="AP1481" t="inlineStr">
        <is>
          <t>No</t>
        </is>
      </c>
      <c r="AQ1481" t="inlineStr">
        <is>
          <t>No</t>
        </is>
      </c>
      <c r="AS1481">
        <f>HYPERLINK("https://creighton-primo.hosted.exlibrisgroup.com/primo-explore/search?tab=default_tab&amp;search_scope=EVERYTHING&amp;vid=01CRU&amp;lang=en_US&amp;offset=0&amp;query=any,contains,991004405329702656","Catalog Record")</f>
        <v/>
      </c>
      <c r="AT1481">
        <f>HYPERLINK("http://www.worldcat.org/oclc/55038406","WorldCat Record")</f>
        <v/>
      </c>
      <c r="AU1481" t="inlineStr">
        <is>
          <t>355180144:eng</t>
        </is>
      </c>
      <c r="AV1481" t="inlineStr">
        <is>
          <t>55038406</t>
        </is>
      </c>
      <c r="AW1481" t="inlineStr">
        <is>
          <t>991004405329702656</t>
        </is>
      </c>
      <c r="AX1481" t="inlineStr">
        <is>
          <t>991004405329702656</t>
        </is>
      </c>
      <c r="AY1481" t="inlineStr">
        <is>
          <t>2270562340002656</t>
        </is>
      </c>
      <c r="AZ1481" t="inlineStr">
        <is>
          <t>BOOK</t>
        </is>
      </c>
      <c r="BB1481" t="inlineStr">
        <is>
          <t>9781930546677</t>
        </is>
      </c>
      <c r="BC1481" t="inlineStr">
        <is>
          <t>32285005010441</t>
        </is>
      </c>
      <c r="BD1481" t="inlineStr">
        <is>
          <t>893882441</t>
        </is>
      </c>
    </row>
    <row r="1482">
      <c r="A1482" t="inlineStr">
        <is>
          <t>No</t>
        </is>
      </c>
      <c r="B1482" t="inlineStr">
        <is>
          <t>GV709 .H47</t>
        </is>
      </c>
      <c r="C1482" t="inlineStr">
        <is>
          <t>0                      GV 0709000H  47</t>
        </is>
      </c>
      <c r="D1482" t="inlineStr">
        <is>
          <t>Her story in sport : a historical anthology of women in sports / edited by Reet Howell ; foreword by Eva Auchinclass.</t>
        </is>
      </c>
      <c r="F1482" t="inlineStr">
        <is>
          <t>No</t>
        </is>
      </c>
      <c r="G1482" t="inlineStr">
        <is>
          <t>1</t>
        </is>
      </c>
      <c r="H1482" t="inlineStr">
        <is>
          <t>No</t>
        </is>
      </c>
      <c r="I1482" t="inlineStr">
        <is>
          <t>No</t>
        </is>
      </c>
      <c r="J1482" t="inlineStr">
        <is>
          <t>0</t>
        </is>
      </c>
      <c r="L1482" t="inlineStr">
        <is>
          <t>West Point, N.Y. : Leisure Press, 1982.</t>
        </is>
      </c>
      <c r="M1482" t="inlineStr">
        <is>
          <t>1982</t>
        </is>
      </c>
      <c r="O1482" t="inlineStr">
        <is>
          <t>eng</t>
        </is>
      </c>
      <c r="P1482" t="inlineStr">
        <is>
          <t>nyu</t>
        </is>
      </c>
      <c r="R1482" t="inlineStr">
        <is>
          <t xml:space="preserve">GV </t>
        </is>
      </c>
      <c r="S1482" t="n">
        <v>9</v>
      </c>
      <c r="T1482" t="n">
        <v>9</v>
      </c>
      <c r="U1482" t="inlineStr">
        <is>
          <t>2008-03-31</t>
        </is>
      </c>
      <c r="V1482" t="inlineStr">
        <is>
          <t>2008-03-31</t>
        </is>
      </c>
      <c r="W1482" t="inlineStr">
        <is>
          <t>1990-10-18</t>
        </is>
      </c>
      <c r="X1482" t="inlineStr">
        <is>
          <t>1990-10-18</t>
        </is>
      </c>
      <c r="Y1482" t="n">
        <v>512</v>
      </c>
      <c r="Z1482" t="n">
        <v>437</v>
      </c>
      <c r="AA1482" t="n">
        <v>439</v>
      </c>
      <c r="AB1482" t="n">
        <v>6</v>
      </c>
      <c r="AC1482" t="n">
        <v>6</v>
      </c>
      <c r="AD1482" t="n">
        <v>15</v>
      </c>
      <c r="AE1482" t="n">
        <v>15</v>
      </c>
      <c r="AF1482" t="n">
        <v>7</v>
      </c>
      <c r="AG1482" t="n">
        <v>7</v>
      </c>
      <c r="AH1482" t="n">
        <v>1</v>
      </c>
      <c r="AI1482" t="n">
        <v>1</v>
      </c>
      <c r="AJ1482" t="n">
        <v>4</v>
      </c>
      <c r="AK1482" t="n">
        <v>4</v>
      </c>
      <c r="AL1482" t="n">
        <v>5</v>
      </c>
      <c r="AM1482" t="n">
        <v>5</v>
      </c>
      <c r="AN1482" t="n">
        <v>0</v>
      </c>
      <c r="AO1482" t="n">
        <v>0</v>
      </c>
      <c r="AP1482" t="inlineStr">
        <is>
          <t>No</t>
        </is>
      </c>
      <c r="AQ1482" t="inlineStr">
        <is>
          <t>Yes</t>
        </is>
      </c>
      <c r="AR1482">
        <f>HYPERLINK("http://catalog.hathitrust.org/Record/000164080","HathiTrust Record")</f>
        <v/>
      </c>
      <c r="AS1482">
        <f>HYPERLINK("https://creighton-primo.hosted.exlibrisgroup.com/primo-explore/search?tab=default_tab&amp;search_scope=EVERYTHING&amp;vid=01CRU&amp;lang=en_US&amp;offset=0&amp;query=any,contains,991000099289702656","Catalog Record")</f>
        <v/>
      </c>
      <c r="AT1482">
        <f>HYPERLINK("http://www.worldcat.org/oclc/8941449","WorldCat Record")</f>
        <v/>
      </c>
      <c r="AU1482" t="inlineStr">
        <is>
          <t>894374643:eng</t>
        </is>
      </c>
      <c r="AV1482" t="inlineStr">
        <is>
          <t>8941449</t>
        </is>
      </c>
      <c r="AW1482" t="inlineStr">
        <is>
          <t>991000099289702656</t>
        </is>
      </c>
      <c r="AX1482" t="inlineStr">
        <is>
          <t>991000099289702656</t>
        </is>
      </c>
      <c r="AY1482" t="inlineStr">
        <is>
          <t>2256020980002656</t>
        </is>
      </c>
      <c r="AZ1482" t="inlineStr">
        <is>
          <t>BOOK</t>
        </is>
      </c>
      <c r="BB1482" t="inlineStr">
        <is>
          <t>9780880110211</t>
        </is>
      </c>
      <c r="BC1482" t="inlineStr">
        <is>
          <t>32285000342385</t>
        </is>
      </c>
      <c r="BD1482" t="inlineStr">
        <is>
          <t>893320803</t>
        </is>
      </c>
    </row>
    <row r="1483">
      <c r="A1483" t="inlineStr">
        <is>
          <t>No</t>
        </is>
      </c>
      <c r="B1483" t="inlineStr">
        <is>
          <t>GV709.18.U6 P46 2002</t>
        </is>
      </c>
      <c r="C1483" t="inlineStr">
        <is>
          <t>0                      GV 0709180U  6                  P  46          2002</t>
        </is>
      </c>
      <c r="D1483" t="inlineStr">
        <is>
          <t>More than a game : one woman's fight for gender equity in sport / Cynthia Lee A. Pemberton ; with a foreword by Donna de Varona.</t>
        </is>
      </c>
      <c r="F1483" t="inlineStr">
        <is>
          <t>No</t>
        </is>
      </c>
      <c r="G1483" t="inlineStr">
        <is>
          <t>1</t>
        </is>
      </c>
      <c r="H1483" t="inlineStr">
        <is>
          <t>No</t>
        </is>
      </c>
      <c r="I1483" t="inlineStr">
        <is>
          <t>No</t>
        </is>
      </c>
      <c r="J1483" t="inlineStr">
        <is>
          <t>0</t>
        </is>
      </c>
      <c r="K1483" t="inlineStr">
        <is>
          <t>Pemberton, Cynthia Lee A., 1958-</t>
        </is>
      </c>
      <c r="L1483" t="inlineStr">
        <is>
          <t>Boston : Northeastern University Press, c2002.</t>
        </is>
      </c>
      <c r="M1483" t="inlineStr">
        <is>
          <t>2002</t>
        </is>
      </c>
      <c r="O1483" t="inlineStr">
        <is>
          <t>eng</t>
        </is>
      </c>
      <c r="P1483" t="inlineStr">
        <is>
          <t>mau</t>
        </is>
      </c>
      <c r="R1483" t="inlineStr">
        <is>
          <t xml:space="preserve">GV </t>
        </is>
      </c>
      <c r="S1483" t="n">
        <v>6</v>
      </c>
      <c r="T1483" t="n">
        <v>6</v>
      </c>
      <c r="U1483" t="inlineStr">
        <is>
          <t>2007-02-21</t>
        </is>
      </c>
      <c r="V1483" t="inlineStr">
        <is>
          <t>2007-02-21</t>
        </is>
      </c>
      <c r="W1483" t="inlineStr">
        <is>
          <t>2002-09-17</t>
        </is>
      </c>
      <c r="X1483" t="inlineStr">
        <is>
          <t>2002-09-17</t>
        </is>
      </c>
      <c r="Y1483" t="n">
        <v>690</v>
      </c>
      <c r="Z1483" t="n">
        <v>642</v>
      </c>
      <c r="AA1483" t="n">
        <v>648</v>
      </c>
      <c r="AB1483" t="n">
        <v>5</v>
      </c>
      <c r="AC1483" t="n">
        <v>5</v>
      </c>
      <c r="AD1483" t="n">
        <v>22</v>
      </c>
      <c r="AE1483" t="n">
        <v>22</v>
      </c>
      <c r="AF1483" t="n">
        <v>10</v>
      </c>
      <c r="AG1483" t="n">
        <v>10</v>
      </c>
      <c r="AH1483" t="n">
        <v>7</v>
      </c>
      <c r="AI1483" t="n">
        <v>7</v>
      </c>
      <c r="AJ1483" t="n">
        <v>8</v>
      </c>
      <c r="AK1483" t="n">
        <v>8</v>
      </c>
      <c r="AL1483" t="n">
        <v>3</v>
      </c>
      <c r="AM1483" t="n">
        <v>3</v>
      </c>
      <c r="AN1483" t="n">
        <v>0</v>
      </c>
      <c r="AO1483" t="n">
        <v>0</v>
      </c>
      <c r="AP1483" t="inlineStr">
        <is>
          <t>No</t>
        </is>
      </c>
      <c r="AQ1483" t="inlineStr">
        <is>
          <t>Yes</t>
        </is>
      </c>
      <c r="AR1483">
        <f>HYPERLINK("http://catalog.hathitrust.org/Record/004228067","HathiTrust Record")</f>
        <v/>
      </c>
      <c r="AS1483">
        <f>HYPERLINK("https://creighton-primo.hosted.exlibrisgroup.com/primo-explore/search?tab=default_tab&amp;search_scope=EVERYTHING&amp;vid=01CRU&amp;lang=en_US&amp;offset=0&amp;query=any,contains,991003863199702656","Catalog Record")</f>
        <v/>
      </c>
      <c r="AT1483">
        <f>HYPERLINK("http://www.worldcat.org/oclc/48711207","WorldCat Record")</f>
        <v/>
      </c>
      <c r="AU1483" t="inlineStr">
        <is>
          <t>804057684:eng</t>
        </is>
      </c>
      <c r="AV1483" t="inlineStr">
        <is>
          <t>48711207</t>
        </is>
      </c>
      <c r="AW1483" t="inlineStr">
        <is>
          <t>991003863199702656</t>
        </is>
      </c>
      <c r="AX1483" t="inlineStr">
        <is>
          <t>991003863199702656</t>
        </is>
      </c>
      <c r="AY1483" t="inlineStr">
        <is>
          <t>2259720820002656</t>
        </is>
      </c>
      <c r="AZ1483" t="inlineStr">
        <is>
          <t>BOOK</t>
        </is>
      </c>
      <c r="BB1483" t="inlineStr">
        <is>
          <t>9781555535254</t>
        </is>
      </c>
      <c r="BC1483" t="inlineStr">
        <is>
          <t>32285004647797</t>
        </is>
      </c>
      <c r="BD1483" t="inlineStr">
        <is>
          <t>893531692</t>
        </is>
      </c>
    </row>
    <row r="1484">
      <c r="A1484" t="inlineStr">
        <is>
          <t>No</t>
        </is>
      </c>
      <c r="B1484" t="inlineStr">
        <is>
          <t>GV709.3 .O46 1984</t>
        </is>
      </c>
      <c r="C1484" t="inlineStr">
        <is>
          <t>0                      GV 0709300O  46          1984</t>
        </is>
      </c>
      <c r="D1484" t="inlineStr">
        <is>
          <t>Sport and disabled athletes / Claudine Sherrill, editor.</t>
        </is>
      </c>
      <c r="F1484" t="inlineStr">
        <is>
          <t>No</t>
        </is>
      </c>
      <c r="G1484" t="inlineStr">
        <is>
          <t>1</t>
        </is>
      </c>
      <c r="H1484" t="inlineStr">
        <is>
          <t>No</t>
        </is>
      </c>
      <c r="I1484" t="inlineStr">
        <is>
          <t>No</t>
        </is>
      </c>
      <c r="J1484" t="inlineStr">
        <is>
          <t>0</t>
        </is>
      </c>
      <c r="K1484" t="inlineStr">
        <is>
          <t>Olympic Scientific Congress (1984 : Eugene, Or.)</t>
        </is>
      </c>
      <c r="L1484" t="inlineStr">
        <is>
          <t>Champaign, IL : Human Kinetics Publishers, c1986.</t>
        </is>
      </c>
      <c r="M1484" t="inlineStr">
        <is>
          <t>1986</t>
        </is>
      </c>
      <c r="O1484" t="inlineStr">
        <is>
          <t>eng</t>
        </is>
      </c>
      <c r="P1484" t="inlineStr">
        <is>
          <t>ilu</t>
        </is>
      </c>
      <c r="Q1484" t="inlineStr">
        <is>
          <t>1984 Olympic Scientific Congress proceedings ; v. 9</t>
        </is>
      </c>
      <c r="R1484" t="inlineStr">
        <is>
          <t xml:space="preserve">GV </t>
        </is>
      </c>
      <c r="S1484" t="n">
        <v>10</v>
      </c>
      <c r="T1484" t="n">
        <v>10</v>
      </c>
      <c r="U1484" t="inlineStr">
        <is>
          <t>2009-04-15</t>
        </is>
      </c>
      <c r="V1484" t="inlineStr">
        <is>
          <t>2009-04-15</t>
        </is>
      </c>
      <c r="W1484" t="inlineStr">
        <is>
          <t>1990-10-18</t>
        </is>
      </c>
      <c r="X1484" t="inlineStr">
        <is>
          <t>1990-10-18</t>
        </is>
      </c>
      <c r="Y1484" t="n">
        <v>418</v>
      </c>
      <c r="Z1484" t="n">
        <v>318</v>
      </c>
      <c r="AA1484" t="n">
        <v>324</v>
      </c>
      <c r="AB1484" t="n">
        <v>5</v>
      </c>
      <c r="AC1484" t="n">
        <v>5</v>
      </c>
      <c r="AD1484" t="n">
        <v>15</v>
      </c>
      <c r="AE1484" t="n">
        <v>15</v>
      </c>
      <c r="AF1484" t="n">
        <v>6</v>
      </c>
      <c r="AG1484" t="n">
        <v>6</v>
      </c>
      <c r="AH1484" t="n">
        <v>3</v>
      </c>
      <c r="AI1484" t="n">
        <v>3</v>
      </c>
      <c r="AJ1484" t="n">
        <v>4</v>
      </c>
      <c r="AK1484" t="n">
        <v>4</v>
      </c>
      <c r="AL1484" t="n">
        <v>4</v>
      </c>
      <c r="AM1484" t="n">
        <v>4</v>
      </c>
      <c r="AN1484" t="n">
        <v>0</v>
      </c>
      <c r="AO1484" t="n">
        <v>0</v>
      </c>
      <c r="AP1484" t="inlineStr">
        <is>
          <t>No</t>
        </is>
      </c>
      <c r="AQ1484" t="inlineStr">
        <is>
          <t>Yes</t>
        </is>
      </c>
      <c r="AR1484">
        <f>HYPERLINK("http://catalog.hathitrust.org/Record/007104404","HathiTrust Record")</f>
        <v/>
      </c>
      <c r="AS1484">
        <f>HYPERLINK("https://creighton-primo.hosted.exlibrisgroup.com/primo-explore/search?tab=default_tab&amp;search_scope=EVERYTHING&amp;vid=01CRU&amp;lang=en_US&amp;offset=0&amp;query=any,contains,991000688319702656","Catalog Record")</f>
        <v/>
      </c>
      <c r="AT1484">
        <f>HYPERLINK("http://www.worldcat.org/oclc/12422355","WorldCat Record")</f>
        <v/>
      </c>
      <c r="AU1484" t="inlineStr">
        <is>
          <t>5066757:eng</t>
        </is>
      </c>
      <c r="AV1484" t="inlineStr">
        <is>
          <t>12422355</t>
        </is>
      </c>
      <c r="AW1484" t="inlineStr">
        <is>
          <t>991000688319702656</t>
        </is>
      </c>
      <c r="AX1484" t="inlineStr">
        <is>
          <t>991000688319702656</t>
        </is>
      </c>
      <c r="AY1484" t="inlineStr">
        <is>
          <t>2256083620002656</t>
        </is>
      </c>
      <c r="AZ1484" t="inlineStr">
        <is>
          <t>BOOK</t>
        </is>
      </c>
      <c r="BB1484" t="inlineStr">
        <is>
          <t>9780873220149</t>
        </is>
      </c>
      <c r="BC1484" t="inlineStr">
        <is>
          <t>32285000342468</t>
        </is>
      </c>
      <c r="BD1484" t="inlineStr">
        <is>
          <t>893534274</t>
        </is>
      </c>
    </row>
    <row r="1485">
      <c r="A1485" t="inlineStr">
        <is>
          <t>No</t>
        </is>
      </c>
      <c r="B1485" t="inlineStr">
        <is>
          <t>GV711 .S53 2005</t>
        </is>
      </c>
      <c r="C1485" t="inlineStr">
        <is>
          <t>0                      GV 0711000S  53          2005</t>
        </is>
      </c>
      <c r="D1485" t="inlineStr">
        <is>
          <t>She can coach! / Cecile Reynaud, editor.</t>
        </is>
      </c>
      <c r="F1485" t="inlineStr">
        <is>
          <t>No</t>
        </is>
      </c>
      <c r="G1485" t="inlineStr">
        <is>
          <t>1</t>
        </is>
      </c>
      <c r="H1485" t="inlineStr">
        <is>
          <t>No</t>
        </is>
      </c>
      <c r="I1485" t="inlineStr">
        <is>
          <t>No</t>
        </is>
      </c>
      <c r="J1485" t="inlineStr">
        <is>
          <t>0</t>
        </is>
      </c>
      <c r="L1485" t="inlineStr">
        <is>
          <t>Champaign, IL : Human Kinetics, c2005.</t>
        </is>
      </c>
      <c r="M1485" t="inlineStr">
        <is>
          <t>2005</t>
        </is>
      </c>
      <c r="O1485" t="inlineStr">
        <is>
          <t>eng</t>
        </is>
      </c>
      <c r="P1485" t="inlineStr">
        <is>
          <t>ilu</t>
        </is>
      </c>
      <c r="R1485" t="inlineStr">
        <is>
          <t xml:space="preserve">GV </t>
        </is>
      </c>
      <c r="S1485" t="n">
        <v>2</v>
      </c>
      <c r="T1485" t="n">
        <v>2</v>
      </c>
      <c r="U1485" t="inlineStr">
        <is>
          <t>2005-03-15</t>
        </is>
      </c>
      <c r="V1485" t="inlineStr">
        <is>
          <t>2005-03-15</t>
        </is>
      </c>
      <c r="W1485" t="inlineStr">
        <is>
          <t>2005-03-15</t>
        </is>
      </c>
      <c r="X1485" t="inlineStr">
        <is>
          <t>2005-03-15</t>
        </is>
      </c>
      <c r="Y1485" t="n">
        <v>383</v>
      </c>
      <c r="Z1485" t="n">
        <v>279</v>
      </c>
      <c r="AA1485" t="n">
        <v>299</v>
      </c>
      <c r="AB1485" t="n">
        <v>3</v>
      </c>
      <c r="AC1485" t="n">
        <v>3</v>
      </c>
      <c r="AD1485" t="n">
        <v>7</v>
      </c>
      <c r="AE1485" t="n">
        <v>8</v>
      </c>
      <c r="AF1485" t="n">
        <v>5</v>
      </c>
      <c r="AG1485" t="n">
        <v>6</v>
      </c>
      <c r="AH1485" t="n">
        <v>0</v>
      </c>
      <c r="AI1485" t="n">
        <v>1</v>
      </c>
      <c r="AJ1485" t="n">
        <v>1</v>
      </c>
      <c r="AK1485" t="n">
        <v>1</v>
      </c>
      <c r="AL1485" t="n">
        <v>2</v>
      </c>
      <c r="AM1485" t="n">
        <v>2</v>
      </c>
      <c r="AN1485" t="n">
        <v>0</v>
      </c>
      <c r="AO1485" t="n">
        <v>0</v>
      </c>
      <c r="AP1485" t="inlineStr">
        <is>
          <t>No</t>
        </is>
      </c>
      <c r="AQ1485" t="inlineStr">
        <is>
          <t>Yes</t>
        </is>
      </c>
      <c r="AR1485">
        <f>HYPERLINK("http://catalog.hathitrust.org/Record/005121512","HathiTrust Record")</f>
        <v/>
      </c>
      <c r="AS1485">
        <f>HYPERLINK("https://creighton-primo.hosted.exlibrisgroup.com/primo-explore/search?tab=default_tab&amp;search_scope=EVERYTHING&amp;vid=01CRU&amp;lang=en_US&amp;offset=0&amp;query=any,contains,991004476729702656","Catalog Record")</f>
        <v/>
      </c>
      <c r="AT1485">
        <f>HYPERLINK("http://www.worldcat.org/oclc/56198631","WorldCat Record")</f>
        <v/>
      </c>
      <c r="AU1485" t="inlineStr">
        <is>
          <t>57088992:eng</t>
        </is>
      </c>
      <c r="AV1485" t="inlineStr">
        <is>
          <t>56198631</t>
        </is>
      </c>
      <c r="AW1485" t="inlineStr">
        <is>
          <t>991004476729702656</t>
        </is>
      </c>
      <c r="AX1485" t="inlineStr">
        <is>
          <t>991004476729702656</t>
        </is>
      </c>
      <c r="AY1485" t="inlineStr">
        <is>
          <t>2272618150002656</t>
        </is>
      </c>
      <c r="AZ1485" t="inlineStr">
        <is>
          <t>BOOK</t>
        </is>
      </c>
      <c r="BB1485" t="inlineStr">
        <is>
          <t>9780736052320</t>
        </is>
      </c>
      <c r="BC1485" t="inlineStr">
        <is>
          <t>32285005041784</t>
        </is>
      </c>
      <c r="BD1485" t="inlineStr">
        <is>
          <t>893325427</t>
        </is>
      </c>
    </row>
    <row r="1486">
      <c r="A1486" t="inlineStr">
        <is>
          <t>No</t>
        </is>
      </c>
      <c r="B1486" t="inlineStr">
        <is>
          <t>GV713 .S83 2000</t>
        </is>
      </c>
      <c r="C1486" t="inlineStr">
        <is>
          <t>0                      GV 0713000S  83          2000</t>
        </is>
      </c>
      <c r="D1486" t="inlineStr">
        <is>
          <t>Successful sport management / edited by Herb Appenzeller, Guy Lewis.</t>
        </is>
      </c>
      <c r="F1486" t="inlineStr">
        <is>
          <t>No</t>
        </is>
      </c>
      <c r="G1486" t="inlineStr">
        <is>
          <t>1</t>
        </is>
      </c>
      <c r="H1486" t="inlineStr">
        <is>
          <t>Yes</t>
        </is>
      </c>
      <c r="I1486" t="inlineStr">
        <is>
          <t>No</t>
        </is>
      </c>
      <c r="J1486" t="inlineStr">
        <is>
          <t>0</t>
        </is>
      </c>
      <c r="L1486" t="inlineStr">
        <is>
          <t>Durham, N.C. : Carolina Academic Press, c2000.</t>
        </is>
      </c>
      <c r="M1486" t="inlineStr">
        <is>
          <t>2000</t>
        </is>
      </c>
      <c r="N1486" t="inlineStr">
        <is>
          <t>2nd ed.</t>
        </is>
      </c>
      <c r="O1486" t="inlineStr">
        <is>
          <t>eng</t>
        </is>
      </c>
      <c r="P1486" t="inlineStr">
        <is>
          <t>ncu</t>
        </is>
      </c>
      <c r="R1486" t="inlineStr">
        <is>
          <t xml:space="preserve">GV </t>
        </is>
      </c>
      <c r="S1486" t="n">
        <v>1</v>
      </c>
      <c r="T1486" t="n">
        <v>1</v>
      </c>
      <c r="U1486" t="inlineStr">
        <is>
          <t>2001-03-14</t>
        </is>
      </c>
      <c r="V1486" t="inlineStr">
        <is>
          <t>2001-03-14</t>
        </is>
      </c>
      <c r="W1486" t="inlineStr">
        <is>
          <t>2001-03-14</t>
        </is>
      </c>
      <c r="X1486" t="inlineStr">
        <is>
          <t>2001-04-03</t>
        </is>
      </c>
      <c r="Y1486" t="n">
        <v>223</v>
      </c>
      <c r="Z1486" t="n">
        <v>193</v>
      </c>
      <c r="AA1486" t="n">
        <v>418</v>
      </c>
      <c r="AB1486" t="n">
        <v>4</v>
      </c>
      <c r="AC1486" t="n">
        <v>6</v>
      </c>
      <c r="AD1486" t="n">
        <v>12</v>
      </c>
      <c r="AE1486" t="n">
        <v>24</v>
      </c>
      <c r="AF1486" t="n">
        <v>3</v>
      </c>
      <c r="AG1486" t="n">
        <v>6</v>
      </c>
      <c r="AH1486" t="n">
        <v>1</v>
      </c>
      <c r="AI1486" t="n">
        <v>3</v>
      </c>
      <c r="AJ1486" t="n">
        <v>2</v>
      </c>
      <c r="AK1486" t="n">
        <v>2</v>
      </c>
      <c r="AL1486" t="n">
        <v>3</v>
      </c>
      <c r="AM1486" t="n">
        <v>5</v>
      </c>
      <c r="AN1486" t="n">
        <v>5</v>
      </c>
      <c r="AO1486" t="n">
        <v>10</v>
      </c>
      <c r="AP1486" t="inlineStr">
        <is>
          <t>No</t>
        </is>
      </c>
      <c r="AQ1486" t="inlineStr">
        <is>
          <t>No</t>
        </is>
      </c>
      <c r="AS1486">
        <f>HYPERLINK("https://creighton-primo.hosted.exlibrisgroup.com/primo-explore/search?tab=default_tab&amp;search_scope=EVERYTHING&amp;vid=01CRU&amp;lang=en_US&amp;offset=0&amp;query=any,contains,991001704229702656","Catalog Record")</f>
        <v/>
      </c>
      <c r="AT1486">
        <f>HYPERLINK("http://www.worldcat.org/oclc/45586116","WorldCat Record")</f>
        <v/>
      </c>
      <c r="AU1486" t="inlineStr">
        <is>
          <t>374192155:eng</t>
        </is>
      </c>
      <c r="AV1486" t="inlineStr">
        <is>
          <t>45586116</t>
        </is>
      </c>
      <c r="AW1486" t="inlineStr">
        <is>
          <t>991001704229702656</t>
        </is>
      </c>
      <c r="AX1486" t="inlineStr">
        <is>
          <t>991001704229702656</t>
        </is>
      </c>
      <c r="AY1486" t="inlineStr">
        <is>
          <t>2268773820002656</t>
        </is>
      </c>
      <c r="AZ1486" t="inlineStr">
        <is>
          <t>BOOK</t>
        </is>
      </c>
      <c r="BB1486" t="inlineStr">
        <is>
          <t>9780890896617</t>
        </is>
      </c>
      <c r="BC1486" t="inlineStr">
        <is>
          <t>32285004305594</t>
        </is>
      </c>
      <c r="BD1486" t="inlineStr">
        <is>
          <t>893232180</t>
        </is>
      </c>
    </row>
    <row r="1487">
      <c r="A1487" t="inlineStr">
        <is>
          <t>No</t>
        </is>
      </c>
      <c r="B1487" t="inlineStr">
        <is>
          <t>GV716 .B47 2006</t>
        </is>
      </c>
      <c r="C1487" t="inlineStr">
        <is>
          <t>0                      GV 0716000B  47          2006</t>
        </is>
      </c>
      <c r="D1487" t="inlineStr">
        <is>
          <t>The wages of wins : taking measure of the many myths in modern sport / David J. Berri, Martin B. Schmidt, Stacey L. Brook.</t>
        </is>
      </c>
      <c r="F1487" t="inlineStr">
        <is>
          <t>No</t>
        </is>
      </c>
      <c r="G1487" t="inlineStr">
        <is>
          <t>1</t>
        </is>
      </c>
      <c r="H1487" t="inlineStr">
        <is>
          <t>No</t>
        </is>
      </c>
      <c r="I1487" t="inlineStr">
        <is>
          <t>No</t>
        </is>
      </c>
      <c r="J1487" t="inlineStr">
        <is>
          <t>0</t>
        </is>
      </c>
      <c r="K1487" t="inlineStr">
        <is>
          <t>Berri, David J.</t>
        </is>
      </c>
      <c r="L1487" t="inlineStr">
        <is>
          <t>Stanford, Calif. : Stanford Business Books, c2006.</t>
        </is>
      </c>
      <c r="M1487" t="inlineStr">
        <is>
          <t>2006</t>
        </is>
      </c>
      <c r="O1487" t="inlineStr">
        <is>
          <t>eng</t>
        </is>
      </c>
      <c r="P1487" t="inlineStr">
        <is>
          <t>cau</t>
        </is>
      </c>
      <c r="R1487" t="inlineStr">
        <is>
          <t xml:space="preserve">GV </t>
        </is>
      </c>
      <c r="S1487" t="n">
        <v>3</v>
      </c>
      <c r="T1487" t="n">
        <v>3</v>
      </c>
      <c r="U1487" t="inlineStr">
        <is>
          <t>2007-01-18</t>
        </is>
      </c>
      <c r="V1487" t="inlineStr">
        <is>
          <t>2007-01-18</t>
        </is>
      </c>
      <c r="W1487" t="inlineStr">
        <is>
          <t>2006-07-12</t>
        </is>
      </c>
      <c r="X1487" t="inlineStr">
        <is>
          <t>2006-07-12</t>
        </is>
      </c>
      <c r="Y1487" t="n">
        <v>424</v>
      </c>
      <c r="Z1487" t="n">
        <v>379</v>
      </c>
      <c r="AA1487" t="n">
        <v>1023</v>
      </c>
      <c r="AB1487" t="n">
        <v>4</v>
      </c>
      <c r="AC1487" t="n">
        <v>16</v>
      </c>
      <c r="AD1487" t="n">
        <v>14</v>
      </c>
      <c r="AE1487" t="n">
        <v>42</v>
      </c>
      <c r="AF1487" t="n">
        <v>6</v>
      </c>
      <c r="AG1487" t="n">
        <v>15</v>
      </c>
      <c r="AH1487" t="n">
        <v>2</v>
      </c>
      <c r="AI1487" t="n">
        <v>9</v>
      </c>
      <c r="AJ1487" t="n">
        <v>5</v>
      </c>
      <c r="AK1487" t="n">
        <v>11</v>
      </c>
      <c r="AL1487" t="n">
        <v>3</v>
      </c>
      <c r="AM1487" t="n">
        <v>12</v>
      </c>
      <c r="AN1487" t="n">
        <v>0</v>
      </c>
      <c r="AO1487" t="n">
        <v>1</v>
      </c>
      <c r="AP1487" t="inlineStr">
        <is>
          <t>No</t>
        </is>
      </c>
      <c r="AQ1487" t="inlineStr">
        <is>
          <t>Yes</t>
        </is>
      </c>
      <c r="AR1487">
        <f>HYPERLINK("http://catalog.hathitrust.org/Record/005226153","HathiTrust Record")</f>
        <v/>
      </c>
      <c r="AS1487">
        <f>HYPERLINK("https://creighton-primo.hosted.exlibrisgroup.com/primo-explore/search?tab=default_tab&amp;search_scope=EVERYTHING&amp;vid=01CRU&amp;lang=en_US&amp;offset=0&amp;query=any,contains,991004843959702656","Catalog Record")</f>
        <v/>
      </c>
      <c r="AT1487">
        <f>HYPERLINK("http://www.worldcat.org/oclc/62728600","WorldCat Record")</f>
        <v/>
      </c>
      <c r="AU1487" t="inlineStr">
        <is>
          <t>794038355:eng</t>
        </is>
      </c>
      <c r="AV1487" t="inlineStr">
        <is>
          <t>62728600</t>
        </is>
      </c>
      <c r="AW1487" t="inlineStr">
        <is>
          <t>991004843959702656</t>
        </is>
      </c>
      <c r="AX1487" t="inlineStr">
        <is>
          <t>991004843959702656</t>
        </is>
      </c>
      <c r="AY1487" t="inlineStr">
        <is>
          <t>2268136370002656</t>
        </is>
      </c>
      <c r="AZ1487" t="inlineStr">
        <is>
          <t>BOOK</t>
        </is>
      </c>
      <c r="BB1487" t="inlineStr">
        <is>
          <t>9780804752879</t>
        </is>
      </c>
      <c r="BC1487" t="inlineStr">
        <is>
          <t>32285005193718</t>
        </is>
      </c>
      <c r="BD1487" t="inlineStr">
        <is>
          <t>893883022</t>
        </is>
      </c>
    </row>
    <row r="1488">
      <c r="A1488" t="inlineStr">
        <is>
          <t>No</t>
        </is>
      </c>
      <c r="B1488" t="inlineStr">
        <is>
          <t>GV721.3 .M54</t>
        </is>
      </c>
      <c r="C1488" t="inlineStr">
        <is>
          <t>0                      GV 0721300M  54</t>
        </is>
      </c>
      <c r="D1488" t="inlineStr">
        <is>
          <t>Behind the Olympic rings / by Geoffrey Miller.</t>
        </is>
      </c>
      <c r="F1488" t="inlineStr">
        <is>
          <t>No</t>
        </is>
      </c>
      <c r="G1488" t="inlineStr">
        <is>
          <t>1</t>
        </is>
      </c>
      <c r="H1488" t="inlineStr">
        <is>
          <t>No</t>
        </is>
      </c>
      <c r="I1488" t="inlineStr">
        <is>
          <t>No</t>
        </is>
      </c>
      <c r="J1488" t="inlineStr">
        <is>
          <t>0</t>
        </is>
      </c>
      <c r="K1488" t="inlineStr">
        <is>
          <t>Miller, Geoffrey, 1921-1984.</t>
        </is>
      </c>
      <c r="L1488" t="inlineStr">
        <is>
          <t>Lynn, Mass. : H. O. Zimman, c1979.</t>
        </is>
      </c>
      <c r="M1488" t="inlineStr">
        <is>
          <t>1979</t>
        </is>
      </c>
      <c r="N1488" t="inlineStr">
        <is>
          <t>1st ed.</t>
        </is>
      </c>
      <c r="O1488" t="inlineStr">
        <is>
          <t>eng</t>
        </is>
      </c>
      <c r="P1488" t="inlineStr">
        <is>
          <t>mau</t>
        </is>
      </c>
      <c r="R1488" t="inlineStr">
        <is>
          <t xml:space="preserve">GV </t>
        </is>
      </c>
      <c r="S1488" t="n">
        <v>10</v>
      </c>
      <c r="T1488" t="n">
        <v>10</v>
      </c>
      <c r="U1488" t="inlineStr">
        <is>
          <t>2009-10-26</t>
        </is>
      </c>
      <c r="V1488" t="inlineStr">
        <is>
          <t>2009-10-26</t>
        </is>
      </c>
      <c r="W1488" t="inlineStr">
        <is>
          <t>1990-10-18</t>
        </is>
      </c>
      <c r="X1488" t="inlineStr">
        <is>
          <t>1990-10-18</t>
        </is>
      </c>
      <c r="Y1488" t="n">
        <v>221</v>
      </c>
      <c r="Z1488" t="n">
        <v>213</v>
      </c>
      <c r="AA1488" t="n">
        <v>218</v>
      </c>
      <c r="AB1488" t="n">
        <v>1</v>
      </c>
      <c r="AC1488" t="n">
        <v>1</v>
      </c>
      <c r="AD1488" t="n">
        <v>8</v>
      </c>
      <c r="AE1488" t="n">
        <v>8</v>
      </c>
      <c r="AF1488" t="n">
        <v>5</v>
      </c>
      <c r="AG1488" t="n">
        <v>5</v>
      </c>
      <c r="AH1488" t="n">
        <v>3</v>
      </c>
      <c r="AI1488" t="n">
        <v>3</v>
      </c>
      <c r="AJ1488" t="n">
        <v>3</v>
      </c>
      <c r="AK1488" t="n">
        <v>3</v>
      </c>
      <c r="AL1488" t="n">
        <v>0</v>
      </c>
      <c r="AM1488" t="n">
        <v>0</v>
      </c>
      <c r="AN1488" t="n">
        <v>0</v>
      </c>
      <c r="AO1488" t="n">
        <v>0</v>
      </c>
      <c r="AP1488" t="inlineStr">
        <is>
          <t>No</t>
        </is>
      </c>
      <c r="AQ1488" t="inlineStr">
        <is>
          <t>No</t>
        </is>
      </c>
      <c r="AS1488">
        <f>HYPERLINK("https://creighton-primo.hosted.exlibrisgroup.com/primo-explore/search?tab=default_tab&amp;search_scope=EVERYTHING&amp;vid=01CRU&amp;lang=en_US&amp;offset=0&amp;query=any,contains,991004899359702656","Catalog Record")</f>
        <v/>
      </c>
      <c r="AT1488">
        <f>HYPERLINK("http://www.worldcat.org/oclc/5916984","WorldCat Record")</f>
        <v/>
      </c>
      <c r="AU1488" t="inlineStr">
        <is>
          <t>355800943:eng</t>
        </is>
      </c>
      <c r="AV1488" t="inlineStr">
        <is>
          <t>5916984</t>
        </is>
      </c>
      <c r="AW1488" t="inlineStr">
        <is>
          <t>991004899359702656</t>
        </is>
      </c>
      <c r="AX1488" t="inlineStr">
        <is>
          <t>991004899359702656</t>
        </is>
      </c>
      <c r="AY1488" t="inlineStr">
        <is>
          <t>2255667720002656</t>
        </is>
      </c>
      <c r="AZ1488" t="inlineStr">
        <is>
          <t>BOOK</t>
        </is>
      </c>
      <c r="BC1488" t="inlineStr">
        <is>
          <t>32285000342864</t>
        </is>
      </c>
      <c r="BD1488" t="inlineStr">
        <is>
          <t>893876677</t>
        </is>
      </c>
    </row>
    <row r="1489">
      <c r="A1489" t="inlineStr">
        <is>
          <t>No</t>
        </is>
      </c>
      <c r="B1489" t="inlineStr">
        <is>
          <t>GV721.5 .G56 1998</t>
        </is>
      </c>
      <c r="C1489" t="inlineStr">
        <is>
          <t>0                      GV 0721500G  56          1998</t>
        </is>
      </c>
      <c r="D1489" t="inlineStr">
        <is>
          <t>Glory and the games / U.S. Olympic Committee ; foreword by Peter Vidmar.</t>
        </is>
      </c>
      <c r="F1489" t="inlineStr">
        <is>
          <t>No</t>
        </is>
      </c>
      <c r="G1489" t="inlineStr">
        <is>
          <t>1</t>
        </is>
      </c>
      <c r="H1489" t="inlineStr">
        <is>
          <t>No</t>
        </is>
      </c>
      <c r="I1489" t="inlineStr">
        <is>
          <t>No</t>
        </is>
      </c>
      <c r="J1489" t="inlineStr">
        <is>
          <t>0</t>
        </is>
      </c>
      <c r="L1489" t="inlineStr">
        <is>
          <t>Salt Lake City, UT : Commemorative Publications, Inc., 1998.</t>
        </is>
      </c>
      <c r="M1489" t="inlineStr">
        <is>
          <t>1998</t>
        </is>
      </c>
      <c r="O1489" t="inlineStr">
        <is>
          <t>eng</t>
        </is>
      </c>
      <c r="P1489" t="inlineStr">
        <is>
          <t>utu</t>
        </is>
      </c>
      <c r="R1489" t="inlineStr">
        <is>
          <t xml:space="preserve">GV </t>
        </is>
      </c>
      <c r="S1489" t="n">
        <v>2</v>
      </c>
      <c r="T1489" t="n">
        <v>2</v>
      </c>
      <c r="U1489" t="inlineStr">
        <is>
          <t>2000-10-04</t>
        </is>
      </c>
      <c r="V1489" t="inlineStr">
        <is>
          <t>2000-10-04</t>
        </is>
      </c>
      <c r="W1489" t="inlineStr">
        <is>
          <t>1998-06-22</t>
        </is>
      </c>
      <c r="X1489" t="inlineStr">
        <is>
          <t>1998-06-22</t>
        </is>
      </c>
      <c r="Y1489" t="n">
        <v>295</v>
      </c>
      <c r="Z1489" t="n">
        <v>295</v>
      </c>
      <c r="AA1489" t="n">
        <v>303</v>
      </c>
      <c r="AB1489" t="n">
        <v>3</v>
      </c>
      <c r="AC1489" t="n">
        <v>3</v>
      </c>
      <c r="AD1489" t="n">
        <v>0</v>
      </c>
      <c r="AE1489" t="n">
        <v>0</v>
      </c>
      <c r="AF1489" t="n">
        <v>0</v>
      </c>
      <c r="AG1489" t="n">
        <v>0</v>
      </c>
      <c r="AH1489" t="n">
        <v>0</v>
      </c>
      <c r="AI1489" t="n">
        <v>0</v>
      </c>
      <c r="AJ1489" t="n">
        <v>0</v>
      </c>
      <c r="AK1489" t="n">
        <v>0</v>
      </c>
      <c r="AL1489" t="n">
        <v>0</v>
      </c>
      <c r="AM1489" t="n">
        <v>0</v>
      </c>
      <c r="AN1489" t="n">
        <v>0</v>
      </c>
      <c r="AO1489" t="n">
        <v>0</v>
      </c>
      <c r="AP1489" t="inlineStr">
        <is>
          <t>No</t>
        </is>
      </c>
      <c r="AQ1489" t="inlineStr">
        <is>
          <t>No</t>
        </is>
      </c>
      <c r="AS1489">
        <f>HYPERLINK("https://creighton-primo.hosted.exlibrisgroup.com/primo-explore/search?tab=default_tab&amp;search_scope=EVERYTHING&amp;vid=01CRU&amp;lang=en_US&amp;offset=0&amp;query=any,contains,991002947349702656","Catalog Record")</f>
        <v/>
      </c>
      <c r="AT1489">
        <f>HYPERLINK("http://www.worldcat.org/oclc/39258135","WorldCat Record")</f>
        <v/>
      </c>
      <c r="AU1489" t="inlineStr">
        <is>
          <t>2542295083:eng</t>
        </is>
      </c>
      <c r="AV1489" t="inlineStr">
        <is>
          <t>39258135</t>
        </is>
      </c>
      <c r="AW1489" t="inlineStr">
        <is>
          <t>991002947349702656</t>
        </is>
      </c>
      <c r="AX1489" t="inlineStr">
        <is>
          <t>991002947349702656</t>
        </is>
      </c>
      <c r="AY1489" t="inlineStr">
        <is>
          <t>2261898990002656</t>
        </is>
      </c>
      <c r="AZ1489" t="inlineStr">
        <is>
          <t>BOOK</t>
        </is>
      </c>
      <c r="BB1489" t="inlineStr">
        <is>
          <t>9780918883094</t>
        </is>
      </c>
      <c r="BC1489" t="inlineStr">
        <is>
          <t>32285003422853</t>
        </is>
      </c>
      <c r="BD1489" t="inlineStr">
        <is>
          <t>893805249</t>
        </is>
      </c>
    </row>
    <row r="1490">
      <c r="A1490" t="inlineStr">
        <is>
          <t>No</t>
        </is>
      </c>
      <c r="B1490" t="inlineStr">
        <is>
          <t>GV721.5 .K36</t>
        </is>
      </c>
      <c r="C1490" t="inlineStr">
        <is>
          <t>0                      GV 0721500K  36</t>
        </is>
      </c>
      <c r="D1490" t="inlineStr">
        <is>
          <t>A political history of the Olympic Games / David B. Kanin.</t>
        </is>
      </c>
      <c r="F1490" t="inlineStr">
        <is>
          <t>No</t>
        </is>
      </c>
      <c r="G1490" t="inlineStr">
        <is>
          <t>1</t>
        </is>
      </c>
      <c r="H1490" t="inlineStr">
        <is>
          <t>No</t>
        </is>
      </c>
      <c r="I1490" t="inlineStr">
        <is>
          <t>No</t>
        </is>
      </c>
      <c r="J1490" t="inlineStr">
        <is>
          <t>0</t>
        </is>
      </c>
      <c r="K1490" t="inlineStr">
        <is>
          <t>Kanin, David B.</t>
        </is>
      </c>
      <c r="L1490" t="inlineStr">
        <is>
          <t>Boulder, Colo. : Westview Press, 1981.</t>
        </is>
      </c>
      <c r="M1490" t="inlineStr">
        <is>
          <t>1981</t>
        </is>
      </c>
      <c r="O1490" t="inlineStr">
        <is>
          <t>eng</t>
        </is>
      </c>
      <c r="P1490" t="inlineStr">
        <is>
          <t>cou</t>
        </is>
      </c>
      <c r="Q1490" t="inlineStr">
        <is>
          <t>A Westview replica edition</t>
        </is>
      </c>
      <c r="R1490" t="inlineStr">
        <is>
          <t xml:space="preserve">GV </t>
        </is>
      </c>
      <c r="S1490" t="n">
        <v>15</v>
      </c>
      <c r="T1490" t="n">
        <v>15</v>
      </c>
      <c r="U1490" t="inlineStr">
        <is>
          <t>2009-10-26</t>
        </is>
      </c>
      <c r="V1490" t="inlineStr">
        <is>
          <t>2009-10-26</t>
        </is>
      </c>
      <c r="W1490" t="inlineStr">
        <is>
          <t>1990-10-18</t>
        </is>
      </c>
      <c r="X1490" t="inlineStr">
        <is>
          <t>1990-10-18</t>
        </is>
      </c>
      <c r="Y1490" t="n">
        <v>545</v>
      </c>
      <c r="Z1490" t="n">
        <v>465</v>
      </c>
      <c r="AA1490" t="n">
        <v>484</v>
      </c>
      <c r="AB1490" t="n">
        <v>5</v>
      </c>
      <c r="AC1490" t="n">
        <v>5</v>
      </c>
      <c r="AD1490" t="n">
        <v>13</v>
      </c>
      <c r="AE1490" t="n">
        <v>13</v>
      </c>
      <c r="AF1490" t="n">
        <v>5</v>
      </c>
      <c r="AG1490" t="n">
        <v>5</v>
      </c>
      <c r="AH1490" t="n">
        <v>1</v>
      </c>
      <c r="AI1490" t="n">
        <v>1</v>
      </c>
      <c r="AJ1490" t="n">
        <v>6</v>
      </c>
      <c r="AK1490" t="n">
        <v>6</v>
      </c>
      <c r="AL1490" t="n">
        <v>4</v>
      </c>
      <c r="AM1490" t="n">
        <v>4</v>
      </c>
      <c r="AN1490" t="n">
        <v>0</v>
      </c>
      <c r="AO1490" t="n">
        <v>0</v>
      </c>
      <c r="AP1490" t="inlineStr">
        <is>
          <t>No</t>
        </is>
      </c>
      <c r="AQ1490" t="inlineStr">
        <is>
          <t>Yes</t>
        </is>
      </c>
      <c r="AR1490">
        <f>HYPERLINK("http://catalog.hathitrust.org/Record/000098957","HathiTrust Record")</f>
        <v/>
      </c>
      <c r="AS1490">
        <f>HYPERLINK("https://creighton-primo.hosted.exlibrisgroup.com/primo-explore/search?tab=default_tab&amp;search_scope=EVERYTHING&amp;vid=01CRU&amp;lang=en_US&amp;offset=0&amp;query=any,contains,991005113509702656","Catalog Record")</f>
        <v/>
      </c>
      <c r="AT1490">
        <f>HYPERLINK("http://www.worldcat.org/oclc/7460089","WorldCat Record")</f>
        <v/>
      </c>
      <c r="AU1490" t="inlineStr">
        <is>
          <t>511817:eng</t>
        </is>
      </c>
      <c r="AV1490" t="inlineStr">
        <is>
          <t>7460089</t>
        </is>
      </c>
      <c r="AW1490" t="inlineStr">
        <is>
          <t>991005113509702656</t>
        </is>
      </c>
      <c r="AX1490" t="inlineStr">
        <is>
          <t>991005113509702656</t>
        </is>
      </c>
      <c r="AY1490" t="inlineStr">
        <is>
          <t>2264387730002656</t>
        </is>
      </c>
      <c r="AZ1490" t="inlineStr">
        <is>
          <t>BOOK</t>
        </is>
      </c>
      <c r="BB1490" t="inlineStr">
        <is>
          <t>9780865311091</t>
        </is>
      </c>
      <c r="BC1490" t="inlineStr">
        <is>
          <t>32285000342872</t>
        </is>
      </c>
      <c r="BD1490" t="inlineStr">
        <is>
          <t>893507631</t>
        </is>
      </c>
    </row>
    <row r="1491">
      <c r="A1491" t="inlineStr">
        <is>
          <t>No</t>
        </is>
      </c>
      <c r="B1491" t="inlineStr">
        <is>
          <t>GV721.5 .O419 1988</t>
        </is>
      </c>
      <c r="C1491" t="inlineStr">
        <is>
          <t>0                      GV 0721500O  419         1988</t>
        </is>
      </c>
      <c r="D1491" t="inlineStr">
        <is>
          <t>The Olympic games in transition / Jeffrey O. Segrave, Donald Chu, editors.</t>
        </is>
      </c>
      <c r="F1491" t="inlineStr">
        <is>
          <t>No</t>
        </is>
      </c>
      <c r="G1491" t="inlineStr">
        <is>
          <t>1</t>
        </is>
      </c>
      <c r="H1491" t="inlineStr">
        <is>
          <t>No</t>
        </is>
      </c>
      <c r="I1491" t="inlineStr">
        <is>
          <t>No</t>
        </is>
      </c>
      <c r="J1491" t="inlineStr">
        <is>
          <t>0</t>
        </is>
      </c>
      <c r="L1491" t="inlineStr">
        <is>
          <t>Champaign, Ill. : Human Kinetics Books, c1988.</t>
        </is>
      </c>
      <c r="M1491" t="inlineStr">
        <is>
          <t>1988</t>
        </is>
      </c>
      <c r="O1491" t="inlineStr">
        <is>
          <t>eng</t>
        </is>
      </c>
      <c r="P1491" t="inlineStr">
        <is>
          <t>ilu</t>
        </is>
      </c>
      <c r="R1491" t="inlineStr">
        <is>
          <t xml:space="preserve">GV </t>
        </is>
      </c>
      <c r="S1491" t="n">
        <v>21</v>
      </c>
      <c r="T1491" t="n">
        <v>21</v>
      </c>
      <c r="U1491" t="inlineStr">
        <is>
          <t>2009-10-26</t>
        </is>
      </c>
      <c r="V1491" t="inlineStr">
        <is>
          <t>2009-10-26</t>
        </is>
      </c>
      <c r="W1491" t="inlineStr">
        <is>
          <t>1995-11-28</t>
        </is>
      </c>
      <c r="X1491" t="inlineStr">
        <is>
          <t>1995-11-28</t>
        </is>
      </c>
      <c r="Y1491" t="n">
        <v>506</v>
      </c>
      <c r="Z1491" t="n">
        <v>401</v>
      </c>
      <c r="AA1491" t="n">
        <v>405</v>
      </c>
      <c r="AB1491" t="n">
        <v>6</v>
      </c>
      <c r="AC1491" t="n">
        <v>6</v>
      </c>
      <c r="AD1491" t="n">
        <v>15</v>
      </c>
      <c r="AE1491" t="n">
        <v>15</v>
      </c>
      <c r="AF1491" t="n">
        <v>6</v>
      </c>
      <c r="AG1491" t="n">
        <v>6</v>
      </c>
      <c r="AH1491" t="n">
        <v>2</v>
      </c>
      <c r="AI1491" t="n">
        <v>2</v>
      </c>
      <c r="AJ1491" t="n">
        <v>4</v>
      </c>
      <c r="AK1491" t="n">
        <v>4</v>
      </c>
      <c r="AL1491" t="n">
        <v>5</v>
      </c>
      <c r="AM1491" t="n">
        <v>5</v>
      </c>
      <c r="AN1491" t="n">
        <v>0</v>
      </c>
      <c r="AO1491" t="n">
        <v>0</v>
      </c>
      <c r="AP1491" t="inlineStr">
        <is>
          <t>No</t>
        </is>
      </c>
      <c r="AQ1491" t="inlineStr">
        <is>
          <t>No</t>
        </is>
      </c>
      <c r="AS1491">
        <f>HYPERLINK("https://creighton-primo.hosted.exlibrisgroup.com/primo-explore/search?tab=default_tab&amp;search_scope=EVERYTHING&amp;vid=01CRU&amp;lang=en_US&amp;offset=0&amp;query=any,contains,991000999499702656","Catalog Record")</f>
        <v/>
      </c>
      <c r="AT1491">
        <f>HYPERLINK("http://www.worldcat.org/oclc/15195638","WorldCat Record")</f>
        <v/>
      </c>
      <c r="AU1491" t="inlineStr">
        <is>
          <t>350142155:eng</t>
        </is>
      </c>
      <c r="AV1491" t="inlineStr">
        <is>
          <t>15195638</t>
        </is>
      </c>
      <c r="AW1491" t="inlineStr">
        <is>
          <t>991000999499702656</t>
        </is>
      </c>
      <c r="AX1491" t="inlineStr">
        <is>
          <t>991000999499702656</t>
        </is>
      </c>
      <c r="AY1491" t="inlineStr">
        <is>
          <t>2263336420002656</t>
        </is>
      </c>
      <c r="AZ1491" t="inlineStr">
        <is>
          <t>BOOK</t>
        </is>
      </c>
      <c r="BB1491" t="inlineStr">
        <is>
          <t>9780873221115</t>
        </is>
      </c>
      <c r="BC1491" t="inlineStr">
        <is>
          <t>32285002024981</t>
        </is>
      </c>
      <c r="BD1491" t="inlineStr">
        <is>
          <t>893327780</t>
        </is>
      </c>
    </row>
    <row r="1492">
      <c r="A1492" t="inlineStr">
        <is>
          <t>No</t>
        </is>
      </c>
      <c r="B1492" t="inlineStr">
        <is>
          <t>GV734.3 .W66 2009</t>
        </is>
      </c>
      <c r="C1492" t="inlineStr">
        <is>
          <t>0                      GV 0734300W  66          2009</t>
        </is>
      </c>
      <c r="D1492" t="inlineStr">
        <is>
          <t>The comprehensive guide to careers in sports / Glenn M. Wong.</t>
        </is>
      </c>
      <c r="F1492" t="inlineStr">
        <is>
          <t>No</t>
        </is>
      </c>
      <c r="G1492" t="inlineStr">
        <is>
          <t>1</t>
        </is>
      </c>
      <c r="H1492" t="inlineStr">
        <is>
          <t>No</t>
        </is>
      </c>
      <c r="I1492" t="inlineStr">
        <is>
          <t>No</t>
        </is>
      </c>
      <c r="J1492" t="inlineStr">
        <is>
          <t>0</t>
        </is>
      </c>
      <c r="K1492" t="inlineStr">
        <is>
          <t>Wong, Glenn M.</t>
        </is>
      </c>
      <c r="L1492" t="inlineStr">
        <is>
          <t>Sudbury, Mass. : Jones and Bartlett Publishers, c2009.</t>
        </is>
      </c>
      <c r="M1492" t="inlineStr">
        <is>
          <t>2009</t>
        </is>
      </c>
      <c r="O1492" t="inlineStr">
        <is>
          <t>eng</t>
        </is>
      </c>
      <c r="P1492" t="inlineStr">
        <is>
          <t>mau</t>
        </is>
      </c>
      <c r="R1492" t="inlineStr">
        <is>
          <t xml:space="preserve">GV </t>
        </is>
      </c>
      <c r="S1492" t="n">
        <v>2</v>
      </c>
      <c r="T1492" t="n">
        <v>2</v>
      </c>
      <c r="U1492" t="inlineStr">
        <is>
          <t>2009-03-25</t>
        </is>
      </c>
      <c r="V1492" t="inlineStr">
        <is>
          <t>2009-03-25</t>
        </is>
      </c>
      <c r="W1492" t="inlineStr">
        <is>
          <t>2009-03-25</t>
        </is>
      </c>
      <c r="X1492" t="inlineStr">
        <is>
          <t>2009-03-25</t>
        </is>
      </c>
      <c r="Y1492" t="n">
        <v>308</v>
      </c>
      <c r="Z1492" t="n">
        <v>273</v>
      </c>
      <c r="AA1492" t="n">
        <v>413</v>
      </c>
      <c r="AB1492" t="n">
        <v>3</v>
      </c>
      <c r="AC1492" t="n">
        <v>3</v>
      </c>
      <c r="AD1492" t="n">
        <v>17</v>
      </c>
      <c r="AE1492" t="n">
        <v>20</v>
      </c>
      <c r="AF1492" t="n">
        <v>8</v>
      </c>
      <c r="AG1492" t="n">
        <v>10</v>
      </c>
      <c r="AH1492" t="n">
        <v>3</v>
      </c>
      <c r="AI1492" t="n">
        <v>4</v>
      </c>
      <c r="AJ1492" t="n">
        <v>9</v>
      </c>
      <c r="AK1492" t="n">
        <v>10</v>
      </c>
      <c r="AL1492" t="n">
        <v>2</v>
      </c>
      <c r="AM1492" t="n">
        <v>2</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HYPERLINK("https://creighton-primo.hosted.exlibrisgroup.com/primo-explore/search?tab=default_tab&amp;search_scope=EVERYTHING&amp;vid=01CRU&amp;lang=en_US&amp;offset=0&amp;query=any,contains,991005300079702656","Catalog Record")</f>
        <v/>
      </c>
      <c r="AT1492">
        <f>HYPERLINK("http://www.worldcat.org/oclc/149574062","WorldCat Record")</f>
        <v/>
      </c>
      <c r="AU1492" t="inlineStr">
        <is>
          <t>103692534:eng</t>
        </is>
      </c>
      <c r="AV1492" t="inlineStr">
        <is>
          <t>149574062</t>
        </is>
      </c>
      <c r="AW1492" t="inlineStr">
        <is>
          <t>991005300079702656</t>
        </is>
      </c>
      <c r="AX1492" t="inlineStr">
        <is>
          <t>991005300079702656</t>
        </is>
      </c>
      <c r="AY1492" t="inlineStr">
        <is>
          <t>2263810470002656</t>
        </is>
      </c>
      <c r="AZ1492" t="inlineStr">
        <is>
          <t>BOOK</t>
        </is>
      </c>
      <c r="BB1492" t="inlineStr">
        <is>
          <t>9780763728847</t>
        </is>
      </c>
      <c r="BC1492" t="inlineStr">
        <is>
          <t>32285005510069</t>
        </is>
      </c>
      <c r="BD1492" t="inlineStr">
        <is>
          <t>893810987</t>
        </is>
      </c>
    </row>
    <row r="1493">
      <c r="A1493" t="inlineStr">
        <is>
          <t>No</t>
        </is>
      </c>
      <c r="B1493" t="inlineStr">
        <is>
          <t>GV742.3 .H93 2007</t>
        </is>
      </c>
      <c r="C1493" t="inlineStr">
        <is>
          <t>0                      GV 0742300H  93          2007</t>
        </is>
      </c>
      <c r="D1493" t="inlineStr">
        <is>
          <t>Kicking off the week : a history of Monday Night Football on ABC television, 1970-2005 / Wesley Hyatt.</t>
        </is>
      </c>
      <c r="F1493" t="inlineStr">
        <is>
          <t>No</t>
        </is>
      </c>
      <c r="G1493" t="inlineStr">
        <is>
          <t>1</t>
        </is>
      </c>
      <c r="H1493" t="inlineStr">
        <is>
          <t>No</t>
        </is>
      </c>
      <c r="I1493" t="inlineStr">
        <is>
          <t>No</t>
        </is>
      </c>
      <c r="J1493" t="inlineStr">
        <is>
          <t>0</t>
        </is>
      </c>
      <c r="K1493" t="inlineStr">
        <is>
          <t>Hyatt, Wesley.</t>
        </is>
      </c>
      <c r="L1493" t="inlineStr">
        <is>
          <t>Jefferson, N.C. : McFarland &amp; Company, c2007.</t>
        </is>
      </c>
      <c r="M1493" t="inlineStr">
        <is>
          <t>2007</t>
        </is>
      </c>
      <c r="O1493" t="inlineStr">
        <is>
          <t>eng</t>
        </is>
      </c>
      <c r="P1493" t="inlineStr">
        <is>
          <t>ncu</t>
        </is>
      </c>
      <c r="R1493" t="inlineStr">
        <is>
          <t xml:space="preserve">GV </t>
        </is>
      </c>
      <c r="S1493" t="n">
        <v>2</v>
      </c>
      <c r="T1493" t="n">
        <v>2</v>
      </c>
      <c r="U1493" t="inlineStr">
        <is>
          <t>2008-12-10</t>
        </is>
      </c>
      <c r="V1493" t="inlineStr">
        <is>
          <t>2008-12-10</t>
        </is>
      </c>
      <c r="W1493" t="inlineStr">
        <is>
          <t>2008-07-14</t>
        </is>
      </c>
      <c r="X1493" t="inlineStr">
        <is>
          <t>2008-07-14</t>
        </is>
      </c>
      <c r="Y1493" t="n">
        <v>145</v>
      </c>
      <c r="Z1493" t="n">
        <v>135</v>
      </c>
      <c r="AA1493" t="n">
        <v>138</v>
      </c>
      <c r="AB1493" t="n">
        <v>2</v>
      </c>
      <c r="AC1493" t="n">
        <v>2</v>
      </c>
      <c r="AD1493" t="n">
        <v>7</v>
      </c>
      <c r="AE1493" t="n">
        <v>7</v>
      </c>
      <c r="AF1493" t="n">
        <v>3</v>
      </c>
      <c r="AG1493" t="n">
        <v>3</v>
      </c>
      <c r="AH1493" t="n">
        <v>1</v>
      </c>
      <c r="AI1493" t="n">
        <v>1</v>
      </c>
      <c r="AJ1493" t="n">
        <v>3</v>
      </c>
      <c r="AK1493" t="n">
        <v>3</v>
      </c>
      <c r="AL1493" t="n">
        <v>1</v>
      </c>
      <c r="AM1493" t="n">
        <v>1</v>
      </c>
      <c r="AN1493" t="n">
        <v>1</v>
      </c>
      <c r="AO1493" t="n">
        <v>1</v>
      </c>
      <c r="AP1493" t="inlineStr">
        <is>
          <t>No</t>
        </is>
      </c>
      <c r="AQ1493" t="inlineStr">
        <is>
          <t>Yes</t>
        </is>
      </c>
      <c r="AR1493">
        <f>HYPERLINK("http://catalog.hathitrust.org/Record/005565285","HathiTrust Record")</f>
        <v/>
      </c>
      <c r="AS1493">
        <f>HYPERLINK("https://creighton-primo.hosted.exlibrisgroup.com/primo-explore/search?tab=default_tab&amp;search_scope=EVERYTHING&amp;vid=01CRU&amp;lang=en_US&amp;offset=0&amp;query=any,contains,991005244599702656","Catalog Record")</f>
        <v/>
      </c>
      <c r="AT1493">
        <f>HYPERLINK("http://www.worldcat.org/oclc/80179951","WorldCat Record")</f>
        <v/>
      </c>
      <c r="AU1493" t="inlineStr">
        <is>
          <t>476375350:eng</t>
        </is>
      </c>
      <c r="AV1493" t="inlineStr">
        <is>
          <t>80179951</t>
        </is>
      </c>
      <c r="AW1493" t="inlineStr">
        <is>
          <t>991005244599702656</t>
        </is>
      </c>
      <c r="AX1493" t="inlineStr">
        <is>
          <t>991005244599702656</t>
        </is>
      </c>
      <c r="AY1493" t="inlineStr">
        <is>
          <t>2262997900002656</t>
        </is>
      </c>
      <c r="AZ1493" t="inlineStr">
        <is>
          <t>BOOK</t>
        </is>
      </c>
      <c r="BB1493" t="inlineStr">
        <is>
          <t>9780786429691</t>
        </is>
      </c>
      <c r="BC1493" t="inlineStr">
        <is>
          <t>32285005447635</t>
        </is>
      </c>
      <c r="BD1493" t="inlineStr">
        <is>
          <t>893713714</t>
        </is>
      </c>
    </row>
    <row r="1494">
      <c r="A1494" t="inlineStr">
        <is>
          <t>No</t>
        </is>
      </c>
      <c r="B1494" t="inlineStr">
        <is>
          <t>GV742.42.C65 A3 1995</t>
        </is>
      </c>
      <c r="C1494" t="inlineStr">
        <is>
          <t>0                      GV 0742420C  65                 A  3           1995</t>
        </is>
      </c>
      <c r="D1494" t="inlineStr">
        <is>
          <t>Dick Connor remembered / compiled and edited by Mary Kay Connor.</t>
        </is>
      </c>
      <c r="F1494" t="inlineStr">
        <is>
          <t>No</t>
        </is>
      </c>
      <c r="G1494" t="inlineStr">
        <is>
          <t>1</t>
        </is>
      </c>
      <c r="H1494" t="inlineStr">
        <is>
          <t>No</t>
        </is>
      </c>
      <c r="I1494" t="inlineStr">
        <is>
          <t>No</t>
        </is>
      </c>
      <c r="J1494" t="inlineStr">
        <is>
          <t>0</t>
        </is>
      </c>
      <c r="K1494" t="inlineStr">
        <is>
          <t>Connor, Dick.</t>
        </is>
      </c>
      <c r="L1494" t="inlineStr">
        <is>
          <t>Golden, Colo. : Fulcrum Pub., c1995.</t>
        </is>
      </c>
      <c r="M1494" t="inlineStr">
        <is>
          <t>1995</t>
        </is>
      </c>
      <c r="O1494" t="inlineStr">
        <is>
          <t>eng</t>
        </is>
      </c>
      <c r="P1494" t="inlineStr">
        <is>
          <t>cou</t>
        </is>
      </c>
      <c r="R1494" t="inlineStr">
        <is>
          <t xml:space="preserve">GV </t>
        </is>
      </c>
      <c r="S1494" t="n">
        <v>2</v>
      </c>
      <c r="T1494" t="n">
        <v>2</v>
      </c>
      <c r="U1494" t="inlineStr">
        <is>
          <t>2003-09-09</t>
        </is>
      </c>
      <c r="V1494" t="inlineStr">
        <is>
          <t>2003-09-09</t>
        </is>
      </c>
      <c r="W1494" t="inlineStr">
        <is>
          <t>2003-09-09</t>
        </is>
      </c>
      <c r="X1494" t="inlineStr">
        <is>
          <t>2003-09-09</t>
        </is>
      </c>
      <c r="Y1494" t="n">
        <v>32</v>
      </c>
      <c r="Z1494" t="n">
        <v>32</v>
      </c>
      <c r="AA1494" t="n">
        <v>32</v>
      </c>
      <c r="AB1494" t="n">
        <v>3</v>
      </c>
      <c r="AC1494" t="n">
        <v>3</v>
      </c>
      <c r="AD1494" t="n">
        <v>4</v>
      </c>
      <c r="AE1494" t="n">
        <v>4</v>
      </c>
      <c r="AF1494" t="n">
        <v>0</v>
      </c>
      <c r="AG1494" t="n">
        <v>0</v>
      </c>
      <c r="AH1494" t="n">
        <v>0</v>
      </c>
      <c r="AI1494" t="n">
        <v>0</v>
      </c>
      <c r="AJ1494" t="n">
        <v>2</v>
      </c>
      <c r="AK1494" t="n">
        <v>2</v>
      </c>
      <c r="AL1494" t="n">
        <v>2</v>
      </c>
      <c r="AM1494" t="n">
        <v>2</v>
      </c>
      <c r="AN1494" t="n">
        <v>0</v>
      </c>
      <c r="AO1494" t="n">
        <v>0</v>
      </c>
      <c r="AP1494" t="inlineStr">
        <is>
          <t>No</t>
        </is>
      </c>
      <c r="AQ1494" t="inlineStr">
        <is>
          <t>No</t>
        </is>
      </c>
      <c r="AS1494">
        <f>HYPERLINK("https://creighton-primo.hosted.exlibrisgroup.com/primo-explore/search?tab=default_tab&amp;search_scope=EVERYTHING&amp;vid=01CRU&amp;lang=en_US&amp;offset=0&amp;query=any,contains,991004117489702656","Catalog Record")</f>
        <v/>
      </c>
      <c r="AT1494">
        <f>HYPERLINK("http://www.worldcat.org/oclc/31206714","WorldCat Record")</f>
        <v/>
      </c>
      <c r="AU1494" t="inlineStr">
        <is>
          <t>32735857:eng</t>
        </is>
      </c>
      <c r="AV1494" t="inlineStr">
        <is>
          <t>31206714</t>
        </is>
      </c>
      <c r="AW1494" t="inlineStr">
        <is>
          <t>991004117489702656</t>
        </is>
      </c>
      <c r="AX1494" t="inlineStr">
        <is>
          <t>991004117489702656</t>
        </is>
      </c>
      <c r="AY1494" t="inlineStr">
        <is>
          <t>2259486360002656</t>
        </is>
      </c>
      <c r="AZ1494" t="inlineStr">
        <is>
          <t>BOOK</t>
        </is>
      </c>
      <c r="BB1494" t="inlineStr">
        <is>
          <t>9781555912161</t>
        </is>
      </c>
      <c r="BC1494" t="inlineStr">
        <is>
          <t>32285004781539</t>
        </is>
      </c>
      <c r="BD1494" t="inlineStr">
        <is>
          <t>893687384</t>
        </is>
      </c>
    </row>
    <row r="1495">
      <c r="A1495" t="inlineStr">
        <is>
          <t>No</t>
        </is>
      </c>
      <c r="B1495" t="inlineStr">
        <is>
          <t>GV836.35 .T46 1990</t>
        </is>
      </c>
      <c r="C1495" t="inlineStr">
        <is>
          <t>0                      GV 0836350T  46          1990</t>
        </is>
      </c>
      <c r="D1495" t="inlineStr">
        <is>
          <t>Advanced swimming : steps to success / David G. Thomas.</t>
        </is>
      </c>
      <c r="F1495" t="inlineStr">
        <is>
          <t>No</t>
        </is>
      </c>
      <c r="G1495" t="inlineStr">
        <is>
          <t>1</t>
        </is>
      </c>
      <c r="H1495" t="inlineStr">
        <is>
          <t>No</t>
        </is>
      </c>
      <c r="I1495" t="inlineStr">
        <is>
          <t>No</t>
        </is>
      </c>
      <c r="J1495" t="inlineStr">
        <is>
          <t>0</t>
        </is>
      </c>
      <c r="K1495" t="inlineStr">
        <is>
          <t>Thomas, David G., 1924-</t>
        </is>
      </c>
      <c r="L1495" t="inlineStr">
        <is>
          <t>Champaign, Ill. : Leisure Press, c1990.</t>
        </is>
      </c>
      <c r="M1495" t="inlineStr">
        <is>
          <t>1990</t>
        </is>
      </c>
      <c r="O1495" t="inlineStr">
        <is>
          <t>eng</t>
        </is>
      </c>
      <c r="P1495" t="inlineStr">
        <is>
          <t>ilu</t>
        </is>
      </c>
      <c r="Q1495" t="inlineStr">
        <is>
          <t>Steps to success activity series</t>
        </is>
      </c>
      <c r="R1495" t="inlineStr">
        <is>
          <t xml:space="preserve">GV </t>
        </is>
      </c>
      <c r="S1495" t="n">
        <v>7</v>
      </c>
      <c r="T1495" t="n">
        <v>7</v>
      </c>
      <c r="U1495" t="inlineStr">
        <is>
          <t>2008-06-30</t>
        </is>
      </c>
      <c r="V1495" t="inlineStr">
        <is>
          <t>2008-06-30</t>
        </is>
      </c>
      <c r="W1495" t="inlineStr">
        <is>
          <t>1991-02-20</t>
        </is>
      </c>
      <c r="X1495" t="inlineStr">
        <is>
          <t>1991-02-20</t>
        </is>
      </c>
      <c r="Y1495" t="n">
        <v>599</v>
      </c>
      <c r="Z1495" t="n">
        <v>492</v>
      </c>
      <c r="AA1495" t="n">
        <v>497</v>
      </c>
      <c r="AB1495" t="n">
        <v>6</v>
      </c>
      <c r="AC1495" t="n">
        <v>6</v>
      </c>
      <c r="AD1495" t="n">
        <v>8</v>
      </c>
      <c r="AE1495" t="n">
        <v>8</v>
      </c>
      <c r="AF1495" t="n">
        <v>3</v>
      </c>
      <c r="AG1495" t="n">
        <v>3</v>
      </c>
      <c r="AH1495" t="n">
        <v>1</v>
      </c>
      <c r="AI1495" t="n">
        <v>1</v>
      </c>
      <c r="AJ1495" t="n">
        <v>2</v>
      </c>
      <c r="AK1495" t="n">
        <v>2</v>
      </c>
      <c r="AL1495" t="n">
        <v>4</v>
      </c>
      <c r="AM1495" t="n">
        <v>4</v>
      </c>
      <c r="AN1495" t="n">
        <v>0</v>
      </c>
      <c r="AO1495" t="n">
        <v>0</v>
      </c>
      <c r="AP1495" t="inlineStr">
        <is>
          <t>No</t>
        </is>
      </c>
      <c r="AQ1495" t="inlineStr">
        <is>
          <t>No</t>
        </is>
      </c>
      <c r="AS1495">
        <f>HYPERLINK("https://creighton-primo.hosted.exlibrisgroup.com/primo-explore/search?tab=default_tab&amp;search_scope=EVERYTHING&amp;vid=01CRU&amp;lang=en_US&amp;offset=0&amp;query=any,contains,991001640829702656","Catalog Record")</f>
        <v/>
      </c>
      <c r="AT1495">
        <f>HYPERLINK("http://www.worldcat.org/oclc/21030075","WorldCat Record")</f>
        <v/>
      </c>
      <c r="AU1495" t="inlineStr">
        <is>
          <t>311981513:eng</t>
        </is>
      </c>
      <c r="AV1495" t="inlineStr">
        <is>
          <t>21030075</t>
        </is>
      </c>
      <c r="AW1495" t="inlineStr">
        <is>
          <t>991001640829702656</t>
        </is>
      </c>
      <c r="AX1495" t="inlineStr">
        <is>
          <t>991001640829702656</t>
        </is>
      </c>
      <c r="AY1495" t="inlineStr">
        <is>
          <t>2271585570002656</t>
        </is>
      </c>
      <c r="AZ1495" t="inlineStr">
        <is>
          <t>BOOK</t>
        </is>
      </c>
      <c r="BB1495" t="inlineStr">
        <is>
          <t>9780880113892</t>
        </is>
      </c>
      <c r="BC1495" t="inlineStr">
        <is>
          <t>32285000490648</t>
        </is>
      </c>
      <c r="BD1495" t="inlineStr">
        <is>
          <t>893315904</t>
        </is>
      </c>
    </row>
    <row r="1496">
      <c r="A1496" t="inlineStr">
        <is>
          <t>No</t>
        </is>
      </c>
      <c r="B1496" t="inlineStr">
        <is>
          <t>GV837 .C79 1977</t>
        </is>
      </c>
      <c r="C1496" t="inlineStr">
        <is>
          <t>0                      GV 0837000C  79          1977</t>
        </is>
      </c>
      <c r="D1496" t="inlineStr">
        <is>
          <t>The complete book of swimming / James E. Counsilman.</t>
        </is>
      </c>
      <c r="F1496" t="inlineStr">
        <is>
          <t>No</t>
        </is>
      </c>
      <c r="G1496" t="inlineStr">
        <is>
          <t>1</t>
        </is>
      </c>
      <c r="H1496" t="inlineStr">
        <is>
          <t>No</t>
        </is>
      </c>
      <c r="I1496" t="inlineStr">
        <is>
          <t>No</t>
        </is>
      </c>
      <c r="J1496" t="inlineStr">
        <is>
          <t>0</t>
        </is>
      </c>
      <c r="K1496" t="inlineStr">
        <is>
          <t>Counsilman, James E.</t>
        </is>
      </c>
      <c r="L1496" t="inlineStr">
        <is>
          <t>New York : Atheneum, c1977, 1979 printing.</t>
        </is>
      </c>
      <c r="M1496" t="inlineStr">
        <is>
          <t>1977</t>
        </is>
      </c>
      <c r="N1496" t="inlineStr">
        <is>
          <t>1st ed.</t>
        </is>
      </c>
      <c r="O1496" t="inlineStr">
        <is>
          <t>eng</t>
        </is>
      </c>
      <c r="P1496" t="inlineStr">
        <is>
          <t>nyu</t>
        </is>
      </c>
      <c r="R1496" t="inlineStr">
        <is>
          <t xml:space="preserve">GV </t>
        </is>
      </c>
      <c r="S1496" t="n">
        <v>17</v>
      </c>
      <c r="T1496" t="n">
        <v>17</v>
      </c>
      <c r="U1496" t="inlineStr">
        <is>
          <t>2008-05-28</t>
        </is>
      </c>
      <c r="V1496" t="inlineStr">
        <is>
          <t>2008-05-28</t>
        </is>
      </c>
      <c r="W1496" t="inlineStr">
        <is>
          <t>1990-10-22</t>
        </is>
      </c>
      <c r="X1496" t="inlineStr">
        <is>
          <t>1990-10-22</t>
        </is>
      </c>
      <c r="Y1496" t="n">
        <v>704</v>
      </c>
      <c r="Z1496" t="n">
        <v>655</v>
      </c>
      <c r="AA1496" t="n">
        <v>761</v>
      </c>
      <c r="AB1496" t="n">
        <v>10</v>
      </c>
      <c r="AC1496" t="n">
        <v>12</v>
      </c>
      <c r="AD1496" t="n">
        <v>14</v>
      </c>
      <c r="AE1496" t="n">
        <v>16</v>
      </c>
      <c r="AF1496" t="n">
        <v>7</v>
      </c>
      <c r="AG1496" t="n">
        <v>9</v>
      </c>
      <c r="AH1496" t="n">
        <v>2</v>
      </c>
      <c r="AI1496" t="n">
        <v>2</v>
      </c>
      <c r="AJ1496" t="n">
        <v>3</v>
      </c>
      <c r="AK1496" t="n">
        <v>4</v>
      </c>
      <c r="AL1496" t="n">
        <v>5</v>
      </c>
      <c r="AM1496" t="n">
        <v>5</v>
      </c>
      <c r="AN1496" t="n">
        <v>0</v>
      </c>
      <c r="AO1496" t="n">
        <v>0</v>
      </c>
      <c r="AP1496" t="inlineStr">
        <is>
          <t>No</t>
        </is>
      </c>
      <c r="AQ1496" t="inlineStr">
        <is>
          <t>No</t>
        </is>
      </c>
      <c r="AS1496">
        <f>HYPERLINK("https://creighton-primo.hosted.exlibrisgroup.com/primo-explore/search?tab=default_tab&amp;search_scope=EVERYTHING&amp;vid=01CRU&amp;lang=en_US&amp;offset=0&amp;query=any,contains,991004223979702656","Catalog Record")</f>
        <v/>
      </c>
      <c r="AT1496">
        <f>HYPERLINK("http://www.worldcat.org/oclc/2722352","WorldCat Record")</f>
        <v/>
      </c>
      <c r="AU1496" t="inlineStr">
        <is>
          <t>439017:eng</t>
        </is>
      </c>
      <c r="AV1496" t="inlineStr">
        <is>
          <t>2722352</t>
        </is>
      </c>
      <c r="AW1496" t="inlineStr">
        <is>
          <t>991004223979702656</t>
        </is>
      </c>
      <c r="AX1496" t="inlineStr">
        <is>
          <t>991004223979702656</t>
        </is>
      </c>
      <c r="AY1496" t="inlineStr">
        <is>
          <t>2258992300002656</t>
        </is>
      </c>
      <c r="AZ1496" t="inlineStr">
        <is>
          <t>BOOK</t>
        </is>
      </c>
      <c r="BB1496" t="inlineStr">
        <is>
          <t>9780689105302</t>
        </is>
      </c>
      <c r="BC1496" t="inlineStr">
        <is>
          <t>32285000343185</t>
        </is>
      </c>
      <c r="BD1496" t="inlineStr">
        <is>
          <t>893718654</t>
        </is>
      </c>
    </row>
    <row r="1497">
      <c r="A1497" t="inlineStr">
        <is>
          <t>No</t>
        </is>
      </c>
      <c r="B1497" t="inlineStr">
        <is>
          <t>GV837 .M274 1982</t>
        </is>
      </c>
      <c r="C1497" t="inlineStr">
        <is>
          <t>0                      GV 0837000M  274         1982</t>
        </is>
      </c>
      <c r="D1497" t="inlineStr">
        <is>
          <t>Swimming faster : a comprehensive guide to the science of swimming / Ernest W. Maglischo.</t>
        </is>
      </c>
      <c r="F1497" t="inlineStr">
        <is>
          <t>No</t>
        </is>
      </c>
      <c r="G1497" t="inlineStr">
        <is>
          <t>1</t>
        </is>
      </c>
      <c r="H1497" t="inlineStr">
        <is>
          <t>No</t>
        </is>
      </c>
      <c r="I1497" t="inlineStr">
        <is>
          <t>No</t>
        </is>
      </c>
      <c r="J1497" t="inlineStr">
        <is>
          <t>0</t>
        </is>
      </c>
      <c r="K1497" t="inlineStr">
        <is>
          <t>Maglischo, Ernest W.</t>
        </is>
      </c>
      <c r="L1497" t="inlineStr">
        <is>
          <t>Palo Alto, Calif. : Mayfield Publishing Co., 1982.</t>
        </is>
      </c>
      <c r="M1497" t="inlineStr">
        <is>
          <t>1982</t>
        </is>
      </c>
      <c r="N1497" t="inlineStr">
        <is>
          <t>1st ed.</t>
        </is>
      </c>
      <c r="O1497" t="inlineStr">
        <is>
          <t>eng</t>
        </is>
      </c>
      <c r="P1497" t="inlineStr">
        <is>
          <t>cau</t>
        </is>
      </c>
      <c r="R1497" t="inlineStr">
        <is>
          <t xml:space="preserve">GV </t>
        </is>
      </c>
      <c r="S1497" t="n">
        <v>13</v>
      </c>
      <c r="T1497" t="n">
        <v>13</v>
      </c>
      <c r="U1497" t="inlineStr">
        <is>
          <t>2008-02-12</t>
        </is>
      </c>
      <c r="V1497" t="inlineStr">
        <is>
          <t>2008-02-12</t>
        </is>
      </c>
      <c r="W1497" t="inlineStr">
        <is>
          <t>1990-10-22</t>
        </is>
      </c>
      <c r="X1497" t="inlineStr">
        <is>
          <t>1990-10-22</t>
        </is>
      </c>
      <c r="Y1497" t="n">
        <v>546</v>
      </c>
      <c r="Z1497" t="n">
        <v>455</v>
      </c>
      <c r="AA1497" t="n">
        <v>466</v>
      </c>
      <c r="AB1497" t="n">
        <v>5</v>
      </c>
      <c r="AC1497" t="n">
        <v>6</v>
      </c>
      <c r="AD1497" t="n">
        <v>14</v>
      </c>
      <c r="AE1497" t="n">
        <v>15</v>
      </c>
      <c r="AF1497" t="n">
        <v>8</v>
      </c>
      <c r="AG1497" t="n">
        <v>8</v>
      </c>
      <c r="AH1497" t="n">
        <v>3</v>
      </c>
      <c r="AI1497" t="n">
        <v>3</v>
      </c>
      <c r="AJ1497" t="n">
        <v>3</v>
      </c>
      <c r="AK1497" t="n">
        <v>3</v>
      </c>
      <c r="AL1497" t="n">
        <v>4</v>
      </c>
      <c r="AM1497" t="n">
        <v>5</v>
      </c>
      <c r="AN1497" t="n">
        <v>0</v>
      </c>
      <c r="AO1497" t="n">
        <v>0</v>
      </c>
      <c r="AP1497" t="inlineStr">
        <is>
          <t>No</t>
        </is>
      </c>
      <c r="AQ1497" t="inlineStr">
        <is>
          <t>No</t>
        </is>
      </c>
      <c r="AS1497">
        <f>HYPERLINK("https://creighton-primo.hosted.exlibrisgroup.com/primo-explore/search?tab=default_tab&amp;search_scope=EVERYTHING&amp;vid=01CRU&amp;lang=en_US&amp;offset=0&amp;query=any,contains,991000029499702656","Catalog Record")</f>
        <v/>
      </c>
      <c r="AT1497">
        <f>HYPERLINK("http://www.worldcat.org/oclc/8592835","WorldCat Record")</f>
        <v/>
      </c>
      <c r="AU1497" t="inlineStr">
        <is>
          <t>14463999:eng</t>
        </is>
      </c>
      <c r="AV1497" t="inlineStr">
        <is>
          <t>8592835</t>
        </is>
      </c>
      <c r="AW1497" t="inlineStr">
        <is>
          <t>991000029499702656</t>
        </is>
      </c>
      <c r="AX1497" t="inlineStr">
        <is>
          <t>991000029499702656</t>
        </is>
      </c>
      <c r="AY1497" t="inlineStr">
        <is>
          <t>2271329650002656</t>
        </is>
      </c>
      <c r="AZ1497" t="inlineStr">
        <is>
          <t>BOOK</t>
        </is>
      </c>
      <c r="BB1497" t="inlineStr">
        <is>
          <t>9780874845488</t>
        </is>
      </c>
      <c r="BC1497" t="inlineStr">
        <is>
          <t>32285000343193</t>
        </is>
      </c>
      <c r="BD1497" t="inlineStr">
        <is>
          <t>893607550</t>
        </is>
      </c>
    </row>
    <row r="1498">
      <c r="A1498" t="inlineStr">
        <is>
          <t>No</t>
        </is>
      </c>
      <c r="B1498" t="inlineStr">
        <is>
          <t>GV838.72 .O63 1986</t>
        </is>
      </c>
      <c r="C1498" t="inlineStr">
        <is>
          <t>0                      GV 0838720O  63          1986</t>
        </is>
      </c>
      <c r="D1498" t="inlineStr">
        <is>
          <t>On the guard : the YMCA lifeguard manual / [editors, D.I. Forsten and Marjorie M. Murphy].</t>
        </is>
      </c>
      <c r="F1498" t="inlineStr">
        <is>
          <t>No</t>
        </is>
      </c>
      <c r="G1498" t="inlineStr">
        <is>
          <t>1</t>
        </is>
      </c>
      <c r="H1498" t="inlineStr">
        <is>
          <t>No</t>
        </is>
      </c>
      <c r="I1498" t="inlineStr">
        <is>
          <t>No</t>
        </is>
      </c>
      <c r="J1498" t="inlineStr">
        <is>
          <t>0</t>
        </is>
      </c>
      <c r="L1498" t="inlineStr">
        <is>
          <t>Champaign, IL : YMCA of the USA : Purchased from the YMCA Program Store, c1986.</t>
        </is>
      </c>
      <c r="M1498" t="inlineStr">
        <is>
          <t>1986</t>
        </is>
      </c>
      <c r="O1498" t="inlineStr">
        <is>
          <t>eng</t>
        </is>
      </c>
      <c r="P1498" t="inlineStr">
        <is>
          <t>ilu</t>
        </is>
      </c>
      <c r="R1498" t="inlineStr">
        <is>
          <t xml:space="preserve">GV </t>
        </is>
      </c>
      <c r="S1498" t="n">
        <v>8</v>
      </c>
      <c r="T1498" t="n">
        <v>8</v>
      </c>
      <c r="U1498" t="inlineStr">
        <is>
          <t>2007-06-14</t>
        </is>
      </c>
      <c r="V1498" t="inlineStr">
        <is>
          <t>2007-06-14</t>
        </is>
      </c>
      <c r="W1498" t="inlineStr">
        <is>
          <t>1990-10-22</t>
        </is>
      </c>
      <c r="X1498" t="inlineStr">
        <is>
          <t>1990-10-22</t>
        </is>
      </c>
      <c r="Y1498" t="n">
        <v>318</v>
      </c>
      <c r="Z1498" t="n">
        <v>298</v>
      </c>
      <c r="AA1498" t="n">
        <v>306</v>
      </c>
      <c r="AB1498" t="n">
        <v>3</v>
      </c>
      <c r="AC1498" t="n">
        <v>3</v>
      </c>
      <c r="AD1498" t="n">
        <v>3</v>
      </c>
      <c r="AE1498" t="n">
        <v>3</v>
      </c>
      <c r="AF1498" t="n">
        <v>1</v>
      </c>
      <c r="AG1498" t="n">
        <v>1</v>
      </c>
      <c r="AH1498" t="n">
        <v>0</v>
      </c>
      <c r="AI1498" t="n">
        <v>0</v>
      </c>
      <c r="AJ1498" t="n">
        <v>0</v>
      </c>
      <c r="AK1498" t="n">
        <v>0</v>
      </c>
      <c r="AL1498" t="n">
        <v>2</v>
      </c>
      <c r="AM1498" t="n">
        <v>2</v>
      </c>
      <c r="AN1498" t="n">
        <v>0</v>
      </c>
      <c r="AO1498" t="n">
        <v>0</v>
      </c>
      <c r="AP1498" t="inlineStr">
        <is>
          <t>No</t>
        </is>
      </c>
      <c r="AQ1498" t="inlineStr">
        <is>
          <t>Yes</t>
        </is>
      </c>
      <c r="AR1498">
        <f>HYPERLINK("http://catalog.hathitrust.org/Record/009822176","HathiTrust Record")</f>
        <v/>
      </c>
      <c r="AS1498">
        <f>HYPERLINK("https://creighton-primo.hosted.exlibrisgroup.com/primo-explore/search?tab=default_tab&amp;search_scope=EVERYTHING&amp;vid=01CRU&amp;lang=en_US&amp;offset=0&amp;query=any,contains,991000783559702656","Catalog Record")</f>
        <v/>
      </c>
      <c r="AT1498">
        <f>HYPERLINK("http://www.worldcat.org/oclc/13121525","WorldCat Record")</f>
        <v/>
      </c>
      <c r="AU1498" t="inlineStr">
        <is>
          <t>2863417721:eng</t>
        </is>
      </c>
      <c r="AV1498" t="inlineStr">
        <is>
          <t>13121525</t>
        </is>
      </c>
      <c r="AW1498" t="inlineStr">
        <is>
          <t>991000783559702656</t>
        </is>
      </c>
      <c r="AX1498" t="inlineStr">
        <is>
          <t>991000783559702656</t>
        </is>
      </c>
      <c r="AY1498" t="inlineStr">
        <is>
          <t>2256010470002656</t>
        </is>
      </c>
      <c r="AZ1498" t="inlineStr">
        <is>
          <t>BOOK</t>
        </is>
      </c>
      <c r="BB1498" t="inlineStr">
        <is>
          <t>9780873220590</t>
        </is>
      </c>
      <c r="BC1498" t="inlineStr">
        <is>
          <t>32285000343268</t>
        </is>
      </c>
      <c r="BD1498" t="inlineStr">
        <is>
          <t>893413677</t>
        </is>
      </c>
    </row>
    <row r="1499">
      <c r="A1499" t="inlineStr">
        <is>
          <t>No</t>
        </is>
      </c>
      <c r="B1499" t="inlineStr">
        <is>
          <t>GV838.K35 C76 2007</t>
        </is>
      </c>
      <c r="C1499" t="inlineStr">
        <is>
          <t>0                      GV 0838000K  35                 C  76          2007</t>
        </is>
      </c>
      <c r="D1499" t="inlineStr">
        <is>
          <t>Surfer of the century : the life of Duke Kahanamoku / by Ellie Crowe ; illustrations by Richard Waldrep.</t>
        </is>
      </c>
      <c r="F1499" t="inlineStr">
        <is>
          <t>No</t>
        </is>
      </c>
      <c r="G1499" t="inlineStr">
        <is>
          <t>1</t>
        </is>
      </c>
      <c r="H1499" t="inlineStr">
        <is>
          <t>No</t>
        </is>
      </c>
      <c r="I1499" t="inlineStr">
        <is>
          <t>No</t>
        </is>
      </c>
      <c r="J1499" t="inlineStr">
        <is>
          <t>0</t>
        </is>
      </c>
      <c r="K1499" t="inlineStr">
        <is>
          <t>Crowe, Ellie.</t>
        </is>
      </c>
      <c r="L1499" t="inlineStr">
        <is>
          <t>New York : Lee &amp; Low Books, c2007.</t>
        </is>
      </c>
      <c r="M1499" t="inlineStr">
        <is>
          <t>2007</t>
        </is>
      </c>
      <c r="N1499" t="inlineStr">
        <is>
          <t>1st ed.</t>
        </is>
      </c>
      <c r="O1499" t="inlineStr">
        <is>
          <t>eng</t>
        </is>
      </c>
      <c r="P1499" t="inlineStr">
        <is>
          <t>nyu</t>
        </is>
      </c>
      <c r="R1499" t="inlineStr">
        <is>
          <t xml:space="preserve">GV </t>
        </is>
      </c>
      <c r="S1499" t="n">
        <v>2</v>
      </c>
      <c r="T1499" t="n">
        <v>2</v>
      </c>
      <c r="U1499" t="inlineStr">
        <is>
          <t>2008-06-05</t>
        </is>
      </c>
      <c r="V1499" t="inlineStr">
        <is>
          <t>2008-06-05</t>
        </is>
      </c>
      <c r="W1499" t="inlineStr">
        <is>
          <t>2008-06-05</t>
        </is>
      </c>
      <c r="X1499" t="inlineStr">
        <is>
          <t>2008-06-05</t>
        </is>
      </c>
      <c r="Y1499" t="n">
        <v>983</v>
      </c>
      <c r="Z1499" t="n">
        <v>974</v>
      </c>
      <c r="AA1499" t="n">
        <v>984</v>
      </c>
      <c r="AB1499" t="n">
        <v>7</v>
      </c>
      <c r="AC1499" t="n">
        <v>7</v>
      </c>
      <c r="AD1499" t="n">
        <v>13</v>
      </c>
      <c r="AE1499" t="n">
        <v>13</v>
      </c>
      <c r="AF1499" t="n">
        <v>6</v>
      </c>
      <c r="AG1499" t="n">
        <v>6</v>
      </c>
      <c r="AH1499" t="n">
        <v>3</v>
      </c>
      <c r="AI1499" t="n">
        <v>3</v>
      </c>
      <c r="AJ1499" t="n">
        <v>6</v>
      </c>
      <c r="AK1499" t="n">
        <v>6</v>
      </c>
      <c r="AL1499" t="n">
        <v>2</v>
      </c>
      <c r="AM1499" t="n">
        <v>2</v>
      </c>
      <c r="AN1499" t="n">
        <v>0</v>
      </c>
      <c r="AO1499" t="n">
        <v>0</v>
      </c>
      <c r="AP1499" t="inlineStr">
        <is>
          <t>No</t>
        </is>
      </c>
      <c r="AQ1499" t="inlineStr">
        <is>
          <t>No</t>
        </is>
      </c>
      <c r="AS1499">
        <f>HYPERLINK("https://creighton-primo.hosted.exlibrisgroup.com/primo-explore/search?tab=default_tab&amp;search_scope=EVERYTHING&amp;vid=01CRU&amp;lang=en_US&amp;offset=0&amp;query=any,contains,991005228729702656","Catalog Record")</f>
        <v/>
      </c>
      <c r="AT1499">
        <f>HYPERLINK("http://www.worldcat.org/oclc/76261704","WorldCat Record")</f>
        <v/>
      </c>
      <c r="AU1499" t="inlineStr">
        <is>
          <t>796539644:eng</t>
        </is>
      </c>
      <c r="AV1499" t="inlineStr">
        <is>
          <t>76261704</t>
        </is>
      </c>
      <c r="AW1499" t="inlineStr">
        <is>
          <t>991005228729702656</t>
        </is>
      </c>
      <c r="AX1499" t="inlineStr">
        <is>
          <t>991005228729702656</t>
        </is>
      </c>
      <c r="AY1499" t="inlineStr">
        <is>
          <t>2260698940002656</t>
        </is>
      </c>
      <c r="AZ1499" t="inlineStr">
        <is>
          <t>BOOK</t>
        </is>
      </c>
      <c r="BB1499" t="inlineStr">
        <is>
          <t>9781584302766</t>
        </is>
      </c>
      <c r="BC1499" t="inlineStr">
        <is>
          <t>32285005443170</t>
        </is>
      </c>
      <c r="BD1499" t="inlineStr">
        <is>
          <t>893768528</t>
        </is>
      </c>
    </row>
    <row r="1500">
      <c r="A1500" t="inlineStr">
        <is>
          <t>No</t>
        </is>
      </c>
      <c r="B1500" t="inlineStr">
        <is>
          <t>GV840.S8 D54 2000</t>
        </is>
      </c>
      <c r="C1500" t="inlineStr">
        <is>
          <t>0                      GV 0840000S  8                  D  54          2000</t>
        </is>
      </c>
      <c r="D1500" t="inlineStr">
        <is>
          <t>Surfing : in search of the perfect wave / Peter Diel, Eric Menges.</t>
        </is>
      </c>
      <c r="F1500" t="inlineStr">
        <is>
          <t>No</t>
        </is>
      </c>
      <c r="G1500" t="inlineStr">
        <is>
          <t>1</t>
        </is>
      </c>
      <c r="H1500" t="inlineStr">
        <is>
          <t>No</t>
        </is>
      </c>
      <c r="I1500" t="inlineStr">
        <is>
          <t>No</t>
        </is>
      </c>
      <c r="J1500" t="inlineStr">
        <is>
          <t>0</t>
        </is>
      </c>
      <c r="K1500" t="inlineStr">
        <is>
          <t>Diel, Peter.</t>
        </is>
      </c>
      <c r="L1500" t="inlineStr">
        <is>
          <t>Aachen : Meyer &amp; Meyer ; Garsington : Windsor, 2000.</t>
        </is>
      </c>
      <c r="M1500" t="inlineStr">
        <is>
          <t>2000</t>
        </is>
      </c>
      <c r="O1500" t="inlineStr">
        <is>
          <t>eng</t>
        </is>
      </c>
      <c r="P1500" t="inlineStr">
        <is>
          <t xml:space="preserve">gw </t>
        </is>
      </c>
      <c r="R1500" t="inlineStr">
        <is>
          <t xml:space="preserve">GV </t>
        </is>
      </c>
      <c r="S1500" t="n">
        <v>3</v>
      </c>
      <c r="T1500" t="n">
        <v>3</v>
      </c>
      <c r="U1500" t="inlineStr">
        <is>
          <t>2001-01-30</t>
        </is>
      </c>
      <c r="V1500" t="inlineStr">
        <is>
          <t>2001-01-30</t>
        </is>
      </c>
      <c r="W1500" t="inlineStr">
        <is>
          <t>2000-08-15</t>
        </is>
      </c>
      <c r="X1500" t="inlineStr">
        <is>
          <t>2000-08-15</t>
        </is>
      </c>
      <c r="Y1500" t="n">
        <v>57</v>
      </c>
      <c r="Z1500" t="n">
        <v>33</v>
      </c>
      <c r="AA1500" t="n">
        <v>195</v>
      </c>
      <c r="AB1500" t="n">
        <v>1</v>
      </c>
      <c r="AC1500" t="n">
        <v>2</v>
      </c>
      <c r="AD1500" t="n">
        <v>0</v>
      </c>
      <c r="AE1500" t="n">
        <v>5</v>
      </c>
      <c r="AF1500" t="n">
        <v>0</v>
      </c>
      <c r="AG1500" t="n">
        <v>3</v>
      </c>
      <c r="AH1500" t="n">
        <v>0</v>
      </c>
      <c r="AI1500" t="n">
        <v>2</v>
      </c>
      <c r="AJ1500" t="n">
        <v>0</v>
      </c>
      <c r="AK1500" t="n">
        <v>0</v>
      </c>
      <c r="AL1500" t="n">
        <v>0</v>
      </c>
      <c r="AM1500" t="n">
        <v>1</v>
      </c>
      <c r="AN1500" t="n">
        <v>0</v>
      </c>
      <c r="AO1500" t="n">
        <v>0</v>
      </c>
      <c r="AP1500" t="inlineStr">
        <is>
          <t>No</t>
        </is>
      </c>
      <c r="AQ1500" t="inlineStr">
        <is>
          <t>No</t>
        </is>
      </c>
      <c r="AS1500">
        <f>HYPERLINK("https://creighton-primo.hosted.exlibrisgroup.com/primo-explore/search?tab=default_tab&amp;search_scope=EVERYTHING&amp;vid=01CRU&amp;lang=en_US&amp;offset=0&amp;query=any,contains,991003226989702656","Catalog Record")</f>
        <v/>
      </c>
      <c r="AT1500">
        <f>HYPERLINK("http://www.worldcat.org/oclc/43580500","WorldCat Record")</f>
        <v/>
      </c>
      <c r="AU1500" t="inlineStr">
        <is>
          <t>898572924:eng</t>
        </is>
      </c>
      <c r="AV1500" t="inlineStr">
        <is>
          <t>43580500</t>
        </is>
      </c>
      <c r="AW1500" t="inlineStr">
        <is>
          <t>991003226989702656</t>
        </is>
      </c>
      <c r="AX1500" t="inlineStr">
        <is>
          <t>991003226989702656</t>
        </is>
      </c>
      <c r="AY1500" t="inlineStr">
        <is>
          <t>2270297860002656</t>
        </is>
      </c>
      <c r="AZ1500" t="inlineStr">
        <is>
          <t>BOOK</t>
        </is>
      </c>
      <c r="BB1500" t="inlineStr">
        <is>
          <t>9781841260235</t>
        </is>
      </c>
      <c r="BC1500" t="inlineStr">
        <is>
          <t>32285003757514</t>
        </is>
      </c>
      <c r="BD1500" t="inlineStr">
        <is>
          <t>893348458</t>
        </is>
      </c>
    </row>
    <row r="1501">
      <c r="A1501" t="inlineStr">
        <is>
          <t>No</t>
        </is>
      </c>
      <c r="B1501" t="inlineStr">
        <is>
          <t>GV842 1980 .O4</t>
        </is>
      </c>
      <c r="C1501" t="inlineStr">
        <is>
          <t>0                      GV 0842000               1980   O  4</t>
        </is>
      </c>
      <c r="D1501" t="inlineStr">
        <is>
          <t>Olympic winter games, USA 1980 / concept and design Edgar P. Spallek.</t>
        </is>
      </c>
      <c r="F1501" t="inlineStr">
        <is>
          <t>No</t>
        </is>
      </c>
      <c r="G1501" t="inlineStr">
        <is>
          <t>1</t>
        </is>
      </c>
      <c r="H1501" t="inlineStr">
        <is>
          <t>No</t>
        </is>
      </c>
      <c r="I1501" t="inlineStr">
        <is>
          <t>No</t>
        </is>
      </c>
      <c r="J1501" t="inlineStr">
        <is>
          <t>0</t>
        </is>
      </c>
      <c r="L1501" t="inlineStr">
        <is>
          <t>[s.l.] : Spallek, c1980.</t>
        </is>
      </c>
      <c r="M1501" t="inlineStr">
        <is>
          <t>1980</t>
        </is>
      </c>
      <c r="O1501" t="inlineStr">
        <is>
          <t>eng</t>
        </is>
      </c>
      <c r="P1501" t="inlineStr">
        <is>
          <t xml:space="preserve">xx </t>
        </is>
      </c>
      <c r="R1501" t="inlineStr">
        <is>
          <t xml:space="preserve">GV </t>
        </is>
      </c>
      <c r="S1501" t="n">
        <v>9</v>
      </c>
      <c r="T1501" t="n">
        <v>9</v>
      </c>
      <c r="U1501" t="inlineStr">
        <is>
          <t>2010-11-08</t>
        </is>
      </c>
      <c r="V1501" t="inlineStr">
        <is>
          <t>2010-11-08</t>
        </is>
      </c>
      <c r="W1501" t="inlineStr">
        <is>
          <t>1990-10-22</t>
        </is>
      </c>
      <c r="X1501" t="inlineStr">
        <is>
          <t>1990-10-22</t>
        </is>
      </c>
      <c r="Y1501" t="n">
        <v>397</v>
      </c>
      <c r="Z1501" t="n">
        <v>390</v>
      </c>
      <c r="AA1501" t="n">
        <v>405</v>
      </c>
      <c r="AB1501" t="n">
        <v>2</v>
      </c>
      <c r="AC1501" t="n">
        <v>2</v>
      </c>
      <c r="AD1501" t="n">
        <v>12</v>
      </c>
      <c r="AE1501" t="n">
        <v>13</v>
      </c>
      <c r="AF1501" t="n">
        <v>7</v>
      </c>
      <c r="AG1501" t="n">
        <v>8</v>
      </c>
      <c r="AH1501" t="n">
        <v>2</v>
      </c>
      <c r="AI1501" t="n">
        <v>2</v>
      </c>
      <c r="AJ1501" t="n">
        <v>4</v>
      </c>
      <c r="AK1501" t="n">
        <v>4</v>
      </c>
      <c r="AL1501" t="n">
        <v>1</v>
      </c>
      <c r="AM1501" t="n">
        <v>1</v>
      </c>
      <c r="AN1501" t="n">
        <v>0</v>
      </c>
      <c r="AO1501" t="n">
        <v>0</v>
      </c>
      <c r="AP1501" t="inlineStr">
        <is>
          <t>No</t>
        </is>
      </c>
      <c r="AQ1501" t="inlineStr">
        <is>
          <t>No</t>
        </is>
      </c>
      <c r="AS1501">
        <f>HYPERLINK("https://creighton-primo.hosted.exlibrisgroup.com/primo-explore/search?tab=default_tab&amp;search_scope=EVERYTHING&amp;vid=01CRU&amp;lang=en_US&amp;offset=0&amp;query=any,contains,991005094389702656","Catalog Record")</f>
        <v/>
      </c>
      <c r="AT1501">
        <f>HYPERLINK("http://www.worldcat.org/oclc/11497093","WorldCat Record")</f>
        <v/>
      </c>
      <c r="AU1501" t="inlineStr">
        <is>
          <t>54680580:eng</t>
        </is>
      </c>
      <c r="AV1501" t="inlineStr">
        <is>
          <t>11497093</t>
        </is>
      </c>
      <c r="AW1501" t="inlineStr">
        <is>
          <t>991005094389702656</t>
        </is>
      </c>
      <c r="AX1501" t="inlineStr">
        <is>
          <t>991005094389702656</t>
        </is>
      </c>
      <c r="AY1501" t="inlineStr">
        <is>
          <t>2255647080002656</t>
        </is>
      </c>
      <c r="AZ1501" t="inlineStr">
        <is>
          <t>BOOK</t>
        </is>
      </c>
      <c r="BC1501" t="inlineStr">
        <is>
          <t>32285000343318</t>
        </is>
      </c>
      <c r="BD1501" t="inlineStr">
        <is>
          <t>893501316</t>
        </is>
      </c>
    </row>
    <row r="1502">
      <c r="A1502" t="inlineStr">
        <is>
          <t>No</t>
        </is>
      </c>
      <c r="B1502" t="inlineStr">
        <is>
          <t>GV842 1994.U6 C4 1994</t>
        </is>
      </c>
      <c r="C1502" t="inlineStr">
        <is>
          <t>0                      GV 0842000               1994   U  6                  C  4           1994</t>
        </is>
      </c>
      <c r="D1502" t="inlineStr">
        <is>
          <t>Chamonix to Lillehammer : the glory of the Olympic Winter Games / an official publication of the U.S. Olympic Committee.</t>
        </is>
      </c>
      <c r="F1502" t="inlineStr">
        <is>
          <t>No</t>
        </is>
      </c>
      <c r="G1502" t="inlineStr">
        <is>
          <t>1</t>
        </is>
      </c>
      <c r="H1502" t="inlineStr">
        <is>
          <t>No</t>
        </is>
      </c>
      <c r="I1502" t="inlineStr">
        <is>
          <t>No</t>
        </is>
      </c>
      <c r="J1502" t="inlineStr">
        <is>
          <t>0</t>
        </is>
      </c>
      <c r="K1502" t="inlineStr">
        <is>
          <t>United States Olympic Committee.</t>
        </is>
      </c>
      <c r="L1502" t="inlineStr">
        <is>
          <t>Salt Lake City : Mikko Laitinen Commemorative Publications, c1994.</t>
        </is>
      </c>
      <c r="M1502" t="inlineStr">
        <is>
          <t>1994</t>
        </is>
      </c>
      <c r="O1502" t="inlineStr">
        <is>
          <t>eng</t>
        </is>
      </c>
      <c r="P1502" t="inlineStr">
        <is>
          <t>utu</t>
        </is>
      </c>
      <c r="R1502" t="inlineStr">
        <is>
          <t xml:space="preserve">GV </t>
        </is>
      </c>
      <c r="S1502" t="n">
        <v>10</v>
      </c>
      <c r="T1502" t="n">
        <v>10</v>
      </c>
      <c r="U1502" t="inlineStr">
        <is>
          <t>2010-11-08</t>
        </is>
      </c>
      <c r="V1502" t="inlineStr">
        <is>
          <t>2010-11-08</t>
        </is>
      </c>
      <c r="W1502" t="inlineStr">
        <is>
          <t>1994-09-19</t>
        </is>
      </c>
      <c r="X1502" t="inlineStr">
        <is>
          <t>1994-09-19</t>
        </is>
      </c>
      <c r="Y1502" t="n">
        <v>528</v>
      </c>
      <c r="Z1502" t="n">
        <v>523</v>
      </c>
      <c r="AA1502" t="n">
        <v>540</v>
      </c>
      <c r="AB1502" t="n">
        <v>4</v>
      </c>
      <c r="AC1502" t="n">
        <v>4</v>
      </c>
      <c r="AD1502" t="n">
        <v>0</v>
      </c>
      <c r="AE1502" t="n">
        <v>0</v>
      </c>
      <c r="AF1502" t="n">
        <v>0</v>
      </c>
      <c r="AG1502" t="n">
        <v>0</v>
      </c>
      <c r="AH1502" t="n">
        <v>0</v>
      </c>
      <c r="AI1502" t="n">
        <v>0</v>
      </c>
      <c r="AJ1502" t="n">
        <v>0</v>
      </c>
      <c r="AK1502" t="n">
        <v>0</v>
      </c>
      <c r="AL1502" t="n">
        <v>0</v>
      </c>
      <c r="AM1502" t="n">
        <v>0</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HYPERLINK("https://creighton-primo.hosted.exlibrisgroup.com/primo-explore/search?tab=default_tab&amp;search_scope=EVERYTHING&amp;vid=01CRU&amp;lang=en_US&amp;offset=0&amp;query=any,contains,991002347879702656","Catalog Record")</f>
        <v/>
      </c>
      <c r="AT1502">
        <f>HYPERLINK("http://www.worldcat.org/oclc/30592233","WorldCat Record")</f>
        <v/>
      </c>
      <c r="AU1502" t="inlineStr">
        <is>
          <t>32746231:eng</t>
        </is>
      </c>
      <c r="AV1502" t="inlineStr">
        <is>
          <t>30592233</t>
        </is>
      </c>
      <c r="AW1502" t="inlineStr">
        <is>
          <t>991002347879702656</t>
        </is>
      </c>
      <c r="AX1502" t="inlineStr">
        <is>
          <t>991002347879702656</t>
        </is>
      </c>
      <c r="AY1502" t="inlineStr">
        <is>
          <t>2262313020002656</t>
        </is>
      </c>
      <c r="AZ1502" t="inlineStr">
        <is>
          <t>BOOK</t>
        </is>
      </c>
      <c r="BB1502" t="inlineStr">
        <is>
          <t>9780918883063</t>
        </is>
      </c>
      <c r="BC1502" t="inlineStr">
        <is>
          <t>32285001946192</t>
        </is>
      </c>
      <c r="BD1502" t="inlineStr">
        <is>
          <t>893898652</t>
        </is>
      </c>
    </row>
    <row r="1503">
      <c r="A1503" t="inlineStr">
        <is>
          <t>No</t>
        </is>
      </c>
      <c r="B1503" t="inlineStr">
        <is>
          <t>GV854 .C73 1987</t>
        </is>
      </c>
      <c r="C1503" t="inlineStr">
        <is>
          <t>0                      GV 0854000C  73          1987</t>
        </is>
      </c>
      <c r="D1503" t="inlineStr">
        <is>
          <t>Skiing everyone / Jim Cottrell.</t>
        </is>
      </c>
      <c r="F1503" t="inlineStr">
        <is>
          <t>No</t>
        </is>
      </c>
      <c r="G1503" t="inlineStr">
        <is>
          <t>1</t>
        </is>
      </c>
      <c r="H1503" t="inlineStr">
        <is>
          <t>No</t>
        </is>
      </c>
      <c r="I1503" t="inlineStr">
        <is>
          <t>No</t>
        </is>
      </c>
      <c r="J1503" t="inlineStr">
        <is>
          <t>0</t>
        </is>
      </c>
      <c r="K1503" t="inlineStr">
        <is>
          <t>Cottrell, Jim.</t>
        </is>
      </c>
      <c r="L1503" t="inlineStr">
        <is>
          <t>Winston-Salem, NC : Hunter Textbooks, c1987.</t>
        </is>
      </c>
      <c r="M1503" t="inlineStr">
        <is>
          <t>1987</t>
        </is>
      </c>
      <c r="N1503" t="inlineStr">
        <is>
          <t>2nd ed.</t>
        </is>
      </c>
      <c r="O1503" t="inlineStr">
        <is>
          <t>eng</t>
        </is>
      </c>
      <c r="P1503" t="inlineStr">
        <is>
          <t>ncu</t>
        </is>
      </c>
      <c r="R1503" t="inlineStr">
        <is>
          <t xml:space="preserve">GV </t>
        </is>
      </c>
      <c r="S1503" t="n">
        <v>12</v>
      </c>
      <c r="T1503" t="n">
        <v>12</v>
      </c>
      <c r="U1503" t="inlineStr">
        <is>
          <t>2001-09-17</t>
        </is>
      </c>
      <c r="V1503" t="inlineStr">
        <is>
          <t>2001-09-17</t>
        </is>
      </c>
      <c r="W1503" t="inlineStr">
        <is>
          <t>1990-06-12</t>
        </is>
      </c>
      <c r="X1503" t="inlineStr">
        <is>
          <t>1990-06-12</t>
        </is>
      </c>
      <c r="Y1503" t="n">
        <v>31</v>
      </c>
      <c r="Z1503" t="n">
        <v>29</v>
      </c>
      <c r="AA1503" t="n">
        <v>94</v>
      </c>
      <c r="AB1503" t="n">
        <v>1</v>
      </c>
      <c r="AC1503" t="n">
        <v>1</v>
      </c>
      <c r="AD1503" t="n">
        <v>0</v>
      </c>
      <c r="AE1503" t="n">
        <v>1</v>
      </c>
      <c r="AF1503" t="n">
        <v>0</v>
      </c>
      <c r="AG1503" t="n">
        <v>1</v>
      </c>
      <c r="AH1503" t="n">
        <v>0</v>
      </c>
      <c r="AI1503" t="n">
        <v>0</v>
      </c>
      <c r="AJ1503" t="n">
        <v>0</v>
      </c>
      <c r="AK1503" t="n">
        <v>0</v>
      </c>
      <c r="AL1503" t="n">
        <v>0</v>
      </c>
      <c r="AM1503" t="n">
        <v>0</v>
      </c>
      <c r="AN1503" t="n">
        <v>0</v>
      </c>
      <c r="AO1503" t="n">
        <v>0</v>
      </c>
      <c r="AP1503" t="inlineStr">
        <is>
          <t>No</t>
        </is>
      </c>
      <c r="AQ1503" t="inlineStr">
        <is>
          <t>No</t>
        </is>
      </c>
      <c r="AS1503">
        <f>HYPERLINK("https://creighton-primo.hosted.exlibrisgroup.com/primo-explore/search?tab=default_tab&amp;search_scope=EVERYTHING&amp;vid=01CRU&amp;lang=en_US&amp;offset=0&amp;query=any,contains,991001352809702656","Catalog Record")</f>
        <v/>
      </c>
      <c r="AT1503">
        <f>HYPERLINK("http://www.worldcat.org/oclc/18451241","WorldCat Record")</f>
        <v/>
      </c>
      <c r="AU1503" t="inlineStr">
        <is>
          <t>3856957:eng</t>
        </is>
      </c>
      <c r="AV1503" t="inlineStr">
        <is>
          <t>18451241</t>
        </is>
      </c>
      <c r="AW1503" t="inlineStr">
        <is>
          <t>991001352809702656</t>
        </is>
      </c>
      <c r="AX1503" t="inlineStr">
        <is>
          <t>991001352809702656</t>
        </is>
      </c>
      <c r="AY1503" t="inlineStr">
        <is>
          <t>2270364060002656</t>
        </is>
      </c>
      <c r="AZ1503" t="inlineStr">
        <is>
          <t>BOOK</t>
        </is>
      </c>
      <c r="BB1503" t="inlineStr">
        <is>
          <t>9780887250859</t>
        </is>
      </c>
      <c r="BC1503" t="inlineStr">
        <is>
          <t>32285000175777</t>
        </is>
      </c>
      <c r="BD1503" t="inlineStr">
        <is>
          <t>893702957</t>
        </is>
      </c>
    </row>
    <row r="1504">
      <c r="A1504" t="inlineStr">
        <is>
          <t>No</t>
        </is>
      </c>
      <c r="B1504" t="inlineStr">
        <is>
          <t>GV854 .E72</t>
        </is>
      </c>
      <c r="C1504" t="inlineStr">
        <is>
          <t>0                      GV 0854000E  72</t>
        </is>
      </c>
      <c r="D1504" t="inlineStr">
        <is>
          <t>Come ski with me / edited by Martin Luray. With photos. by Fred Lindholm.</t>
        </is>
      </c>
      <c r="F1504" t="inlineStr">
        <is>
          <t>No</t>
        </is>
      </c>
      <c r="G1504" t="inlineStr">
        <is>
          <t>1</t>
        </is>
      </c>
      <c r="H1504" t="inlineStr">
        <is>
          <t>No</t>
        </is>
      </c>
      <c r="I1504" t="inlineStr">
        <is>
          <t>No</t>
        </is>
      </c>
      <c r="J1504" t="inlineStr">
        <is>
          <t>0</t>
        </is>
      </c>
      <c r="K1504" t="inlineStr">
        <is>
          <t>Eriksen, Stein.</t>
        </is>
      </c>
      <c r="L1504" t="inlineStr">
        <is>
          <t>New York : Norton, [1966]</t>
        </is>
      </c>
      <c r="M1504" t="inlineStr">
        <is>
          <t>1966</t>
        </is>
      </c>
      <c r="N1504" t="inlineStr">
        <is>
          <t>[1st ed.]</t>
        </is>
      </c>
      <c r="O1504" t="inlineStr">
        <is>
          <t>eng</t>
        </is>
      </c>
      <c r="P1504" t="inlineStr">
        <is>
          <t>nyu</t>
        </is>
      </c>
      <c r="R1504" t="inlineStr">
        <is>
          <t xml:space="preserve">GV </t>
        </is>
      </c>
      <c r="S1504" t="n">
        <v>7</v>
      </c>
      <c r="T1504" t="n">
        <v>7</v>
      </c>
      <c r="U1504" t="inlineStr">
        <is>
          <t>2008-11-13</t>
        </is>
      </c>
      <c r="V1504" t="inlineStr">
        <is>
          <t>2008-11-13</t>
        </is>
      </c>
      <c r="W1504" t="inlineStr">
        <is>
          <t>1992-02-17</t>
        </is>
      </c>
      <c r="X1504" t="inlineStr">
        <is>
          <t>1992-02-17</t>
        </is>
      </c>
      <c r="Y1504" t="n">
        <v>220</v>
      </c>
      <c r="Z1504" t="n">
        <v>210</v>
      </c>
      <c r="AA1504" t="n">
        <v>241</v>
      </c>
      <c r="AB1504" t="n">
        <v>2</v>
      </c>
      <c r="AC1504" t="n">
        <v>2</v>
      </c>
      <c r="AD1504" t="n">
        <v>3</v>
      </c>
      <c r="AE1504" t="n">
        <v>3</v>
      </c>
      <c r="AF1504" t="n">
        <v>0</v>
      </c>
      <c r="AG1504" t="n">
        <v>0</v>
      </c>
      <c r="AH1504" t="n">
        <v>1</v>
      </c>
      <c r="AI1504" t="n">
        <v>1</v>
      </c>
      <c r="AJ1504" t="n">
        <v>1</v>
      </c>
      <c r="AK1504" t="n">
        <v>1</v>
      </c>
      <c r="AL1504" t="n">
        <v>1</v>
      </c>
      <c r="AM1504" t="n">
        <v>1</v>
      </c>
      <c r="AN1504" t="n">
        <v>0</v>
      </c>
      <c r="AO1504" t="n">
        <v>0</v>
      </c>
      <c r="AP1504" t="inlineStr">
        <is>
          <t>No</t>
        </is>
      </c>
      <c r="AQ1504" t="inlineStr">
        <is>
          <t>No</t>
        </is>
      </c>
      <c r="AS1504">
        <f>HYPERLINK("https://creighton-primo.hosted.exlibrisgroup.com/primo-explore/search?tab=default_tab&amp;search_scope=EVERYTHING&amp;vid=01CRU&amp;lang=en_US&amp;offset=0&amp;query=any,contains,991003377169702656","Catalog Record")</f>
        <v/>
      </c>
      <c r="AT1504">
        <f>HYPERLINK("http://www.worldcat.org/oclc/914152","WorldCat Record")</f>
        <v/>
      </c>
      <c r="AU1504" t="inlineStr">
        <is>
          <t>1854027:eng</t>
        </is>
      </c>
      <c r="AV1504" t="inlineStr">
        <is>
          <t>914152</t>
        </is>
      </c>
      <c r="AW1504" t="inlineStr">
        <is>
          <t>991003377169702656</t>
        </is>
      </c>
      <c r="AX1504" t="inlineStr">
        <is>
          <t>991003377169702656</t>
        </is>
      </c>
      <c r="AY1504" t="inlineStr">
        <is>
          <t>2262660560002656</t>
        </is>
      </c>
      <c r="AZ1504" t="inlineStr">
        <is>
          <t>BOOK</t>
        </is>
      </c>
      <c r="BC1504" t="inlineStr">
        <is>
          <t>32285000970409</t>
        </is>
      </c>
      <c r="BD1504" t="inlineStr">
        <is>
          <t>893717597</t>
        </is>
      </c>
    </row>
    <row r="1505">
      <c r="A1505" t="inlineStr">
        <is>
          <t>No</t>
        </is>
      </c>
      <c r="B1505" t="inlineStr">
        <is>
          <t>GV854 .G28 1981</t>
        </is>
      </c>
      <c r="C1505" t="inlineStr">
        <is>
          <t>0                      GV 0854000G  28          1981</t>
        </is>
      </c>
      <c r="D1505" t="inlineStr">
        <is>
          <t>The handbook of skiing / Karl Gamma.</t>
        </is>
      </c>
      <c r="F1505" t="inlineStr">
        <is>
          <t>No</t>
        </is>
      </c>
      <c r="G1505" t="inlineStr">
        <is>
          <t>1</t>
        </is>
      </c>
      <c r="H1505" t="inlineStr">
        <is>
          <t>No</t>
        </is>
      </c>
      <c r="I1505" t="inlineStr">
        <is>
          <t>No</t>
        </is>
      </c>
      <c r="J1505" t="inlineStr">
        <is>
          <t>0</t>
        </is>
      </c>
      <c r="K1505" t="inlineStr">
        <is>
          <t>Gamma, Karl.</t>
        </is>
      </c>
      <c r="L1505" t="inlineStr">
        <is>
          <t>New York : Knopf : distributed by Random House, 1981.</t>
        </is>
      </c>
      <c r="M1505" t="inlineStr">
        <is>
          <t>1981</t>
        </is>
      </c>
      <c r="O1505" t="inlineStr">
        <is>
          <t>eng</t>
        </is>
      </c>
      <c r="P1505" t="inlineStr">
        <is>
          <t>nyu</t>
        </is>
      </c>
      <c r="R1505" t="inlineStr">
        <is>
          <t xml:space="preserve">GV </t>
        </is>
      </c>
      <c r="S1505" t="n">
        <v>24</v>
      </c>
      <c r="T1505" t="n">
        <v>24</v>
      </c>
      <c r="U1505" t="inlineStr">
        <is>
          <t>2007-10-23</t>
        </is>
      </c>
      <c r="V1505" t="inlineStr">
        <is>
          <t>2007-10-23</t>
        </is>
      </c>
      <c r="W1505" t="inlineStr">
        <is>
          <t>1995-05-01</t>
        </is>
      </c>
      <c r="X1505" t="inlineStr">
        <is>
          <t>1995-05-01</t>
        </is>
      </c>
      <c r="Y1505" t="n">
        <v>343</v>
      </c>
      <c r="Z1505" t="n">
        <v>330</v>
      </c>
      <c r="AA1505" t="n">
        <v>495</v>
      </c>
      <c r="AB1505" t="n">
        <v>2</v>
      </c>
      <c r="AC1505" t="n">
        <v>3</v>
      </c>
      <c r="AD1505" t="n">
        <v>1</v>
      </c>
      <c r="AE1505" t="n">
        <v>1</v>
      </c>
      <c r="AF1505" t="n">
        <v>1</v>
      </c>
      <c r="AG1505" t="n">
        <v>1</v>
      </c>
      <c r="AH1505" t="n">
        <v>0</v>
      </c>
      <c r="AI1505" t="n">
        <v>0</v>
      </c>
      <c r="AJ1505" t="n">
        <v>0</v>
      </c>
      <c r="AK1505" t="n">
        <v>0</v>
      </c>
      <c r="AL1505" t="n">
        <v>0</v>
      </c>
      <c r="AM1505" t="n">
        <v>0</v>
      </c>
      <c r="AN1505" t="n">
        <v>0</v>
      </c>
      <c r="AO1505" t="n">
        <v>0</v>
      </c>
      <c r="AP1505" t="inlineStr">
        <is>
          <t>No</t>
        </is>
      </c>
      <c r="AQ1505" t="inlineStr">
        <is>
          <t>No</t>
        </is>
      </c>
      <c r="AS1505">
        <f>HYPERLINK("https://creighton-primo.hosted.exlibrisgroup.com/primo-explore/search?tab=default_tab&amp;search_scope=EVERYTHING&amp;vid=01CRU&amp;lang=en_US&amp;offset=0&amp;query=any,contains,991005134479702656","Catalog Record")</f>
        <v/>
      </c>
      <c r="AT1505">
        <f>HYPERLINK("http://www.worldcat.org/oclc/7575526","WorldCat Record")</f>
        <v/>
      </c>
      <c r="AU1505" t="inlineStr">
        <is>
          <t>9321705:eng</t>
        </is>
      </c>
      <c r="AV1505" t="inlineStr">
        <is>
          <t>7575526</t>
        </is>
      </c>
      <c r="AW1505" t="inlineStr">
        <is>
          <t>991005134479702656</t>
        </is>
      </c>
      <c r="AX1505" t="inlineStr">
        <is>
          <t>991005134479702656</t>
        </is>
      </c>
      <c r="AY1505" t="inlineStr">
        <is>
          <t>2265652610002656</t>
        </is>
      </c>
      <c r="AZ1505" t="inlineStr">
        <is>
          <t>BOOK</t>
        </is>
      </c>
      <c r="BB1505" t="inlineStr">
        <is>
          <t>9780394518275</t>
        </is>
      </c>
      <c r="BC1505" t="inlineStr">
        <is>
          <t>32285002021193</t>
        </is>
      </c>
      <c r="BD1505" t="inlineStr">
        <is>
          <t>893701070</t>
        </is>
      </c>
    </row>
    <row r="1506">
      <c r="A1506" t="inlineStr">
        <is>
          <t>No</t>
        </is>
      </c>
      <c r="B1506" t="inlineStr">
        <is>
          <t>GV854 .S515 1970</t>
        </is>
      </c>
      <c r="C1506" t="inlineStr">
        <is>
          <t>0                      GV 0854000S  515         1970</t>
        </is>
      </c>
      <c r="D1506" t="inlineStr">
        <is>
          <t>Skier's digest / edited by Larry Sheehan.</t>
        </is>
      </c>
      <c r="F1506" t="inlineStr">
        <is>
          <t>No</t>
        </is>
      </c>
      <c r="G1506" t="inlineStr">
        <is>
          <t>1</t>
        </is>
      </c>
      <c r="H1506" t="inlineStr">
        <is>
          <t>No</t>
        </is>
      </c>
      <c r="I1506" t="inlineStr">
        <is>
          <t>No</t>
        </is>
      </c>
      <c r="J1506" t="inlineStr">
        <is>
          <t>0</t>
        </is>
      </c>
      <c r="K1506" t="inlineStr">
        <is>
          <t>Sheehan, Larry, compiler.</t>
        </is>
      </c>
      <c r="L1506" t="inlineStr">
        <is>
          <t>Northfield, Ill. : Digest Books, [1970]</t>
        </is>
      </c>
      <c r="M1506" t="inlineStr">
        <is>
          <t>1970</t>
        </is>
      </c>
      <c r="N1506" t="inlineStr">
        <is>
          <t>1st ed.</t>
        </is>
      </c>
      <c r="O1506" t="inlineStr">
        <is>
          <t>eng</t>
        </is>
      </c>
      <c r="P1506" t="inlineStr">
        <is>
          <t>ilu</t>
        </is>
      </c>
      <c r="R1506" t="inlineStr">
        <is>
          <t xml:space="preserve">GV </t>
        </is>
      </c>
      <c r="S1506" t="n">
        <v>11</v>
      </c>
      <c r="T1506" t="n">
        <v>11</v>
      </c>
      <c r="U1506" t="inlineStr">
        <is>
          <t>2007-10-23</t>
        </is>
      </c>
      <c r="V1506" t="inlineStr">
        <is>
          <t>2007-10-23</t>
        </is>
      </c>
      <c r="W1506" t="inlineStr">
        <is>
          <t>1990-10-23</t>
        </is>
      </c>
      <c r="X1506" t="inlineStr">
        <is>
          <t>1990-10-23</t>
        </is>
      </c>
      <c r="Y1506" t="n">
        <v>51</v>
      </c>
      <c r="Z1506" t="n">
        <v>50</v>
      </c>
      <c r="AA1506" t="n">
        <v>64</v>
      </c>
      <c r="AB1506" t="n">
        <v>1</v>
      </c>
      <c r="AC1506" t="n">
        <v>1</v>
      </c>
      <c r="AD1506" t="n">
        <v>0</v>
      </c>
      <c r="AE1506" t="n">
        <v>0</v>
      </c>
      <c r="AF1506" t="n">
        <v>0</v>
      </c>
      <c r="AG1506" t="n">
        <v>0</v>
      </c>
      <c r="AH1506" t="n">
        <v>0</v>
      </c>
      <c r="AI1506" t="n">
        <v>0</v>
      </c>
      <c r="AJ1506" t="n">
        <v>0</v>
      </c>
      <c r="AK1506" t="n">
        <v>0</v>
      </c>
      <c r="AL1506" t="n">
        <v>0</v>
      </c>
      <c r="AM1506" t="n">
        <v>0</v>
      </c>
      <c r="AN1506" t="n">
        <v>0</v>
      </c>
      <c r="AO1506" t="n">
        <v>0</v>
      </c>
      <c r="AP1506" t="inlineStr">
        <is>
          <t>No</t>
        </is>
      </c>
      <c r="AQ1506" t="inlineStr">
        <is>
          <t>No</t>
        </is>
      </c>
      <c r="AS1506">
        <f>HYPERLINK("https://creighton-primo.hosted.exlibrisgroup.com/primo-explore/search?tab=default_tab&amp;search_scope=EVERYTHING&amp;vid=01CRU&amp;lang=en_US&amp;offset=0&amp;query=any,contains,991000677999702656","Catalog Record")</f>
        <v/>
      </c>
      <c r="AT1506">
        <f>HYPERLINK("http://www.worldcat.org/oclc/120581","WorldCat Record")</f>
        <v/>
      </c>
      <c r="AU1506" t="inlineStr">
        <is>
          <t>1241615:eng</t>
        </is>
      </c>
      <c r="AV1506" t="inlineStr">
        <is>
          <t>120581</t>
        </is>
      </c>
      <c r="AW1506" t="inlineStr">
        <is>
          <t>991000677999702656</t>
        </is>
      </c>
      <c r="AX1506" t="inlineStr">
        <is>
          <t>991000677999702656</t>
        </is>
      </c>
      <c r="AY1506" t="inlineStr">
        <is>
          <t>2264119730002656</t>
        </is>
      </c>
      <c r="AZ1506" t="inlineStr">
        <is>
          <t>BOOK</t>
        </is>
      </c>
      <c r="BB1506" t="inlineStr">
        <is>
          <t>9780695800963</t>
        </is>
      </c>
      <c r="BC1506" t="inlineStr">
        <is>
          <t>32285000344035</t>
        </is>
      </c>
      <c r="BD1506" t="inlineStr">
        <is>
          <t>893315140</t>
        </is>
      </c>
    </row>
    <row r="1507">
      <c r="A1507" t="inlineStr">
        <is>
          <t>No</t>
        </is>
      </c>
      <c r="B1507" t="inlineStr">
        <is>
          <t>GV854 .T8 1983</t>
        </is>
      </c>
      <c r="C1507" t="inlineStr">
        <is>
          <t>0                      GV 0854000T  8           1983</t>
        </is>
      </c>
      <c r="D1507" t="inlineStr">
        <is>
          <t>Skiing / Karl Tucker, Clayne R. Jensen, Gary Howard.</t>
        </is>
      </c>
      <c r="F1507" t="inlineStr">
        <is>
          <t>No</t>
        </is>
      </c>
      <c r="G1507" t="inlineStr">
        <is>
          <t>1</t>
        </is>
      </c>
      <c r="H1507" t="inlineStr">
        <is>
          <t>No</t>
        </is>
      </c>
      <c r="I1507" t="inlineStr">
        <is>
          <t>No</t>
        </is>
      </c>
      <c r="J1507" t="inlineStr">
        <is>
          <t>0</t>
        </is>
      </c>
      <c r="K1507" t="inlineStr">
        <is>
          <t>Tucker, Karl.</t>
        </is>
      </c>
      <c r="L1507" t="inlineStr">
        <is>
          <t>Dubuque, Iowa : W.C. Brown, c1983.</t>
        </is>
      </c>
      <c r="M1507" t="inlineStr">
        <is>
          <t>1983</t>
        </is>
      </c>
      <c r="N1507" t="inlineStr">
        <is>
          <t>4th ed.</t>
        </is>
      </c>
      <c r="O1507" t="inlineStr">
        <is>
          <t>eng</t>
        </is>
      </c>
      <c r="P1507" t="inlineStr">
        <is>
          <t>iau</t>
        </is>
      </c>
      <c r="Q1507" t="inlineStr">
        <is>
          <t>Physical education activities series</t>
        </is>
      </c>
      <c r="R1507" t="inlineStr">
        <is>
          <t xml:space="preserve">GV </t>
        </is>
      </c>
      <c r="S1507" t="n">
        <v>18</v>
      </c>
      <c r="T1507" t="n">
        <v>18</v>
      </c>
      <c r="U1507" t="inlineStr">
        <is>
          <t>2005-09-27</t>
        </is>
      </c>
      <c r="V1507" t="inlineStr">
        <is>
          <t>2005-09-27</t>
        </is>
      </c>
      <c r="W1507" t="inlineStr">
        <is>
          <t>1990-10-23</t>
        </is>
      </c>
      <c r="X1507" t="inlineStr">
        <is>
          <t>1990-10-23</t>
        </is>
      </c>
      <c r="Y1507" t="n">
        <v>85</v>
      </c>
      <c r="Z1507" t="n">
        <v>75</v>
      </c>
      <c r="AA1507" t="n">
        <v>374</v>
      </c>
      <c r="AB1507" t="n">
        <v>1</v>
      </c>
      <c r="AC1507" t="n">
        <v>5</v>
      </c>
      <c r="AD1507" t="n">
        <v>5</v>
      </c>
      <c r="AE1507" t="n">
        <v>13</v>
      </c>
      <c r="AF1507" t="n">
        <v>5</v>
      </c>
      <c r="AG1507" t="n">
        <v>7</v>
      </c>
      <c r="AH1507" t="n">
        <v>1</v>
      </c>
      <c r="AI1507" t="n">
        <v>2</v>
      </c>
      <c r="AJ1507" t="n">
        <v>2</v>
      </c>
      <c r="AK1507" t="n">
        <v>4</v>
      </c>
      <c r="AL1507" t="n">
        <v>0</v>
      </c>
      <c r="AM1507" t="n">
        <v>4</v>
      </c>
      <c r="AN1507" t="n">
        <v>0</v>
      </c>
      <c r="AO1507" t="n">
        <v>0</v>
      </c>
      <c r="AP1507" t="inlineStr">
        <is>
          <t>No</t>
        </is>
      </c>
      <c r="AQ1507" t="inlineStr">
        <is>
          <t>No</t>
        </is>
      </c>
      <c r="AS1507">
        <f>HYPERLINK("https://creighton-primo.hosted.exlibrisgroup.com/primo-explore/search?tab=default_tab&amp;search_scope=EVERYTHING&amp;vid=01CRU&amp;lang=en_US&amp;offset=0&amp;query=any,contains,991000262789702656","Catalog Record")</f>
        <v/>
      </c>
      <c r="AT1507">
        <f>HYPERLINK("http://www.worldcat.org/oclc/9826928","WorldCat Record")</f>
        <v/>
      </c>
      <c r="AU1507" t="inlineStr">
        <is>
          <t>443418:eng</t>
        </is>
      </c>
      <c r="AV1507" t="inlineStr">
        <is>
          <t>9826928</t>
        </is>
      </c>
      <c r="AW1507" t="inlineStr">
        <is>
          <t>991000262789702656</t>
        </is>
      </c>
      <c r="AX1507" t="inlineStr">
        <is>
          <t>991000262789702656</t>
        </is>
      </c>
      <c r="AY1507" t="inlineStr">
        <is>
          <t>2270572210002656</t>
        </is>
      </c>
      <c r="AZ1507" t="inlineStr">
        <is>
          <t>BOOK</t>
        </is>
      </c>
      <c r="BB1507" t="inlineStr">
        <is>
          <t>9780697072108</t>
        </is>
      </c>
      <c r="BC1507" t="inlineStr">
        <is>
          <t>32285000344043</t>
        </is>
      </c>
      <c r="BD1507" t="inlineStr">
        <is>
          <t>893515149</t>
        </is>
      </c>
    </row>
    <row r="1508">
      <c r="A1508" t="inlineStr">
        <is>
          <t>No</t>
        </is>
      </c>
      <c r="B1508" t="inlineStr">
        <is>
          <t>GV854 .Y32 1992</t>
        </is>
      </c>
      <c r="C1508" t="inlineStr">
        <is>
          <t>0                      GV 0854000Y  32          1992</t>
        </is>
      </c>
      <c r="D1508" t="inlineStr">
        <is>
          <t>Alpine skiing : steps to success / John Yacenda.</t>
        </is>
      </c>
      <c r="F1508" t="inlineStr">
        <is>
          <t>No</t>
        </is>
      </c>
      <c r="G1508" t="inlineStr">
        <is>
          <t>1</t>
        </is>
      </c>
      <c r="H1508" t="inlineStr">
        <is>
          <t>No</t>
        </is>
      </c>
      <c r="I1508" t="inlineStr">
        <is>
          <t>No</t>
        </is>
      </c>
      <c r="J1508" t="inlineStr">
        <is>
          <t>0</t>
        </is>
      </c>
      <c r="K1508" t="inlineStr">
        <is>
          <t>Yacenda, John, 1947-</t>
        </is>
      </c>
      <c r="L1508" t="inlineStr">
        <is>
          <t>Champaign, Ill. : Leisure Press, c1992.</t>
        </is>
      </c>
      <c r="M1508" t="inlineStr">
        <is>
          <t>1992</t>
        </is>
      </c>
      <c r="O1508" t="inlineStr">
        <is>
          <t>eng</t>
        </is>
      </c>
      <c r="P1508" t="inlineStr">
        <is>
          <t>ilu</t>
        </is>
      </c>
      <c r="Q1508" t="inlineStr">
        <is>
          <t>Steps to success activity series</t>
        </is>
      </c>
      <c r="R1508" t="inlineStr">
        <is>
          <t xml:space="preserve">GV </t>
        </is>
      </c>
      <c r="S1508" t="n">
        <v>18</v>
      </c>
      <c r="T1508" t="n">
        <v>18</v>
      </c>
      <c r="U1508" t="inlineStr">
        <is>
          <t>2007-10-23</t>
        </is>
      </c>
      <c r="V1508" t="inlineStr">
        <is>
          <t>2007-10-23</t>
        </is>
      </c>
      <c r="W1508" t="inlineStr">
        <is>
          <t>1992-10-19</t>
        </is>
      </c>
      <c r="X1508" t="inlineStr">
        <is>
          <t>1992-10-19</t>
        </is>
      </c>
      <c r="Y1508" t="n">
        <v>410</v>
      </c>
      <c r="Z1508" t="n">
        <v>365</v>
      </c>
      <c r="AA1508" t="n">
        <v>371</v>
      </c>
      <c r="AB1508" t="n">
        <v>5</v>
      </c>
      <c r="AC1508" t="n">
        <v>5</v>
      </c>
      <c r="AD1508" t="n">
        <v>5</v>
      </c>
      <c r="AE1508" t="n">
        <v>5</v>
      </c>
      <c r="AF1508" t="n">
        <v>1</v>
      </c>
      <c r="AG1508" t="n">
        <v>1</v>
      </c>
      <c r="AH1508" t="n">
        <v>0</v>
      </c>
      <c r="AI1508" t="n">
        <v>0</v>
      </c>
      <c r="AJ1508" t="n">
        <v>2</v>
      </c>
      <c r="AK1508" t="n">
        <v>2</v>
      </c>
      <c r="AL1508" t="n">
        <v>3</v>
      </c>
      <c r="AM1508" t="n">
        <v>3</v>
      </c>
      <c r="AN1508" t="n">
        <v>0</v>
      </c>
      <c r="AO1508" t="n">
        <v>0</v>
      </c>
      <c r="AP1508" t="inlineStr">
        <is>
          <t>No</t>
        </is>
      </c>
      <c r="AQ1508" t="inlineStr">
        <is>
          <t>No</t>
        </is>
      </c>
      <c r="AS1508">
        <f>HYPERLINK("https://creighton-primo.hosted.exlibrisgroup.com/primo-explore/search?tab=default_tab&amp;search_scope=EVERYTHING&amp;vid=01CRU&amp;lang=en_US&amp;offset=0&amp;query=any,contains,991001923339702656","Catalog Record")</f>
        <v/>
      </c>
      <c r="AT1508">
        <f>HYPERLINK("http://www.worldcat.org/oclc/24285639","WorldCat Record")</f>
        <v/>
      </c>
      <c r="AU1508" t="inlineStr">
        <is>
          <t>865289718:eng</t>
        </is>
      </c>
      <c r="AV1508" t="inlineStr">
        <is>
          <t>24285639</t>
        </is>
      </c>
      <c r="AW1508" t="inlineStr">
        <is>
          <t>991001923339702656</t>
        </is>
      </c>
      <c r="AX1508" t="inlineStr">
        <is>
          <t>991001923339702656</t>
        </is>
      </c>
      <c r="AY1508" t="inlineStr">
        <is>
          <t>2265386990002656</t>
        </is>
      </c>
      <c r="AZ1508" t="inlineStr">
        <is>
          <t>BOOK</t>
        </is>
      </c>
      <c r="BB1508" t="inlineStr">
        <is>
          <t>9780880114554</t>
        </is>
      </c>
      <c r="BC1508" t="inlineStr">
        <is>
          <t>32285001318566</t>
        </is>
      </c>
      <c r="BD1508" t="inlineStr">
        <is>
          <t>893791837</t>
        </is>
      </c>
    </row>
    <row r="1509">
      <c r="A1509" t="inlineStr">
        <is>
          <t>No</t>
        </is>
      </c>
      <c r="B1509" t="inlineStr">
        <is>
          <t>GV854.4 .S57</t>
        </is>
      </c>
      <c r="C1509" t="inlineStr">
        <is>
          <t>0                      GV 0854400S  57</t>
        </is>
      </c>
      <c r="D1509" t="inlineStr">
        <is>
          <t>America's ski book / by the editors of Ski magazine and John Henry Auran. With an introd. by Willy Schaeffler.</t>
        </is>
      </c>
      <c r="F1509" t="inlineStr">
        <is>
          <t>No</t>
        </is>
      </c>
      <c r="G1509" t="inlineStr">
        <is>
          <t>1</t>
        </is>
      </c>
      <c r="H1509" t="inlineStr">
        <is>
          <t>No</t>
        </is>
      </c>
      <c r="I1509" t="inlineStr">
        <is>
          <t>No</t>
        </is>
      </c>
      <c r="J1509" t="inlineStr">
        <is>
          <t>0</t>
        </is>
      </c>
      <c r="K1509" t="inlineStr">
        <is>
          <t>Ski (New York, N.Y.)</t>
        </is>
      </c>
      <c r="L1509" t="inlineStr">
        <is>
          <t>New York : Scribner, [1966]</t>
        </is>
      </c>
      <c r="M1509" t="inlineStr">
        <is>
          <t>1966</t>
        </is>
      </c>
      <c r="O1509" t="inlineStr">
        <is>
          <t>eng</t>
        </is>
      </c>
      <c r="P1509" t="inlineStr">
        <is>
          <t>nyu</t>
        </is>
      </c>
      <c r="R1509" t="inlineStr">
        <is>
          <t xml:space="preserve">GV </t>
        </is>
      </c>
      <c r="S1509" t="n">
        <v>15</v>
      </c>
      <c r="T1509" t="n">
        <v>15</v>
      </c>
      <c r="U1509" t="inlineStr">
        <is>
          <t>2007-10-23</t>
        </is>
      </c>
      <c r="V1509" t="inlineStr">
        <is>
          <t>2007-10-23</t>
        </is>
      </c>
      <c r="W1509" t="inlineStr">
        <is>
          <t>1992-03-17</t>
        </is>
      </c>
      <c r="X1509" t="inlineStr">
        <is>
          <t>1992-03-17</t>
        </is>
      </c>
      <c r="Y1509" t="n">
        <v>290</v>
      </c>
      <c r="Z1509" t="n">
        <v>276</v>
      </c>
      <c r="AA1509" t="n">
        <v>497</v>
      </c>
      <c r="AB1509" t="n">
        <v>4</v>
      </c>
      <c r="AC1509" t="n">
        <v>6</v>
      </c>
      <c r="AD1509" t="n">
        <v>5</v>
      </c>
      <c r="AE1509" t="n">
        <v>8</v>
      </c>
      <c r="AF1509" t="n">
        <v>3</v>
      </c>
      <c r="AG1509" t="n">
        <v>5</v>
      </c>
      <c r="AH1509" t="n">
        <v>0</v>
      </c>
      <c r="AI1509" t="n">
        <v>0</v>
      </c>
      <c r="AJ1509" t="n">
        <v>1</v>
      </c>
      <c r="AK1509" t="n">
        <v>2</v>
      </c>
      <c r="AL1509" t="n">
        <v>2</v>
      </c>
      <c r="AM1509" t="n">
        <v>3</v>
      </c>
      <c r="AN1509" t="n">
        <v>0</v>
      </c>
      <c r="AO1509" t="n">
        <v>0</v>
      </c>
      <c r="AP1509" t="inlineStr">
        <is>
          <t>No</t>
        </is>
      </c>
      <c r="AQ1509" t="inlineStr">
        <is>
          <t>No</t>
        </is>
      </c>
      <c r="AS1509">
        <f>HYPERLINK("https://creighton-primo.hosted.exlibrisgroup.com/primo-explore/search?tab=default_tab&amp;search_scope=EVERYTHING&amp;vid=01CRU&amp;lang=en_US&amp;offset=0&amp;query=any,contains,991000941189702656","Catalog Record")</f>
        <v/>
      </c>
      <c r="AT1509">
        <f>HYPERLINK("http://www.worldcat.org/oclc/166187","WorldCat Record")</f>
        <v/>
      </c>
      <c r="AU1509" t="inlineStr">
        <is>
          <t>1609426:eng</t>
        </is>
      </c>
      <c r="AV1509" t="inlineStr">
        <is>
          <t>166187</t>
        </is>
      </c>
      <c r="AW1509" t="inlineStr">
        <is>
          <t>991000941189702656</t>
        </is>
      </c>
      <c r="AX1509" t="inlineStr">
        <is>
          <t>991000941189702656</t>
        </is>
      </c>
      <c r="AY1509" t="inlineStr">
        <is>
          <t>2271019840002656</t>
        </is>
      </c>
      <c r="AZ1509" t="inlineStr">
        <is>
          <t>BOOK</t>
        </is>
      </c>
      <c r="BC1509" t="inlineStr">
        <is>
          <t>32285001022952</t>
        </is>
      </c>
      <c r="BD1509" t="inlineStr">
        <is>
          <t>893715035</t>
        </is>
      </c>
    </row>
    <row r="1510">
      <c r="A1510" t="inlineStr">
        <is>
          <t>No</t>
        </is>
      </c>
      <c r="B1510" t="inlineStr">
        <is>
          <t>GV854.9.P75 L69 1986</t>
        </is>
      </c>
      <c r="C1510" t="inlineStr">
        <is>
          <t>0                      GV 0854900P  75                 L  69          1986</t>
        </is>
      </c>
      <c r="D1510" t="inlineStr">
        <is>
          <t>Skiing out of your mind : the psychology of peak performance / Leonard A. Loudis, W. Charles Lobitz, Kenneth M. Singer.</t>
        </is>
      </c>
      <c r="F1510" t="inlineStr">
        <is>
          <t>No</t>
        </is>
      </c>
      <c r="G1510" t="inlineStr">
        <is>
          <t>1</t>
        </is>
      </c>
      <c r="H1510" t="inlineStr">
        <is>
          <t>No</t>
        </is>
      </c>
      <c r="I1510" t="inlineStr">
        <is>
          <t>No</t>
        </is>
      </c>
      <c r="J1510" t="inlineStr">
        <is>
          <t>0</t>
        </is>
      </c>
      <c r="K1510" t="inlineStr">
        <is>
          <t>Loudis, Leonard A.</t>
        </is>
      </c>
      <c r="L1510" t="inlineStr">
        <is>
          <t>Champaign, Ill. : Leisure Press, c1986.</t>
        </is>
      </c>
      <c r="M1510" t="inlineStr">
        <is>
          <t>1986</t>
        </is>
      </c>
      <c r="O1510" t="inlineStr">
        <is>
          <t>eng</t>
        </is>
      </c>
      <c r="P1510" t="inlineStr">
        <is>
          <t>ilu</t>
        </is>
      </c>
      <c r="R1510" t="inlineStr">
        <is>
          <t xml:space="preserve">GV </t>
        </is>
      </c>
      <c r="S1510" t="n">
        <v>11</v>
      </c>
      <c r="T1510" t="n">
        <v>11</v>
      </c>
      <c r="U1510" t="inlineStr">
        <is>
          <t>2000-02-10</t>
        </is>
      </c>
      <c r="V1510" t="inlineStr">
        <is>
          <t>2000-02-10</t>
        </is>
      </c>
      <c r="W1510" t="inlineStr">
        <is>
          <t>1990-02-09</t>
        </is>
      </c>
      <c r="X1510" t="inlineStr">
        <is>
          <t>1990-02-09</t>
        </is>
      </c>
      <c r="Y1510" t="n">
        <v>230</v>
      </c>
      <c r="Z1510" t="n">
        <v>184</v>
      </c>
      <c r="AA1510" t="n">
        <v>191</v>
      </c>
      <c r="AB1510" t="n">
        <v>1</v>
      </c>
      <c r="AC1510" t="n">
        <v>1</v>
      </c>
      <c r="AD1510" t="n">
        <v>5</v>
      </c>
      <c r="AE1510" t="n">
        <v>5</v>
      </c>
      <c r="AF1510" t="n">
        <v>4</v>
      </c>
      <c r="AG1510" t="n">
        <v>4</v>
      </c>
      <c r="AH1510" t="n">
        <v>0</v>
      </c>
      <c r="AI1510" t="n">
        <v>0</v>
      </c>
      <c r="AJ1510" t="n">
        <v>2</v>
      </c>
      <c r="AK1510" t="n">
        <v>2</v>
      </c>
      <c r="AL1510" t="n">
        <v>0</v>
      </c>
      <c r="AM1510" t="n">
        <v>0</v>
      </c>
      <c r="AN1510" t="n">
        <v>0</v>
      </c>
      <c r="AO1510" t="n">
        <v>0</v>
      </c>
      <c r="AP1510" t="inlineStr">
        <is>
          <t>No</t>
        </is>
      </c>
      <c r="AQ1510" t="inlineStr">
        <is>
          <t>No</t>
        </is>
      </c>
      <c r="AR1510">
        <f>HYPERLINK("http://catalog.hathitrust.org/Record/009821922","HathiTrust Record")</f>
        <v/>
      </c>
      <c r="AS1510">
        <f>HYPERLINK("https://creighton-primo.hosted.exlibrisgroup.com/primo-explore/search?tab=default_tab&amp;search_scope=EVERYTHING&amp;vid=01CRU&amp;lang=en_US&amp;offset=0&amp;query=any,contains,991000683249702656","Catalog Record")</f>
        <v/>
      </c>
      <c r="AT1510">
        <f>HYPERLINK("http://www.worldcat.org/oclc/12418919","WorldCat Record")</f>
        <v/>
      </c>
      <c r="AU1510" t="inlineStr">
        <is>
          <t>836724549:eng</t>
        </is>
      </c>
      <c r="AV1510" t="inlineStr">
        <is>
          <t>12418919</t>
        </is>
      </c>
      <c r="AW1510" t="inlineStr">
        <is>
          <t>991000683249702656</t>
        </is>
      </c>
      <c r="AX1510" t="inlineStr">
        <is>
          <t>991000683249702656</t>
        </is>
      </c>
      <c r="AY1510" t="inlineStr">
        <is>
          <t>2262440470002656</t>
        </is>
      </c>
      <c r="AZ1510" t="inlineStr">
        <is>
          <t>BOOK</t>
        </is>
      </c>
      <c r="BB1510" t="inlineStr">
        <is>
          <t>9780880112680</t>
        </is>
      </c>
      <c r="BC1510" t="inlineStr">
        <is>
          <t>32285000034495</t>
        </is>
      </c>
      <c r="BD1510" t="inlineStr">
        <is>
          <t>893321254</t>
        </is>
      </c>
    </row>
    <row r="1511">
      <c r="A1511" t="inlineStr">
        <is>
          <t>No</t>
        </is>
      </c>
      <c r="B1511" t="inlineStr">
        <is>
          <t>GV854.9.S63 C65 2004</t>
        </is>
      </c>
      <c r="C1511" t="inlineStr">
        <is>
          <t>0                      GV 0854900S  63                 C  65          2004</t>
        </is>
      </c>
      <c r="D1511" t="inlineStr">
        <is>
          <t>Ski style : sport and culture in the Rockies / Annie Gilbert Coleman.</t>
        </is>
      </c>
      <c r="F1511" t="inlineStr">
        <is>
          <t>No</t>
        </is>
      </c>
      <c r="G1511" t="inlineStr">
        <is>
          <t>1</t>
        </is>
      </c>
      <c r="H1511" t="inlineStr">
        <is>
          <t>No</t>
        </is>
      </c>
      <c r="I1511" t="inlineStr">
        <is>
          <t>No</t>
        </is>
      </c>
      <c r="J1511" t="inlineStr">
        <is>
          <t>0</t>
        </is>
      </c>
      <c r="K1511" t="inlineStr">
        <is>
          <t>Coleman, Annie Gilbert.</t>
        </is>
      </c>
      <c r="L1511" t="inlineStr">
        <is>
          <t>Lawrence, Kan. : University Press of Kansas, c2004.</t>
        </is>
      </c>
      <c r="M1511" t="inlineStr">
        <is>
          <t>2004</t>
        </is>
      </c>
      <c r="O1511" t="inlineStr">
        <is>
          <t>eng</t>
        </is>
      </c>
      <c r="P1511" t="inlineStr">
        <is>
          <t>ksu</t>
        </is>
      </c>
      <c r="Q1511" t="inlineStr">
        <is>
          <t>Culture America</t>
        </is>
      </c>
      <c r="R1511" t="inlineStr">
        <is>
          <t xml:space="preserve">GV </t>
        </is>
      </c>
      <c r="S1511" t="n">
        <v>3</v>
      </c>
      <c r="T1511" t="n">
        <v>3</v>
      </c>
      <c r="U1511" t="inlineStr">
        <is>
          <t>2009-07-21</t>
        </is>
      </c>
      <c r="V1511" t="inlineStr">
        <is>
          <t>2009-07-21</t>
        </is>
      </c>
      <c r="W1511" t="inlineStr">
        <is>
          <t>2004-12-07</t>
        </is>
      </c>
      <c r="X1511" t="inlineStr">
        <is>
          <t>2004-12-07</t>
        </is>
      </c>
      <c r="Y1511" t="n">
        <v>217</v>
      </c>
      <c r="Z1511" t="n">
        <v>189</v>
      </c>
      <c r="AA1511" t="n">
        <v>244</v>
      </c>
      <c r="AB1511" t="n">
        <v>2</v>
      </c>
      <c r="AC1511" t="n">
        <v>2</v>
      </c>
      <c r="AD1511" t="n">
        <v>10</v>
      </c>
      <c r="AE1511" t="n">
        <v>16</v>
      </c>
      <c r="AF1511" t="n">
        <v>5</v>
      </c>
      <c r="AG1511" t="n">
        <v>10</v>
      </c>
      <c r="AH1511" t="n">
        <v>1</v>
      </c>
      <c r="AI1511" t="n">
        <v>2</v>
      </c>
      <c r="AJ1511" t="n">
        <v>6</v>
      </c>
      <c r="AK1511" t="n">
        <v>7</v>
      </c>
      <c r="AL1511" t="n">
        <v>1</v>
      </c>
      <c r="AM1511" t="n">
        <v>1</v>
      </c>
      <c r="AN1511" t="n">
        <v>0</v>
      </c>
      <c r="AO1511" t="n">
        <v>0</v>
      </c>
      <c r="AP1511" t="inlineStr">
        <is>
          <t>No</t>
        </is>
      </c>
      <c r="AQ1511" t="inlineStr">
        <is>
          <t>Yes</t>
        </is>
      </c>
      <c r="AR1511">
        <f>HYPERLINK("http://catalog.hathitrust.org/Record/004913546","HathiTrust Record")</f>
        <v/>
      </c>
      <c r="AS1511">
        <f>HYPERLINK("https://creighton-primo.hosted.exlibrisgroup.com/primo-explore/search?tab=default_tab&amp;search_scope=EVERYTHING&amp;vid=01CRU&amp;lang=en_US&amp;offset=0&amp;query=any,contains,991004422019702656","Catalog Record")</f>
        <v/>
      </c>
      <c r="AT1511">
        <f>HYPERLINK("http://www.worldcat.org/oclc/55016994","WorldCat Record")</f>
        <v/>
      </c>
      <c r="AU1511" t="inlineStr">
        <is>
          <t>14002625:eng</t>
        </is>
      </c>
      <c r="AV1511" t="inlineStr">
        <is>
          <t>55016994</t>
        </is>
      </c>
      <c r="AW1511" t="inlineStr">
        <is>
          <t>991004422019702656</t>
        </is>
      </c>
      <c r="AX1511" t="inlineStr">
        <is>
          <t>991004422019702656</t>
        </is>
      </c>
      <c r="AY1511" t="inlineStr">
        <is>
          <t>2260579500002656</t>
        </is>
      </c>
      <c r="AZ1511" t="inlineStr">
        <is>
          <t>BOOK</t>
        </is>
      </c>
      <c r="BB1511" t="inlineStr">
        <is>
          <t>9780700613410</t>
        </is>
      </c>
      <c r="BC1511" t="inlineStr">
        <is>
          <t>32285005015473</t>
        </is>
      </c>
      <c r="BD1511" t="inlineStr">
        <is>
          <t>893500535</t>
        </is>
      </c>
    </row>
    <row r="1512">
      <c r="A1512" t="inlineStr">
        <is>
          <t>No</t>
        </is>
      </c>
      <c r="B1512" t="inlineStr">
        <is>
          <t>GV855.5.W39 T6713 1985</t>
        </is>
      </c>
      <c r="C1512" t="inlineStr">
        <is>
          <t>0                      GV 0855500W  39                 T  6713        1985</t>
        </is>
      </c>
      <c r="D1512" t="inlineStr">
        <is>
          <t>Good glide : the science of ski waxing / Leif Torgersen ; translated by Michael Brady.</t>
        </is>
      </c>
      <c r="F1512" t="inlineStr">
        <is>
          <t>No</t>
        </is>
      </c>
      <c r="G1512" t="inlineStr">
        <is>
          <t>1</t>
        </is>
      </c>
      <c r="H1512" t="inlineStr">
        <is>
          <t>No</t>
        </is>
      </c>
      <c r="I1512" t="inlineStr">
        <is>
          <t>No</t>
        </is>
      </c>
      <c r="J1512" t="inlineStr">
        <is>
          <t>0</t>
        </is>
      </c>
      <c r="K1512" t="inlineStr">
        <is>
          <t>Torgersen, Leif.</t>
        </is>
      </c>
      <c r="L1512" t="inlineStr">
        <is>
          <t>Champaign, IL : Published under the auspices of the United States Ski Team by Human Kinetics Publishers, 1985.</t>
        </is>
      </c>
      <c r="M1512" t="inlineStr">
        <is>
          <t>1985</t>
        </is>
      </c>
      <c r="O1512" t="inlineStr">
        <is>
          <t>eng</t>
        </is>
      </c>
      <c r="P1512" t="inlineStr">
        <is>
          <t>ilu</t>
        </is>
      </c>
      <c r="Q1512" t="inlineStr">
        <is>
          <t>US Ski Team sports medicine series</t>
        </is>
      </c>
      <c r="R1512" t="inlineStr">
        <is>
          <t xml:space="preserve">GV </t>
        </is>
      </c>
      <c r="S1512" t="n">
        <v>3</v>
      </c>
      <c r="T1512" t="n">
        <v>3</v>
      </c>
      <c r="U1512" t="inlineStr">
        <is>
          <t>2000-02-10</t>
        </is>
      </c>
      <c r="V1512" t="inlineStr">
        <is>
          <t>2000-02-10</t>
        </is>
      </c>
      <c r="W1512" t="inlineStr">
        <is>
          <t>1990-10-24</t>
        </is>
      </c>
      <c r="X1512" t="inlineStr">
        <is>
          <t>1990-10-24</t>
        </is>
      </c>
      <c r="Y1512" t="n">
        <v>84</v>
      </c>
      <c r="Z1512" t="n">
        <v>66</v>
      </c>
      <c r="AA1512" t="n">
        <v>72</v>
      </c>
      <c r="AB1512" t="n">
        <v>1</v>
      </c>
      <c r="AC1512" t="n">
        <v>1</v>
      </c>
      <c r="AD1512" t="n">
        <v>0</v>
      </c>
      <c r="AE1512" t="n">
        <v>0</v>
      </c>
      <c r="AF1512" t="n">
        <v>0</v>
      </c>
      <c r="AG1512" t="n">
        <v>0</v>
      </c>
      <c r="AH1512" t="n">
        <v>0</v>
      </c>
      <c r="AI1512" t="n">
        <v>0</v>
      </c>
      <c r="AJ1512" t="n">
        <v>0</v>
      </c>
      <c r="AK1512" t="n">
        <v>0</v>
      </c>
      <c r="AL1512" t="n">
        <v>0</v>
      </c>
      <c r="AM1512" t="n">
        <v>0</v>
      </c>
      <c r="AN1512" t="n">
        <v>0</v>
      </c>
      <c r="AO1512" t="n">
        <v>0</v>
      </c>
      <c r="AP1512" t="inlineStr">
        <is>
          <t>No</t>
        </is>
      </c>
      <c r="AQ1512" t="inlineStr">
        <is>
          <t>No</t>
        </is>
      </c>
      <c r="AS1512">
        <f>HYPERLINK("https://creighton-primo.hosted.exlibrisgroup.com/primo-explore/search?tab=default_tab&amp;search_scope=EVERYTHING&amp;vid=01CRU&amp;lang=en_US&amp;offset=0&amp;query=any,contains,991000666909702656","Catalog Record")</f>
        <v/>
      </c>
      <c r="AT1512">
        <f>HYPERLINK("http://www.worldcat.org/oclc/12285763","WorldCat Record")</f>
        <v/>
      </c>
      <c r="AU1512" t="inlineStr">
        <is>
          <t>1151246772:eng</t>
        </is>
      </c>
      <c r="AV1512" t="inlineStr">
        <is>
          <t>12285763</t>
        </is>
      </c>
      <c r="AW1512" t="inlineStr">
        <is>
          <t>991000666909702656</t>
        </is>
      </c>
      <c r="AX1512" t="inlineStr">
        <is>
          <t>991000666909702656</t>
        </is>
      </c>
      <c r="AY1512" t="inlineStr">
        <is>
          <t>2256991960002656</t>
        </is>
      </c>
      <c r="AZ1512" t="inlineStr">
        <is>
          <t>BOOK</t>
        </is>
      </c>
      <c r="BB1512" t="inlineStr">
        <is>
          <t>9780873220330</t>
        </is>
      </c>
      <c r="BC1512" t="inlineStr">
        <is>
          <t>32285000344092</t>
        </is>
      </c>
      <c r="BD1512" t="inlineStr">
        <is>
          <t>893438482</t>
        </is>
      </c>
    </row>
    <row r="1513">
      <c r="A1513" t="inlineStr">
        <is>
          <t>No</t>
        </is>
      </c>
      <c r="B1513" t="inlineStr">
        <is>
          <t>GV862.5 .B375 1991</t>
        </is>
      </c>
      <c r="C1513" t="inlineStr">
        <is>
          <t>0                      GV 0862500B  375         1991</t>
        </is>
      </c>
      <c r="D1513" t="inlineStr">
        <is>
          <t>The Baseball chronicles / edited by David Gallen ; introduction by Mark Harris ; afterword by Peter Golenbock.</t>
        </is>
      </c>
      <c r="F1513" t="inlineStr">
        <is>
          <t>No</t>
        </is>
      </c>
      <c r="G1513" t="inlineStr">
        <is>
          <t>1</t>
        </is>
      </c>
      <c r="H1513" t="inlineStr">
        <is>
          <t>No</t>
        </is>
      </c>
      <c r="I1513" t="inlineStr">
        <is>
          <t>No</t>
        </is>
      </c>
      <c r="J1513" t="inlineStr">
        <is>
          <t>0</t>
        </is>
      </c>
      <c r="L1513" t="inlineStr">
        <is>
          <t>New York : Carroll &amp; Graf Pub., c1991.</t>
        </is>
      </c>
      <c r="M1513" t="inlineStr">
        <is>
          <t>1991</t>
        </is>
      </c>
      <c r="O1513" t="inlineStr">
        <is>
          <t>eng</t>
        </is>
      </c>
      <c r="P1513" t="inlineStr">
        <is>
          <t>nyu</t>
        </is>
      </c>
      <c r="R1513" t="inlineStr">
        <is>
          <t xml:space="preserve">GV </t>
        </is>
      </c>
      <c r="S1513" t="n">
        <v>1</v>
      </c>
      <c r="T1513" t="n">
        <v>1</v>
      </c>
      <c r="U1513" t="inlineStr">
        <is>
          <t>2009-04-21</t>
        </is>
      </c>
      <c r="V1513" t="inlineStr">
        <is>
          <t>2009-04-21</t>
        </is>
      </c>
      <c r="W1513" t="inlineStr">
        <is>
          <t>2009-04-21</t>
        </is>
      </c>
      <c r="X1513" t="inlineStr">
        <is>
          <t>2009-04-21</t>
        </is>
      </c>
      <c r="Y1513" t="n">
        <v>126</v>
      </c>
      <c r="Z1513" t="n">
        <v>124</v>
      </c>
      <c r="AA1513" t="n">
        <v>187</v>
      </c>
      <c r="AB1513" t="n">
        <v>1</v>
      </c>
      <c r="AC1513" t="n">
        <v>1</v>
      </c>
      <c r="AD1513" t="n">
        <v>2</v>
      </c>
      <c r="AE1513" t="n">
        <v>2</v>
      </c>
      <c r="AF1513" t="n">
        <v>1</v>
      </c>
      <c r="AG1513" t="n">
        <v>1</v>
      </c>
      <c r="AH1513" t="n">
        <v>0</v>
      </c>
      <c r="AI1513" t="n">
        <v>0</v>
      </c>
      <c r="AJ1513" t="n">
        <v>2</v>
      </c>
      <c r="AK1513" t="n">
        <v>2</v>
      </c>
      <c r="AL1513" t="n">
        <v>0</v>
      </c>
      <c r="AM1513" t="n">
        <v>0</v>
      </c>
      <c r="AN1513" t="n">
        <v>0</v>
      </c>
      <c r="AO1513" t="n">
        <v>0</v>
      </c>
      <c r="AP1513" t="inlineStr">
        <is>
          <t>No</t>
        </is>
      </c>
      <c r="AQ1513" t="inlineStr">
        <is>
          <t>No</t>
        </is>
      </c>
      <c r="AS1513">
        <f>HYPERLINK("https://creighton-primo.hosted.exlibrisgroup.com/primo-explore/search?tab=default_tab&amp;search_scope=EVERYTHING&amp;vid=01CRU&amp;lang=en_US&amp;offset=0&amp;query=any,contains,991005312179702656","Catalog Record")</f>
        <v/>
      </c>
      <c r="AT1513">
        <f>HYPERLINK("http://www.worldcat.org/oclc/23609514","WorldCat Record")</f>
        <v/>
      </c>
      <c r="AU1513" t="inlineStr">
        <is>
          <t>55455338:eng</t>
        </is>
      </c>
      <c r="AV1513" t="inlineStr">
        <is>
          <t>23609514</t>
        </is>
      </c>
      <c r="AW1513" t="inlineStr">
        <is>
          <t>991005312179702656</t>
        </is>
      </c>
      <c r="AX1513" t="inlineStr">
        <is>
          <t>991005312179702656</t>
        </is>
      </c>
      <c r="AY1513" t="inlineStr">
        <is>
          <t>2255327060002656</t>
        </is>
      </c>
      <c r="AZ1513" t="inlineStr">
        <is>
          <t>BOOK</t>
        </is>
      </c>
      <c r="BB1513" t="inlineStr">
        <is>
          <t>9780881846942</t>
        </is>
      </c>
      <c r="BC1513" t="inlineStr">
        <is>
          <t>32285005517239</t>
        </is>
      </c>
      <c r="BD1513" t="inlineStr">
        <is>
          <t>893332766</t>
        </is>
      </c>
    </row>
    <row r="1514">
      <c r="A1514" t="inlineStr">
        <is>
          <t>No</t>
        </is>
      </c>
      <c r="B1514" t="inlineStr">
        <is>
          <t>GV862.6 .K75 1989</t>
        </is>
      </c>
      <c r="C1514" t="inlineStr">
        <is>
          <t>0                      GV 0862600K  75          1989</t>
        </is>
      </c>
      <c r="D1514" t="inlineStr">
        <is>
          <t>El béisbol : travels through the Pan-American pastime / John Krich.</t>
        </is>
      </c>
      <c r="F1514" t="inlineStr">
        <is>
          <t>No</t>
        </is>
      </c>
      <c r="G1514" t="inlineStr">
        <is>
          <t>1</t>
        </is>
      </c>
      <c r="H1514" t="inlineStr">
        <is>
          <t>No</t>
        </is>
      </c>
      <c r="I1514" t="inlineStr">
        <is>
          <t>No</t>
        </is>
      </c>
      <c r="J1514" t="inlineStr">
        <is>
          <t>0</t>
        </is>
      </c>
      <c r="K1514" t="inlineStr">
        <is>
          <t>Krich, John, 1951-</t>
        </is>
      </c>
      <c r="L1514" t="inlineStr">
        <is>
          <t>New York : Atlantic Monthly Press, c1989.</t>
        </is>
      </c>
      <c r="M1514" t="inlineStr">
        <is>
          <t>1989</t>
        </is>
      </c>
      <c r="N1514" t="inlineStr">
        <is>
          <t>1st ed.</t>
        </is>
      </c>
      <c r="O1514" t="inlineStr">
        <is>
          <t>eng</t>
        </is>
      </c>
      <c r="P1514" t="inlineStr">
        <is>
          <t>nyu</t>
        </is>
      </c>
      <c r="R1514" t="inlineStr">
        <is>
          <t xml:space="preserve">GV </t>
        </is>
      </c>
      <c r="S1514" t="n">
        <v>1</v>
      </c>
      <c r="T1514" t="n">
        <v>1</v>
      </c>
      <c r="U1514" t="inlineStr">
        <is>
          <t>2000-11-08</t>
        </is>
      </c>
      <c r="V1514" t="inlineStr">
        <is>
          <t>2000-11-08</t>
        </is>
      </c>
      <c r="W1514" t="inlineStr">
        <is>
          <t>1998-08-06</t>
        </is>
      </c>
      <c r="X1514" t="inlineStr">
        <is>
          <t>1998-08-06</t>
        </is>
      </c>
      <c r="Y1514" t="n">
        <v>217</v>
      </c>
      <c r="Z1514" t="n">
        <v>211</v>
      </c>
      <c r="AA1514" t="n">
        <v>247</v>
      </c>
      <c r="AB1514" t="n">
        <v>1</v>
      </c>
      <c r="AC1514" t="n">
        <v>2</v>
      </c>
      <c r="AD1514" t="n">
        <v>2</v>
      </c>
      <c r="AE1514" t="n">
        <v>3</v>
      </c>
      <c r="AF1514" t="n">
        <v>2</v>
      </c>
      <c r="AG1514" t="n">
        <v>2</v>
      </c>
      <c r="AH1514" t="n">
        <v>0</v>
      </c>
      <c r="AI1514" t="n">
        <v>0</v>
      </c>
      <c r="AJ1514" t="n">
        <v>2</v>
      </c>
      <c r="AK1514" t="n">
        <v>2</v>
      </c>
      <c r="AL1514" t="n">
        <v>0</v>
      </c>
      <c r="AM1514" t="n">
        <v>1</v>
      </c>
      <c r="AN1514" t="n">
        <v>0</v>
      </c>
      <c r="AO1514" t="n">
        <v>0</v>
      </c>
      <c r="AP1514" t="inlineStr">
        <is>
          <t>No</t>
        </is>
      </c>
      <c r="AQ1514" t="inlineStr">
        <is>
          <t>No</t>
        </is>
      </c>
      <c r="AS1514">
        <f>HYPERLINK("https://creighton-primo.hosted.exlibrisgroup.com/primo-explore/search?tab=default_tab&amp;search_scope=EVERYTHING&amp;vid=01CRU&amp;lang=en_US&amp;offset=0&amp;query=any,contains,991001392939702656","Catalog Record")</f>
        <v/>
      </c>
      <c r="AT1514">
        <f>HYPERLINK("http://www.worldcat.org/oclc/18779423","WorldCat Record")</f>
        <v/>
      </c>
      <c r="AU1514" t="inlineStr">
        <is>
          <t>431820720:eng</t>
        </is>
      </c>
      <c r="AV1514" t="inlineStr">
        <is>
          <t>18779423</t>
        </is>
      </c>
      <c r="AW1514" t="inlineStr">
        <is>
          <t>991001392939702656</t>
        </is>
      </c>
      <c r="AX1514" t="inlineStr">
        <is>
          <t>991001392939702656</t>
        </is>
      </c>
      <c r="AY1514" t="inlineStr">
        <is>
          <t>2256599670002656</t>
        </is>
      </c>
      <c r="AZ1514" t="inlineStr">
        <is>
          <t>BOOK</t>
        </is>
      </c>
      <c r="BB1514" t="inlineStr">
        <is>
          <t>9780871133038</t>
        </is>
      </c>
      <c r="BC1514" t="inlineStr">
        <is>
          <t>32285003450151</t>
        </is>
      </c>
      <c r="BD1514" t="inlineStr">
        <is>
          <t>893231963</t>
        </is>
      </c>
    </row>
    <row r="1515">
      <c r="A1515" t="inlineStr">
        <is>
          <t>No</t>
        </is>
      </c>
      <c r="B1515" t="inlineStr">
        <is>
          <t>GV863.29.A1 D655 1991</t>
        </is>
      </c>
      <c r="C1515" t="inlineStr">
        <is>
          <t>0                      GV 0863290A  1                  D  655         1991</t>
        </is>
      </c>
      <c r="D1515" t="inlineStr">
        <is>
          <t>Sugarball : the American game, the Dominican dream / Alan M. Klein.</t>
        </is>
      </c>
      <c r="F1515" t="inlineStr">
        <is>
          <t>No</t>
        </is>
      </c>
      <c r="G1515" t="inlineStr">
        <is>
          <t>1</t>
        </is>
      </c>
      <c r="H1515" t="inlineStr">
        <is>
          <t>No</t>
        </is>
      </c>
      <c r="I1515" t="inlineStr">
        <is>
          <t>No</t>
        </is>
      </c>
      <c r="J1515" t="inlineStr">
        <is>
          <t>0</t>
        </is>
      </c>
      <c r="K1515" t="inlineStr">
        <is>
          <t>Klein, Alan, 1946-</t>
        </is>
      </c>
      <c r="L1515" t="inlineStr">
        <is>
          <t>New Haven, CT : Yale University Press, c1991.</t>
        </is>
      </c>
      <c r="M1515" t="inlineStr">
        <is>
          <t>1991</t>
        </is>
      </c>
      <c r="O1515" t="inlineStr">
        <is>
          <t>eng</t>
        </is>
      </c>
      <c r="P1515" t="inlineStr">
        <is>
          <t>ctu</t>
        </is>
      </c>
      <c r="R1515" t="inlineStr">
        <is>
          <t xml:space="preserve">GV </t>
        </is>
      </c>
      <c r="S1515" t="n">
        <v>14</v>
      </c>
      <c r="T1515" t="n">
        <v>14</v>
      </c>
      <c r="U1515" t="inlineStr">
        <is>
          <t>2005-11-10</t>
        </is>
      </c>
      <c r="V1515" t="inlineStr">
        <is>
          <t>2005-11-10</t>
        </is>
      </c>
      <c r="W1515" t="inlineStr">
        <is>
          <t>1991-04-29</t>
        </is>
      </c>
      <c r="X1515" t="inlineStr">
        <is>
          <t>1991-04-29</t>
        </is>
      </c>
      <c r="Y1515" t="n">
        <v>468</v>
      </c>
      <c r="Z1515" t="n">
        <v>415</v>
      </c>
      <c r="AA1515" t="n">
        <v>416</v>
      </c>
      <c r="AB1515" t="n">
        <v>1</v>
      </c>
      <c r="AC1515" t="n">
        <v>1</v>
      </c>
      <c r="AD1515" t="n">
        <v>21</v>
      </c>
      <c r="AE1515" t="n">
        <v>21</v>
      </c>
      <c r="AF1515" t="n">
        <v>11</v>
      </c>
      <c r="AG1515" t="n">
        <v>11</v>
      </c>
      <c r="AH1515" t="n">
        <v>5</v>
      </c>
      <c r="AI1515" t="n">
        <v>5</v>
      </c>
      <c r="AJ1515" t="n">
        <v>13</v>
      </c>
      <c r="AK1515" t="n">
        <v>13</v>
      </c>
      <c r="AL1515" t="n">
        <v>0</v>
      </c>
      <c r="AM1515" t="n">
        <v>0</v>
      </c>
      <c r="AN1515" t="n">
        <v>0</v>
      </c>
      <c r="AO1515" t="n">
        <v>0</v>
      </c>
      <c r="AP1515" t="inlineStr">
        <is>
          <t>No</t>
        </is>
      </c>
      <c r="AQ1515" t="inlineStr">
        <is>
          <t>No</t>
        </is>
      </c>
      <c r="AS1515">
        <f>HYPERLINK("https://creighton-primo.hosted.exlibrisgroup.com/primo-explore/search?tab=default_tab&amp;search_scope=EVERYTHING&amp;vid=01CRU&amp;lang=en_US&amp;offset=0&amp;query=any,contains,991001762129702656","Catalog Record")</f>
        <v/>
      </c>
      <c r="AT1515">
        <f>HYPERLINK("http://www.worldcat.org/oclc/22276573","WorldCat Record")</f>
        <v/>
      </c>
      <c r="AU1515" t="inlineStr">
        <is>
          <t>329775:eng</t>
        </is>
      </c>
      <c r="AV1515" t="inlineStr">
        <is>
          <t>22276573</t>
        </is>
      </c>
      <c r="AW1515" t="inlineStr">
        <is>
          <t>991001762129702656</t>
        </is>
      </c>
      <c r="AX1515" t="inlineStr">
        <is>
          <t>991001762129702656</t>
        </is>
      </c>
      <c r="AY1515" t="inlineStr">
        <is>
          <t>2263196800002656</t>
        </is>
      </c>
      <c r="AZ1515" t="inlineStr">
        <is>
          <t>BOOK</t>
        </is>
      </c>
      <c r="BB1515" t="inlineStr">
        <is>
          <t>9780300048735</t>
        </is>
      </c>
      <c r="BC1515" t="inlineStr">
        <is>
          <t>32285000569409</t>
        </is>
      </c>
      <c r="BD1515" t="inlineStr">
        <is>
          <t>893596709</t>
        </is>
      </c>
    </row>
    <row r="1516">
      <c r="A1516" t="inlineStr">
        <is>
          <t>No</t>
        </is>
      </c>
      <c r="B1516" t="inlineStr">
        <is>
          <t>GV863.29.A1 D657 1993</t>
        </is>
      </c>
      <c r="C1516" t="inlineStr">
        <is>
          <t>0                      GV 0863290A  1                  D  657         1993</t>
        </is>
      </c>
      <c r="D1516" t="inlineStr">
        <is>
          <t>The tropic of baseball : baseball in the Dominican Republic / Rob Ruck.</t>
        </is>
      </c>
      <c r="F1516" t="inlineStr">
        <is>
          <t>No</t>
        </is>
      </c>
      <c r="G1516" t="inlineStr">
        <is>
          <t>1</t>
        </is>
      </c>
      <c r="H1516" t="inlineStr">
        <is>
          <t>No</t>
        </is>
      </c>
      <c r="I1516" t="inlineStr">
        <is>
          <t>No</t>
        </is>
      </c>
      <c r="J1516" t="inlineStr">
        <is>
          <t>0</t>
        </is>
      </c>
      <c r="K1516" t="inlineStr">
        <is>
          <t>Ruck, Rob, 1950-</t>
        </is>
      </c>
      <c r="L1516" t="inlineStr">
        <is>
          <t>New York : Carroll &amp; Graf, 1993.</t>
        </is>
      </c>
      <c r="M1516" t="inlineStr">
        <is>
          <t>1993</t>
        </is>
      </c>
      <c r="N1516" t="inlineStr">
        <is>
          <t>1st Carroll &amp; Graf ed.</t>
        </is>
      </c>
      <c r="O1516" t="inlineStr">
        <is>
          <t>eng</t>
        </is>
      </c>
      <c r="P1516" t="inlineStr">
        <is>
          <t>nyu</t>
        </is>
      </c>
      <c r="R1516" t="inlineStr">
        <is>
          <t xml:space="preserve">GV </t>
        </is>
      </c>
      <c r="S1516" t="n">
        <v>4</v>
      </c>
      <c r="T1516" t="n">
        <v>4</v>
      </c>
      <c r="U1516" t="inlineStr">
        <is>
          <t>2008-01-04</t>
        </is>
      </c>
      <c r="V1516" t="inlineStr">
        <is>
          <t>2008-01-04</t>
        </is>
      </c>
      <c r="W1516" t="inlineStr">
        <is>
          <t>1996-09-05</t>
        </is>
      </c>
      <c r="X1516" t="inlineStr">
        <is>
          <t>1996-09-05</t>
        </is>
      </c>
      <c r="Y1516" t="n">
        <v>35</v>
      </c>
      <c r="Z1516" t="n">
        <v>29</v>
      </c>
      <c r="AA1516" t="n">
        <v>174</v>
      </c>
      <c r="AB1516" t="n">
        <v>1</v>
      </c>
      <c r="AC1516" t="n">
        <v>2</v>
      </c>
      <c r="AD1516" t="n">
        <v>3</v>
      </c>
      <c r="AE1516" t="n">
        <v>8</v>
      </c>
      <c r="AF1516" t="n">
        <v>0</v>
      </c>
      <c r="AG1516" t="n">
        <v>2</v>
      </c>
      <c r="AH1516" t="n">
        <v>3</v>
      </c>
      <c r="AI1516" t="n">
        <v>5</v>
      </c>
      <c r="AJ1516" t="n">
        <v>2</v>
      </c>
      <c r="AK1516" t="n">
        <v>3</v>
      </c>
      <c r="AL1516" t="n">
        <v>0</v>
      </c>
      <c r="AM1516" t="n">
        <v>1</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HYPERLINK("https://creighton-primo.hosted.exlibrisgroup.com/primo-explore/search?tab=default_tab&amp;search_scope=EVERYTHING&amp;vid=01CRU&amp;lang=en_US&amp;offset=0&amp;query=any,contains,991002117509702656","Catalog Record")</f>
        <v/>
      </c>
      <c r="AT1516">
        <f>HYPERLINK("http://www.worldcat.org/oclc/27144712","WorldCat Record")</f>
        <v/>
      </c>
      <c r="AU1516" t="inlineStr">
        <is>
          <t>24290216:eng</t>
        </is>
      </c>
      <c r="AV1516" t="inlineStr">
        <is>
          <t>27144712</t>
        </is>
      </c>
      <c r="AW1516" t="inlineStr">
        <is>
          <t>991002117509702656</t>
        </is>
      </c>
      <c r="AX1516" t="inlineStr">
        <is>
          <t>991002117509702656</t>
        </is>
      </c>
      <c r="AY1516" t="inlineStr">
        <is>
          <t>2254805180002656</t>
        </is>
      </c>
      <c r="AZ1516" t="inlineStr">
        <is>
          <t>BOOK</t>
        </is>
      </c>
      <c r="BB1516" t="inlineStr">
        <is>
          <t>9780881848762</t>
        </is>
      </c>
      <c r="BC1516" t="inlineStr">
        <is>
          <t>32285002294873</t>
        </is>
      </c>
      <c r="BD1516" t="inlineStr">
        <is>
          <t>893427225</t>
        </is>
      </c>
    </row>
    <row r="1517">
      <c r="A1517" t="inlineStr">
        <is>
          <t>No</t>
        </is>
      </c>
      <c r="B1517" t="inlineStr">
        <is>
          <t>GV863.29.D65 A58 2001</t>
        </is>
      </c>
      <c r="C1517" t="inlineStr">
        <is>
          <t>0                      GV 0863290D  65                 A  58          2001</t>
        </is>
      </c>
      <c r="D1517" t="inlineStr">
        <is>
          <t>Anuario de beisbol invernal dominicano, temporada 2001-02 / Héctor J. Cruz [fundador-editor ; Aquilino Báez, estadísticas ; colaboradores, Rolín Fermín ... et al.].</t>
        </is>
      </c>
      <c r="F1517" t="inlineStr">
        <is>
          <t>No</t>
        </is>
      </c>
      <c r="G1517" t="inlineStr">
        <is>
          <t>1</t>
        </is>
      </c>
      <c r="H1517" t="inlineStr">
        <is>
          <t>No</t>
        </is>
      </c>
      <c r="I1517" t="inlineStr">
        <is>
          <t>No</t>
        </is>
      </c>
      <c r="J1517" t="inlineStr">
        <is>
          <t>0</t>
        </is>
      </c>
      <c r="L1517" t="inlineStr">
        <is>
          <t>[Santo Domingo, Dominican Republic] : Distribuidora Amengual, [2001]</t>
        </is>
      </c>
      <c r="M1517" t="inlineStr">
        <is>
          <t>2001</t>
        </is>
      </c>
      <c r="O1517" t="inlineStr">
        <is>
          <t>spa</t>
        </is>
      </c>
      <c r="P1517" t="inlineStr">
        <is>
          <t xml:space="preserve">dr </t>
        </is>
      </c>
      <c r="R1517" t="inlineStr">
        <is>
          <t xml:space="preserve">GV </t>
        </is>
      </c>
      <c r="S1517" t="n">
        <v>1</v>
      </c>
      <c r="T1517" t="n">
        <v>1</v>
      </c>
      <c r="U1517" t="inlineStr">
        <is>
          <t>2003-06-18</t>
        </is>
      </c>
      <c r="V1517" t="inlineStr">
        <is>
          <t>2003-06-18</t>
        </is>
      </c>
      <c r="W1517" t="inlineStr">
        <is>
          <t>2003-06-17</t>
        </is>
      </c>
      <c r="X1517" t="inlineStr">
        <is>
          <t>2003-06-17</t>
        </is>
      </c>
      <c r="Y1517" t="n">
        <v>4</v>
      </c>
      <c r="Z1517" t="n">
        <v>3</v>
      </c>
      <c r="AA1517" t="n">
        <v>3</v>
      </c>
      <c r="AB1517" t="n">
        <v>1</v>
      </c>
      <c r="AC1517" t="n">
        <v>1</v>
      </c>
      <c r="AD1517" t="n">
        <v>0</v>
      </c>
      <c r="AE1517" t="n">
        <v>0</v>
      </c>
      <c r="AF1517" t="n">
        <v>0</v>
      </c>
      <c r="AG1517" t="n">
        <v>0</v>
      </c>
      <c r="AH1517" t="n">
        <v>0</v>
      </c>
      <c r="AI1517" t="n">
        <v>0</v>
      </c>
      <c r="AJ1517" t="n">
        <v>0</v>
      </c>
      <c r="AK1517" t="n">
        <v>0</v>
      </c>
      <c r="AL1517" t="n">
        <v>0</v>
      </c>
      <c r="AM1517" t="n">
        <v>0</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HYPERLINK("https://creighton-primo.hosted.exlibrisgroup.com/primo-explore/search?tab=default_tab&amp;search_scope=EVERYTHING&amp;vid=01CRU&amp;lang=en_US&amp;offset=0&amp;query=any,contains,991004079109702656","Catalog Record")</f>
        <v/>
      </c>
      <c r="AT1517">
        <f>HYPERLINK("http://www.worldcat.org/oclc/52097077","WorldCat Record")</f>
        <v/>
      </c>
      <c r="AU1517" t="inlineStr">
        <is>
          <t>10124868:spa</t>
        </is>
      </c>
      <c r="AV1517" t="inlineStr">
        <is>
          <t>52097077</t>
        </is>
      </c>
      <c r="AW1517" t="inlineStr">
        <is>
          <t>991004079109702656</t>
        </is>
      </c>
      <c r="AX1517" t="inlineStr">
        <is>
          <t>991004079109702656</t>
        </is>
      </c>
      <c r="AY1517" t="inlineStr">
        <is>
          <t>2267073780002656</t>
        </is>
      </c>
      <c r="AZ1517" t="inlineStr">
        <is>
          <t>BOOK</t>
        </is>
      </c>
      <c r="BC1517" t="inlineStr">
        <is>
          <t>32285004771696</t>
        </is>
      </c>
      <c r="BD1517" t="inlineStr">
        <is>
          <t>893904696</t>
        </is>
      </c>
    </row>
    <row r="1518">
      <c r="A1518" t="inlineStr">
        <is>
          <t>No</t>
        </is>
      </c>
      <c r="B1518" t="inlineStr">
        <is>
          <t>GV863.29.D65 J68 1991</t>
        </is>
      </c>
      <c r="C1518" t="inlineStr">
        <is>
          <t>0                      GV 0863290D  65                 J  68          1991</t>
        </is>
      </c>
      <c r="D1518" t="inlineStr">
        <is>
          <t>The only tickel off the island : baseball in the Dominican Republic / Gare Joyce.</t>
        </is>
      </c>
      <c r="F1518" t="inlineStr">
        <is>
          <t>No</t>
        </is>
      </c>
      <c r="G1518" t="inlineStr">
        <is>
          <t>1</t>
        </is>
      </c>
      <c r="H1518" t="inlineStr">
        <is>
          <t>No</t>
        </is>
      </c>
      <c r="I1518" t="inlineStr">
        <is>
          <t>No</t>
        </is>
      </c>
      <c r="J1518" t="inlineStr">
        <is>
          <t>0</t>
        </is>
      </c>
      <c r="K1518" t="inlineStr">
        <is>
          <t>Joyce, Gare.</t>
        </is>
      </c>
      <c r="L1518" t="inlineStr">
        <is>
          <t>Toronto : McClelland &amp; Stewart, 1991, c1990.</t>
        </is>
      </c>
      <c r="M1518" t="inlineStr">
        <is>
          <t>1991</t>
        </is>
      </c>
      <c r="O1518" t="inlineStr">
        <is>
          <t>eng</t>
        </is>
      </c>
      <c r="P1518" t="inlineStr">
        <is>
          <t>onc</t>
        </is>
      </c>
      <c r="R1518" t="inlineStr">
        <is>
          <t xml:space="preserve">GV </t>
        </is>
      </c>
      <c r="S1518" t="n">
        <v>6</v>
      </c>
      <c r="T1518" t="n">
        <v>6</v>
      </c>
      <c r="U1518" t="inlineStr">
        <is>
          <t>2005-11-15</t>
        </is>
      </c>
      <c r="V1518" t="inlineStr">
        <is>
          <t>2005-11-15</t>
        </is>
      </c>
      <c r="W1518" t="inlineStr">
        <is>
          <t>1998-09-03</t>
        </is>
      </c>
      <c r="X1518" t="inlineStr">
        <is>
          <t>1998-09-03</t>
        </is>
      </c>
      <c r="Y1518" t="n">
        <v>7</v>
      </c>
      <c r="Z1518" t="n">
        <v>5</v>
      </c>
      <c r="AA1518" t="n">
        <v>21</v>
      </c>
      <c r="AB1518" t="n">
        <v>1</v>
      </c>
      <c r="AC1518" t="n">
        <v>2</v>
      </c>
      <c r="AD1518" t="n">
        <v>1</v>
      </c>
      <c r="AE1518" t="n">
        <v>3</v>
      </c>
      <c r="AF1518" t="n">
        <v>1</v>
      </c>
      <c r="AG1518" t="n">
        <v>1</v>
      </c>
      <c r="AH1518" t="n">
        <v>0</v>
      </c>
      <c r="AI1518" t="n">
        <v>0</v>
      </c>
      <c r="AJ1518" t="n">
        <v>1</v>
      </c>
      <c r="AK1518" t="n">
        <v>2</v>
      </c>
      <c r="AL1518" t="n">
        <v>0</v>
      </c>
      <c r="AM1518" t="n">
        <v>1</v>
      </c>
      <c r="AN1518" t="n">
        <v>0</v>
      </c>
      <c r="AO1518" t="n">
        <v>0</v>
      </c>
      <c r="AP1518" t="inlineStr">
        <is>
          <t>No</t>
        </is>
      </c>
      <c r="AQ1518" t="inlineStr">
        <is>
          <t>No</t>
        </is>
      </c>
      <c r="AS1518">
        <f>HYPERLINK("https://creighton-primo.hosted.exlibrisgroup.com/primo-explore/search?tab=default_tab&amp;search_scope=EVERYTHING&amp;vid=01CRU&amp;lang=en_US&amp;offset=0&amp;query=any,contains,991001835669702656","Catalog Record")</f>
        <v/>
      </c>
      <c r="AT1518">
        <f>HYPERLINK("http://www.worldcat.org/oclc/23052935","WorldCat Record")</f>
        <v/>
      </c>
      <c r="AU1518" t="inlineStr">
        <is>
          <t>24019922:eng</t>
        </is>
      </c>
      <c r="AV1518" t="inlineStr">
        <is>
          <t>23052935</t>
        </is>
      </c>
      <c r="AW1518" t="inlineStr">
        <is>
          <t>991001835669702656</t>
        </is>
      </c>
      <c r="AX1518" t="inlineStr">
        <is>
          <t>991001835669702656</t>
        </is>
      </c>
      <c r="AY1518" t="inlineStr">
        <is>
          <t>2268021140002656</t>
        </is>
      </c>
      <c r="AZ1518" t="inlineStr">
        <is>
          <t>BOOK</t>
        </is>
      </c>
      <c r="BB1518" t="inlineStr">
        <is>
          <t>9780771044359</t>
        </is>
      </c>
      <c r="BC1518" t="inlineStr">
        <is>
          <t>32285003465324</t>
        </is>
      </c>
      <c r="BD1518" t="inlineStr">
        <is>
          <t>893785433</t>
        </is>
      </c>
    </row>
    <row r="1519">
      <c r="A1519" t="inlineStr">
        <is>
          <t>No</t>
        </is>
      </c>
      <c r="B1519" t="inlineStr">
        <is>
          <t>GV863.29.D65 K87 2010</t>
        </is>
      </c>
      <c r="C1519" t="inlineStr">
        <is>
          <t>0                      GV 0863290D  65                 K  87          2010</t>
        </is>
      </c>
      <c r="D1519" t="inlineStr">
        <is>
          <t>The Eastern stars : how baseball changed the Dominican town of San Pedro de Macorís / Mark Kurlansky.</t>
        </is>
      </c>
      <c r="F1519" t="inlineStr">
        <is>
          <t>No</t>
        </is>
      </c>
      <c r="G1519" t="inlineStr">
        <is>
          <t>1</t>
        </is>
      </c>
      <c r="H1519" t="inlineStr">
        <is>
          <t>No</t>
        </is>
      </c>
      <c r="I1519" t="inlineStr">
        <is>
          <t>No</t>
        </is>
      </c>
      <c r="J1519" t="inlineStr">
        <is>
          <t>0</t>
        </is>
      </c>
      <c r="K1519" t="inlineStr">
        <is>
          <t>Kurlansky, Mark.</t>
        </is>
      </c>
      <c r="L1519" t="inlineStr">
        <is>
          <t>New York : Riverhead Books, 2010.</t>
        </is>
      </c>
      <c r="M1519" t="inlineStr">
        <is>
          <t>2010</t>
        </is>
      </c>
      <c r="O1519" t="inlineStr">
        <is>
          <t>eng</t>
        </is>
      </c>
      <c r="P1519" t="inlineStr">
        <is>
          <t>nyu</t>
        </is>
      </c>
      <c r="R1519" t="inlineStr">
        <is>
          <t xml:space="preserve">GV </t>
        </is>
      </c>
      <c r="S1519" t="n">
        <v>1</v>
      </c>
      <c r="T1519" t="n">
        <v>1</v>
      </c>
      <c r="U1519" t="inlineStr">
        <is>
          <t>2010-05-24</t>
        </is>
      </c>
      <c r="V1519" t="inlineStr">
        <is>
          <t>2010-05-24</t>
        </is>
      </c>
      <c r="W1519" t="inlineStr">
        <is>
          <t>2010-05-24</t>
        </is>
      </c>
      <c r="X1519" t="inlineStr">
        <is>
          <t>2010-05-24</t>
        </is>
      </c>
      <c r="Y1519" t="n">
        <v>596</v>
      </c>
      <c r="Z1519" t="n">
        <v>577</v>
      </c>
      <c r="AA1519" t="n">
        <v>631</v>
      </c>
      <c r="AB1519" t="n">
        <v>4</v>
      </c>
      <c r="AC1519" t="n">
        <v>4</v>
      </c>
      <c r="AD1519" t="n">
        <v>7</v>
      </c>
      <c r="AE1519" t="n">
        <v>7</v>
      </c>
      <c r="AF1519" t="n">
        <v>1</v>
      </c>
      <c r="AG1519" t="n">
        <v>1</v>
      </c>
      <c r="AH1519" t="n">
        <v>3</v>
      </c>
      <c r="AI1519" t="n">
        <v>3</v>
      </c>
      <c r="AJ1519" t="n">
        <v>4</v>
      </c>
      <c r="AK1519" t="n">
        <v>4</v>
      </c>
      <c r="AL1519" t="n">
        <v>1</v>
      </c>
      <c r="AM1519" t="n">
        <v>1</v>
      </c>
      <c r="AN1519" t="n">
        <v>0</v>
      </c>
      <c r="AO1519" t="n">
        <v>0</v>
      </c>
      <c r="AP1519" t="inlineStr">
        <is>
          <t>No</t>
        </is>
      </c>
      <c r="AQ1519" t="inlineStr">
        <is>
          <t>No</t>
        </is>
      </c>
      <c r="AS1519">
        <f>HYPERLINK("https://creighton-primo.hosted.exlibrisgroup.com/primo-explore/search?tab=default_tab&amp;search_scope=EVERYTHING&amp;vid=01CRU&amp;lang=en_US&amp;offset=0&amp;query=any,contains,991005398999702656","Catalog Record")</f>
        <v/>
      </c>
      <c r="AT1519">
        <f>HYPERLINK("http://www.worldcat.org/oclc/426804166","WorldCat Record")</f>
        <v/>
      </c>
      <c r="AU1519" t="inlineStr">
        <is>
          <t>865250892:eng</t>
        </is>
      </c>
      <c r="AV1519" t="inlineStr">
        <is>
          <t>426804166</t>
        </is>
      </c>
      <c r="AW1519" t="inlineStr">
        <is>
          <t>991005398999702656</t>
        </is>
      </c>
      <c r="AX1519" t="inlineStr">
        <is>
          <t>991005398999702656</t>
        </is>
      </c>
      <c r="AY1519" t="inlineStr">
        <is>
          <t>2271014630002656</t>
        </is>
      </c>
      <c r="AZ1519" t="inlineStr">
        <is>
          <t>BOOK</t>
        </is>
      </c>
      <c r="BB1519" t="inlineStr">
        <is>
          <t>9781594487507</t>
        </is>
      </c>
      <c r="BC1519" t="inlineStr">
        <is>
          <t>32285005585152</t>
        </is>
      </c>
      <c r="BD1519" t="inlineStr">
        <is>
          <t>893351221</t>
        </is>
      </c>
    </row>
    <row r="1520">
      <c r="A1520" t="inlineStr">
        <is>
          <t>No</t>
        </is>
      </c>
      <c r="B1520" t="inlineStr">
        <is>
          <t>GV863.A1 A76 2005</t>
        </is>
      </c>
      <c r="C1520" t="inlineStr">
        <is>
          <t>0                      GV 0863000A  1                  A  76          2005</t>
        </is>
      </c>
      <c r="D1520" t="inlineStr">
        <is>
          <t>Did Babe Ruth call his shot? : and other unsolved mysteries of baseball / Paul Aron.</t>
        </is>
      </c>
      <c r="F1520" t="inlineStr">
        <is>
          <t>No</t>
        </is>
      </c>
      <c r="G1520" t="inlineStr">
        <is>
          <t>1</t>
        </is>
      </c>
      <c r="H1520" t="inlineStr">
        <is>
          <t>No</t>
        </is>
      </c>
      <c r="I1520" t="inlineStr">
        <is>
          <t>No</t>
        </is>
      </c>
      <c r="J1520" t="inlineStr">
        <is>
          <t>0</t>
        </is>
      </c>
      <c r="K1520" t="inlineStr">
        <is>
          <t>Aron, Paul, 1956-</t>
        </is>
      </c>
      <c r="L1520" t="inlineStr">
        <is>
          <t>Hoboken, N.J. : John Wiley &amp; Sons, c2005.</t>
        </is>
      </c>
      <c r="M1520" t="inlineStr">
        <is>
          <t>2005</t>
        </is>
      </c>
      <c r="O1520" t="inlineStr">
        <is>
          <t>eng</t>
        </is>
      </c>
      <c r="P1520" t="inlineStr">
        <is>
          <t>nju</t>
        </is>
      </c>
      <c r="R1520" t="inlineStr">
        <is>
          <t xml:space="preserve">GV </t>
        </is>
      </c>
      <c r="S1520" t="n">
        <v>2</v>
      </c>
      <c r="T1520" t="n">
        <v>2</v>
      </c>
      <c r="U1520" t="inlineStr">
        <is>
          <t>2010-12-09</t>
        </is>
      </c>
      <c r="V1520" t="inlineStr">
        <is>
          <t>2010-12-09</t>
        </is>
      </c>
      <c r="W1520" t="inlineStr">
        <is>
          <t>2009-05-19</t>
        </is>
      </c>
      <c r="X1520" t="inlineStr">
        <is>
          <t>2009-05-19</t>
        </is>
      </c>
      <c r="Y1520" t="n">
        <v>313</v>
      </c>
      <c r="Z1520" t="n">
        <v>306</v>
      </c>
      <c r="AA1520" t="n">
        <v>313</v>
      </c>
      <c r="AB1520" t="n">
        <v>2</v>
      </c>
      <c r="AC1520" t="n">
        <v>2</v>
      </c>
      <c r="AD1520" t="n">
        <v>3</v>
      </c>
      <c r="AE1520" t="n">
        <v>3</v>
      </c>
      <c r="AF1520" t="n">
        <v>2</v>
      </c>
      <c r="AG1520" t="n">
        <v>2</v>
      </c>
      <c r="AH1520" t="n">
        <v>0</v>
      </c>
      <c r="AI1520" t="n">
        <v>0</v>
      </c>
      <c r="AJ1520" t="n">
        <v>2</v>
      </c>
      <c r="AK1520" t="n">
        <v>2</v>
      </c>
      <c r="AL1520" t="n">
        <v>0</v>
      </c>
      <c r="AM1520" t="n">
        <v>0</v>
      </c>
      <c r="AN1520" t="n">
        <v>0</v>
      </c>
      <c r="AO1520" t="n">
        <v>0</v>
      </c>
      <c r="AP1520" t="inlineStr">
        <is>
          <t>No</t>
        </is>
      </c>
      <c r="AQ1520" t="inlineStr">
        <is>
          <t>Yes</t>
        </is>
      </c>
      <c r="AR1520">
        <f>HYPERLINK("http://catalog.hathitrust.org/Record/005105562","HathiTrust Record")</f>
        <v/>
      </c>
      <c r="AS1520">
        <f>HYPERLINK("https://creighton-primo.hosted.exlibrisgroup.com/primo-explore/search?tab=default_tab&amp;search_scope=EVERYTHING&amp;vid=01CRU&amp;lang=en_US&amp;offset=0&amp;query=any,contains,991005316569702656","Catalog Record")</f>
        <v/>
      </c>
      <c r="AT1520">
        <f>HYPERLINK("http://www.worldcat.org/oclc/55019097","WorldCat Record")</f>
        <v/>
      </c>
      <c r="AU1520" t="inlineStr">
        <is>
          <t>14050114:eng</t>
        </is>
      </c>
      <c r="AV1520" t="inlineStr">
        <is>
          <t>55019097</t>
        </is>
      </c>
      <c r="AW1520" t="inlineStr">
        <is>
          <t>991005316569702656</t>
        </is>
      </c>
      <c r="AX1520" t="inlineStr">
        <is>
          <t>991005316569702656</t>
        </is>
      </c>
      <c r="AY1520" t="inlineStr">
        <is>
          <t>2263626860002656</t>
        </is>
      </c>
      <c r="AZ1520" t="inlineStr">
        <is>
          <t>BOOK</t>
        </is>
      </c>
      <c r="BB1520" t="inlineStr">
        <is>
          <t>9780471482048</t>
        </is>
      </c>
      <c r="BC1520" t="inlineStr">
        <is>
          <t>32285005532352</t>
        </is>
      </c>
      <c r="BD1520" t="inlineStr">
        <is>
          <t>893437520</t>
        </is>
      </c>
    </row>
    <row r="1521">
      <c r="A1521" t="inlineStr">
        <is>
          <t>No</t>
        </is>
      </c>
      <c r="B1521" t="inlineStr">
        <is>
          <t>GV863.A1 B374 2004</t>
        </is>
      </c>
      <c r="C1521" t="inlineStr">
        <is>
          <t>0                      GV 0863000A  1                  B  374         2004</t>
        </is>
      </c>
      <c r="D1521" t="inlineStr">
        <is>
          <t>Brushbacks and knockdowns : the greatest baseball debates of two centuries / Allen Barra.</t>
        </is>
      </c>
      <c r="F1521" t="inlineStr">
        <is>
          <t>No</t>
        </is>
      </c>
      <c r="G1521" t="inlineStr">
        <is>
          <t>1</t>
        </is>
      </c>
      <c r="H1521" t="inlineStr">
        <is>
          <t>No</t>
        </is>
      </c>
      <c r="I1521" t="inlineStr">
        <is>
          <t>No</t>
        </is>
      </c>
      <c r="J1521" t="inlineStr">
        <is>
          <t>0</t>
        </is>
      </c>
      <c r="K1521" t="inlineStr">
        <is>
          <t>Barra, Allen.</t>
        </is>
      </c>
      <c r="L1521" t="inlineStr">
        <is>
          <t>New York : St. Martin's Press/T. Dunne Books, c2004.</t>
        </is>
      </c>
      <c r="M1521" t="inlineStr">
        <is>
          <t>2004</t>
        </is>
      </c>
      <c r="O1521" t="inlineStr">
        <is>
          <t>eng</t>
        </is>
      </c>
      <c r="P1521" t="inlineStr">
        <is>
          <t>nyu</t>
        </is>
      </c>
      <c r="R1521" t="inlineStr">
        <is>
          <t xml:space="preserve">GV </t>
        </is>
      </c>
      <c r="S1521" t="n">
        <v>2</v>
      </c>
      <c r="T1521" t="n">
        <v>2</v>
      </c>
      <c r="U1521" t="inlineStr">
        <is>
          <t>2009-05-12</t>
        </is>
      </c>
      <c r="V1521" t="inlineStr">
        <is>
          <t>2009-05-12</t>
        </is>
      </c>
      <c r="W1521" t="inlineStr">
        <is>
          <t>2009-04-23</t>
        </is>
      </c>
      <c r="X1521" t="inlineStr">
        <is>
          <t>2009-04-23</t>
        </is>
      </c>
      <c r="Y1521" t="n">
        <v>199</v>
      </c>
      <c r="Z1521" t="n">
        <v>195</v>
      </c>
      <c r="AA1521" t="n">
        <v>204</v>
      </c>
      <c r="AB1521" t="n">
        <v>2</v>
      </c>
      <c r="AC1521" t="n">
        <v>2</v>
      </c>
      <c r="AD1521" t="n">
        <v>5</v>
      </c>
      <c r="AE1521" t="n">
        <v>5</v>
      </c>
      <c r="AF1521" t="n">
        <v>2</v>
      </c>
      <c r="AG1521" t="n">
        <v>2</v>
      </c>
      <c r="AH1521" t="n">
        <v>1</v>
      </c>
      <c r="AI1521" t="n">
        <v>1</v>
      </c>
      <c r="AJ1521" t="n">
        <v>2</v>
      </c>
      <c r="AK1521" t="n">
        <v>2</v>
      </c>
      <c r="AL1521" t="n">
        <v>1</v>
      </c>
      <c r="AM1521" t="n">
        <v>1</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HYPERLINK("https://creighton-primo.hosted.exlibrisgroup.com/primo-explore/search?tab=default_tab&amp;search_scope=EVERYTHING&amp;vid=01CRU&amp;lang=en_US&amp;offset=0&amp;query=any,contains,991005312609702656","Catalog Record")</f>
        <v/>
      </c>
      <c r="AT1521">
        <f>HYPERLINK("http://www.worldcat.org/oclc/54446487","WorldCat Record")</f>
        <v/>
      </c>
      <c r="AU1521" t="inlineStr">
        <is>
          <t>445387785:eng</t>
        </is>
      </c>
      <c r="AV1521" t="inlineStr">
        <is>
          <t>54446487</t>
        </is>
      </c>
      <c r="AW1521" t="inlineStr">
        <is>
          <t>991005312609702656</t>
        </is>
      </c>
      <c r="AX1521" t="inlineStr">
        <is>
          <t>991005312609702656</t>
        </is>
      </c>
      <c r="AY1521" t="inlineStr">
        <is>
          <t>2264817440002656</t>
        </is>
      </c>
      <c r="AZ1521" t="inlineStr">
        <is>
          <t>BOOK</t>
        </is>
      </c>
      <c r="BB1521" t="inlineStr">
        <is>
          <t>9780312322472</t>
        </is>
      </c>
      <c r="BC1521" t="inlineStr">
        <is>
          <t>32285005518252</t>
        </is>
      </c>
      <c r="BD1521" t="inlineStr">
        <is>
          <t>893802110</t>
        </is>
      </c>
    </row>
    <row r="1522">
      <c r="A1522" t="inlineStr">
        <is>
          <t>No</t>
        </is>
      </c>
      <c r="B1522" t="inlineStr">
        <is>
          <t>GV863.A1 B775 2003</t>
        </is>
      </c>
      <c r="C1522" t="inlineStr">
        <is>
          <t>0                      GV 0863000A  1                  B  775         2003</t>
        </is>
      </c>
      <c r="D1522" t="inlineStr">
        <is>
          <t>Baseball's greatest season, 1924 / Reed Browning.</t>
        </is>
      </c>
      <c r="F1522" t="inlineStr">
        <is>
          <t>No</t>
        </is>
      </c>
      <c r="G1522" t="inlineStr">
        <is>
          <t>1</t>
        </is>
      </c>
      <c r="H1522" t="inlineStr">
        <is>
          <t>No</t>
        </is>
      </c>
      <c r="I1522" t="inlineStr">
        <is>
          <t>No</t>
        </is>
      </c>
      <c r="J1522" t="inlineStr">
        <is>
          <t>0</t>
        </is>
      </c>
      <c r="K1522" t="inlineStr">
        <is>
          <t>Browning, Reed.</t>
        </is>
      </c>
      <c r="L1522" t="inlineStr">
        <is>
          <t>Amherst : University of Massachusetts Press, c2003.</t>
        </is>
      </c>
      <c r="M1522" t="inlineStr">
        <is>
          <t>2003</t>
        </is>
      </c>
      <c r="O1522" t="inlineStr">
        <is>
          <t>eng</t>
        </is>
      </c>
      <c r="P1522" t="inlineStr">
        <is>
          <t>mau</t>
        </is>
      </c>
      <c r="R1522" t="inlineStr">
        <is>
          <t xml:space="preserve">GV </t>
        </is>
      </c>
      <c r="S1522" t="n">
        <v>2</v>
      </c>
      <c r="T1522" t="n">
        <v>2</v>
      </c>
      <c r="U1522" t="inlineStr">
        <is>
          <t>2004-03-25</t>
        </is>
      </c>
      <c r="V1522" t="inlineStr">
        <is>
          <t>2004-03-25</t>
        </is>
      </c>
      <c r="W1522" t="inlineStr">
        <is>
          <t>2003-09-22</t>
        </is>
      </c>
      <c r="X1522" t="inlineStr">
        <is>
          <t>2003-09-22</t>
        </is>
      </c>
      <c r="Y1522" t="n">
        <v>192</v>
      </c>
      <c r="Z1522" t="n">
        <v>189</v>
      </c>
      <c r="AA1522" t="n">
        <v>436</v>
      </c>
      <c r="AB1522" t="n">
        <v>2</v>
      </c>
      <c r="AC1522" t="n">
        <v>2</v>
      </c>
      <c r="AD1522" t="n">
        <v>6</v>
      </c>
      <c r="AE1522" t="n">
        <v>20</v>
      </c>
      <c r="AF1522" t="n">
        <v>4</v>
      </c>
      <c r="AG1522" t="n">
        <v>11</v>
      </c>
      <c r="AH1522" t="n">
        <v>0</v>
      </c>
      <c r="AI1522" t="n">
        <v>4</v>
      </c>
      <c r="AJ1522" t="n">
        <v>3</v>
      </c>
      <c r="AK1522" t="n">
        <v>11</v>
      </c>
      <c r="AL1522" t="n">
        <v>1</v>
      </c>
      <c r="AM1522" t="n">
        <v>1</v>
      </c>
      <c r="AN1522" t="n">
        <v>0</v>
      </c>
      <c r="AO1522" t="n">
        <v>0</v>
      </c>
      <c r="AP1522" t="inlineStr">
        <is>
          <t>No</t>
        </is>
      </c>
      <c r="AQ1522" t="inlineStr">
        <is>
          <t>Yes</t>
        </is>
      </c>
      <c r="AR1522">
        <f>HYPERLINK("http://catalog.hathitrust.org/Record/004331046","HathiTrust Record")</f>
        <v/>
      </c>
      <c r="AS1522">
        <f>HYPERLINK("https://creighton-primo.hosted.exlibrisgroup.com/primo-explore/search?tab=default_tab&amp;search_scope=EVERYTHING&amp;vid=01CRU&amp;lang=en_US&amp;offset=0&amp;query=any,contains,991004120529702656","Catalog Record")</f>
        <v/>
      </c>
      <c r="AT1522">
        <f>HYPERLINK("http://www.worldcat.org/oclc/50912743","WorldCat Record")</f>
        <v/>
      </c>
      <c r="AU1522" t="inlineStr">
        <is>
          <t>773746:eng</t>
        </is>
      </c>
      <c r="AV1522" t="inlineStr">
        <is>
          <t>50912743</t>
        </is>
      </c>
      <c r="AW1522" t="inlineStr">
        <is>
          <t>991004120529702656</t>
        </is>
      </c>
      <c r="AX1522" t="inlineStr">
        <is>
          <t>991004120529702656</t>
        </is>
      </c>
      <c r="AY1522" t="inlineStr">
        <is>
          <t>2272742370002656</t>
        </is>
      </c>
      <c r="AZ1522" t="inlineStr">
        <is>
          <t>BOOK</t>
        </is>
      </c>
      <c r="BB1522" t="inlineStr">
        <is>
          <t>9781558492622</t>
        </is>
      </c>
      <c r="BC1522" t="inlineStr">
        <is>
          <t>32285004784152</t>
        </is>
      </c>
      <c r="BD1522" t="inlineStr">
        <is>
          <t>893253264</t>
        </is>
      </c>
    </row>
    <row r="1523">
      <c r="A1523" t="inlineStr">
        <is>
          <t>No</t>
        </is>
      </c>
      <c r="B1523" t="inlineStr">
        <is>
          <t>GV863.A1 C38 1997</t>
        </is>
      </c>
      <c r="C1523" t="inlineStr">
        <is>
          <t>0                      GV 0863000A  1                  C  38          1997</t>
        </is>
      </c>
      <c r="D1523" t="inlineStr">
        <is>
          <t>Hornsby hit one over my head : a fans' oral history of baseball / David Cataneo.</t>
        </is>
      </c>
      <c r="F1523" t="inlineStr">
        <is>
          <t>No</t>
        </is>
      </c>
      <c r="G1523" t="inlineStr">
        <is>
          <t>1</t>
        </is>
      </c>
      <c r="H1523" t="inlineStr">
        <is>
          <t>No</t>
        </is>
      </c>
      <c r="I1523" t="inlineStr">
        <is>
          <t>No</t>
        </is>
      </c>
      <c r="J1523" t="inlineStr">
        <is>
          <t>0</t>
        </is>
      </c>
      <c r="K1523" t="inlineStr">
        <is>
          <t>Cataneo, David.</t>
        </is>
      </c>
      <c r="L1523" t="inlineStr">
        <is>
          <t>San Diego : Harcourt Brace &amp; Co., c1997.</t>
        </is>
      </c>
      <c r="M1523" t="inlineStr">
        <is>
          <t>1997</t>
        </is>
      </c>
      <c r="N1523" t="inlineStr">
        <is>
          <t>1st ed.</t>
        </is>
      </c>
      <c r="O1523" t="inlineStr">
        <is>
          <t>eng</t>
        </is>
      </c>
      <c r="P1523" t="inlineStr">
        <is>
          <t>cau</t>
        </is>
      </c>
      <c r="R1523" t="inlineStr">
        <is>
          <t xml:space="preserve">GV </t>
        </is>
      </c>
      <c r="S1523" t="n">
        <v>1</v>
      </c>
      <c r="T1523" t="n">
        <v>1</v>
      </c>
      <c r="U1523" t="inlineStr">
        <is>
          <t>2008-07-29</t>
        </is>
      </c>
      <c r="V1523" t="inlineStr">
        <is>
          <t>2008-07-29</t>
        </is>
      </c>
      <c r="W1523" t="inlineStr">
        <is>
          <t>2008-07-29</t>
        </is>
      </c>
      <c r="X1523" t="inlineStr">
        <is>
          <t>2008-07-29</t>
        </is>
      </c>
      <c r="Y1523" t="n">
        <v>215</v>
      </c>
      <c r="Z1523" t="n">
        <v>212</v>
      </c>
      <c r="AA1523" t="n">
        <v>218</v>
      </c>
      <c r="AB1523" t="n">
        <v>1</v>
      </c>
      <c r="AC1523" t="n">
        <v>1</v>
      </c>
      <c r="AD1523" t="n">
        <v>4</v>
      </c>
      <c r="AE1523" t="n">
        <v>4</v>
      </c>
      <c r="AF1523" t="n">
        <v>2</v>
      </c>
      <c r="AG1523" t="n">
        <v>2</v>
      </c>
      <c r="AH1523" t="n">
        <v>0</v>
      </c>
      <c r="AI1523" t="n">
        <v>0</v>
      </c>
      <c r="AJ1523" t="n">
        <v>3</v>
      </c>
      <c r="AK1523" t="n">
        <v>3</v>
      </c>
      <c r="AL1523" t="n">
        <v>0</v>
      </c>
      <c r="AM1523" t="n">
        <v>0</v>
      </c>
      <c r="AN1523" t="n">
        <v>0</v>
      </c>
      <c r="AO1523" t="n">
        <v>0</v>
      </c>
      <c r="AP1523" t="inlineStr">
        <is>
          <t>No</t>
        </is>
      </c>
      <c r="AQ1523" t="inlineStr">
        <is>
          <t>No</t>
        </is>
      </c>
      <c r="AS1523">
        <f>HYPERLINK("https://creighton-primo.hosted.exlibrisgroup.com/primo-explore/search?tab=default_tab&amp;search_scope=EVERYTHING&amp;vid=01CRU&amp;lang=en_US&amp;offset=0&amp;query=any,contains,991005256999702656","Catalog Record")</f>
        <v/>
      </c>
      <c r="AT1523">
        <f>HYPERLINK("http://www.worldcat.org/oclc/35842580","WorldCat Record")</f>
        <v/>
      </c>
      <c r="AU1523" t="inlineStr">
        <is>
          <t>4732314545:eng</t>
        </is>
      </c>
      <c r="AV1523" t="inlineStr">
        <is>
          <t>35842580</t>
        </is>
      </c>
      <c r="AW1523" t="inlineStr">
        <is>
          <t>991005256999702656</t>
        </is>
      </c>
      <c r="AX1523" t="inlineStr">
        <is>
          <t>991005256999702656</t>
        </is>
      </c>
      <c r="AY1523" t="inlineStr">
        <is>
          <t>2268670440002656</t>
        </is>
      </c>
      <c r="AZ1523" t="inlineStr">
        <is>
          <t>BOOK</t>
        </is>
      </c>
      <c r="BB1523" t="inlineStr">
        <is>
          <t>9780156002189</t>
        </is>
      </c>
      <c r="BC1523" t="inlineStr">
        <is>
          <t>32285005451496</t>
        </is>
      </c>
      <c r="BD1523" t="inlineStr">
        <is>
          <t>893810963</t>
        </is>
      </c>
    </row>
    <row r="1524">
      <c r="A1524" t="inlineStr">
        <is>
          <t>No</t>
        </is>
      </c>
      <c r="B1524" t="inlineStr">
        <is>
          <t>GV863.A1 C7</t>
        </is>
      </c>
      <c r="C1524" t="inlineStr">
        <is>
          <t>0                      GV 0863000A  1                  C  7</t>
        </is>
      </c>
      <c r="D1524" t="inlineStr">
        <is>
          <t>Baseball, America's diamond mind, 1919-1941 / Richard C. Crepeau.</t>
        </is>
      </c>
      <c r="F1524" t="inlineStr">
        <is>
          <t>No</t>
        </is>
      </c>
      <c r="G1524" t="inlineStr">
        <is>
          <t>1</t>
        </is>
      </c>
      <c r="H1524" t="inlineStr">
        <is>
          <t>No</t>
        </is>
      </c>
      <c r="I1524" t="inlineStr">
        <is>
          <t>No</t>
        </is>
      </c>
      <c r="J1524" t="inlineStr">
        <is>
          <t>0</t>
        </is>
      </c>
      <c r="K1524" t="inlineStr">
        <is>
          <t>Crepeau, Richard C., 1941-</t>
        </is>
      </c>
      <c r="L1524" t="inlineStr">
        <is>
          <t>Orlando : University Presses of Florida, c1980.</t>
        </is>
      </c>
      <c r="M1524" t="inlineStr">
        <is>
          <t>1980</t>
        </is>
      </c>
      <c r="O1524" t="inlineStr">
        <is>
          <t>eng</t>
        </is>
      </c>
      <c r="P1524" t="inlineStr">
        <is>
          <t>flu</t>
        </is>
      </c>
      <c r="R1524" t="inlineStr">
        <is>
          <t xml:space="preserve">GV </t>
        </is>
      </c>
      <c r="S1524" t="n">
        <v>12</v>
      </c>
      <c r="T1524" t="n">
        <v>12</v>
      </c>
      <c r="U1524" t="inlineStr">
        <is>
          <t>2006-10-17</t>
        </is>
      </c>
      <c r="V1524" t="inlineStr">
        <is>
          <t>2006-10-17</t>
        </is>
      </c>
      <c r="W1524" t="inlineStr">
        <is>
          <t>1990-04-20</t>
        </is>
      </c>
      <c r="X1524" t="inlineStr">
        <is>
          <t>1990-04-20</t>
        </is>
      </c>
      <c r="Y1524" t="n">
        <v>510</v>
      </c>
      <c r="Z1524" t="n">
        <v>484</v>
      </c>
      <c r="AA1524" t="n">
        <v>520</v>
      </c>
      <c r="AB1524" t="n">
        <v>3</v>
      </c>
      <c r="AC1524" t="n">
        <v>5</v>
      </c>
      <c r="AD1524" t="n">
        <v>14</v>
      </c>
      <c r="AE1524" t="n">
        <v>18</v>
      </c>
      <c r="AF1524" t="n">
        <v>8</v>
      </c>
      <c r="AG1524" t="n">
        <v>9</v>
      </c>
      <c r="AH1524" t="n">
        <v>3</v>
      </c>
      <c r="AI1524" t="n">
        <v>4</v>
      </c>
      <c r="AJ1524" t="n">
        <v>6</v>
      </c>
      <c r="AK1524" t="n">
        <v>7</v>
      </c>
      <c r="AL1524" t="n">
        <v>1</v>
      </c>
      <c r="AM1524" t="n">
        <v>3</v>
      </c>
      <c r="AN1524" t="n">
        <v>0</v>
      </c>
      <c r="AO1524" t="n">
        <v>0</v>
      </c>
      <c r="AP1524" t="inlineStr">
        <is>
          <t>No</t>
        </is>
      </c>
      <c r="AQ1524" t="inlineStr">
        <is>
          <t>No</t>
        </is>
      </c>
      <c r="AS1524">
        <f>HYPERLINK("https://creighton-primo.hosted.exlibrisgroup.com/primo-explore/search?tab=default_tab&amp;search_scope=EVERYTHING&amp;vid=01CRU&amp;lang=en_US&amp;offset=0&amp;query=any,contains,991004783329702656","Catalog Record")</f>
        <v/>
      </c>
      <c r="AT1524">
        <f>HYPERLINK("http://www.worldcat.org/oclc/5126217","WorldCat Record")</f>
        <v/>
      </c>
      <c r="AU1524" t="inlineStr">
        <is>
          <t>473838:eng</t>
        </is>
      </c>
      <c r="AV1524" t="inlineStr">
        <is>
          <t>5126217</t>
        </is>
      </c>
      <c r="AW1524" t="inlineStr">
        <is>
          <t>991004783329702656</t>
        </is>
      </c>
      <c r="AX1524" t="inlineStr">
        <is>
          <t>991004783329702656</t>
        </is>
      </c>
      <c r="AY1524" t="inlineStr">
        <is>
          <t>2267897120002656</t>
        </is>
      </c>
      <c r="AZ1524" t="inlineStr">
        <is>
          <t>BOOK</t>
        </is>
      </c>
      <c r="BB1524" t="inlineStr">
        <is>
          <t>9780813006451</t>
        </is>
      </c>
      <c r="BC1524" t="inlineStr">
        <is>
          <t>32285000123439</t>
        </is>
      </c>
      <c r="BD1524" t="inlineStr">
        <is>
          <t>893247977</t>
        </is>
      </c>
    </row>
    <row r="1525">
      <c r="A1525" t="inlineStr">
        <is>
          <t>No</t>
        </is>
      </c>
      <c r="B1525" t="inlineStr">
        <is>
          <t>GV863.A1 C87 1990</t>
        </is>
      </c>
      <c r="C1525" t="inlineStr">
        <is>
          <t>0                      GV 0863000A  1                  C  87          1990</t>
        </is>
      </c>
      <c r="D1525" t="inlineStr">
        <is>
          <t>Big sticks : the batting revolution of the twenties / William Curran.</t>
        </is>
      </c>
      <c r="F1525" t="inlineStr">
        <is>
          <t>No</t>
        </is>
      </c>
      <c r="G1525" t="inlineStr">
        <is>
          <t>1</t>
        </is>
      </c>
      <c r="H1525" t="inlineStr">
        <is>
          <t>No</t>
        </is>
      </c>
      <c r="I1525" t="inlineStr">
        <is>
          <t>No</t>
        </is>
      </c>
      <c r="J1525" t="inlineStr">
        <is>
          <t>0</t>
        </is>
      </c>
      <c r="K1525" t="inlineStr">
        <is>
          <t>Curran, William, 1921-</t>
        </is>
      </c>
      <c r="L1525" t="inlineStr">
        <is>
          <t>New York : W. Morrow, c1990.</t>
        </is>
      </c>
      <c r="M1525" t="inlineStr">
        <is>
          <t>1990</t>
        </is>
      </c>
      <c r="N1525" t="inlineStr">
        <is>
          <t>1st ed.</t>
        </is>
      </c>
      <c r="O1525" t="inlineStr">
        <is>
          <t>eng</t>
        </is>
      </c>
      <c r="P1525" t="inlineStr">
        <is>
          <t>nyu</t>
        </is>
      </c>
      <c r="R1525" t="inlineStr">
        <is>
          <t xml:space="preserve">GV </t>
        </is>
      </c>
      <c r="S1525" t="n">
        <v>1</v>
      </c>
      <c r="T1525" t="n">
        <v>1</v>
      </c>
      <c r="U1525" t="inlineStr">
        <is>
          <t>2007-02-22</t>
        </is>
      </c>
      <c r="V1525" t="inlineStr">
        <is>
          <t>2007-02-22</t>
        </is>
      </c>
      <c r="W1525" t="inlineStr">
        <is>
          <t>2007-02-22</t>
        </is>
      </c>
      <c r="X1525" t="inlineStr">
        <is>
          <t>2007-02-22</t>
        </is>
      </c>
      <c r="Y1525" t="n">
        <v>260</v>
      </c>
      <c r="Z1525" t="n">
        <v>254</v>
      </c>
      <c r="AA1525" t="n">
        <v>270</v>
      </c>
      <c r="AB1525" t="n">
        <v>2</v>
      </c>
      <c r="AC1525" t="n">
        <v>2</v>
      </c>
      <c r="AD1525" t="n">
        <v>3</v>
      </c>
      <c r="AE1525" t="n">
        <v>5</v>
      </c>
      <c r="AF1525" t="n">
        <v>1</v>
      </c>
      <c r="AG1525" t="n">
        <v>2</v>
      </c>
      <c r="AH1525" t="n">
        <v>0</v>
      </c>
      <c r="AI1525" t="n">
        <v>1</v>
      </c>
      <c r="AJ1525" t="n">
        <v>1</v>
      </c>
      <c r="AK1525" t="n">
        <v>1</v>
      </c>
      <c r="AL1525" t="n">
        <v>1</v>
      </c>
      <c r="AM1525" t="n">
        <v>1</v>
      </c>
      <c r="AN1525" t="n">
        <v>0</v>
      </c>
      <c r="AO1525" t="n">
        <v>0</v>
      </c>
      <c r="AP1525" t="inlineStr">
        <is>
          <t>No</t>
        </is>
      </c>
      <c r="AQ1525" t="inlineStr">
        <is>
          <t>Yes</t>
        </is>
      </c>
      <c r="AR1525">
        <f>HYPERLINK("http://catalog.hathitrust.org/Record/001952164","HathiTrust Record")</f>
        <v/>
      </c>
      <c r="AS1525">
        <f>HYPERLINK("https://creighton-primo.hosted.exlibrisgroup.com/primo-explore/search?tab=default_tab&amp;search_scope=EVERYTHING&amp;vid=01CRU&amp;lang=en_US&amp;offset=0&amp;query=any,contains,991005042729702656","Catalog Record")</f>
        <v/>
      </c>
      <c r="AT1525">
        <f>HYPERLINK("http://www.worldcat.org/oclc/20693361","WorldCat Record")</f>
        <v/>
      </c>
      <c r="AU1525" t="inlineStr">
        <is>
          <t>22716216:eng</t>
        </is>
      </c>
      <c r="AV1525" t="inlineStr">
        <is>
          <t>20693361</t>
        </is>
      </c>
      <c r="AW1525" t="inlineStr">
        <is>
          <t>991005042729702656</t>
        </is>
      </c>
      <c r="AX1525" t="inlineStr">
        <is>
          <t>991005042729702656</t>
        </is>
      </c>
      <c r="AY1525" t="inlineStr">
        <is>
          <t>2255369210002656</t>
        </is>
      </c>
      <c r="AZ1525" t="inlineStr">
        <is>
          <t>BOOK</t>
        </is>
      </c>
      <c r="BB1525" t="inlineStr">
        <is>
          <t>9780688064693</t>
        </is>
      </c>
      <c r="BC1525" t="inlineStr">
        <is>
          <t>32285005278857</t>
        </is>
      </c>
      <c r="BD1525" t="inlineStr">
        <is>
          <t>893613044</t>
        </is>
      </c>
    </row>
    <row r="1526">
      <c r="A1526" t="inlineStr">
        <is>
          <t>No</t>
        </is>
      </c>
      <c r="B1526" t="inlineStr">
        <is>
          <t>GV863.A1 D53 1994</t>
        </is>
      </c>
      <c r="C1526" t="inlineStr">
        <is>
          <t>0                      GV 0863000A  1                  D  53          1994</t>
        </is>
      </c>
      <c r="D1526" t="inlineStr">
        <is>
          <t>The Worth book of softball : a celebration of America's true national pastime / Paul Dickson ; photographs by Russell Mott.</t>
        </is>
      </c>
      <c r="F1526" t="inlineStr">
        <is>
          <t>No</t>
        </is>
      </c>
      <c r="G1526" t="inlineStr">
        <is>
          <t>1</t>
        </is>
      </c>
      <c r="H1526" t="inlineStr">
        <is>
          <t>No</t>
        </is>
      </c>
      <c r="I1526" t="inlineStr">
        <is>
          <t>No</t>
        </is>
      </c>
      <c r="J1526" t="inlineStr">
        <is>
          <t>0</t>
        </is>
      </c>
      <c r="K1526" t="inlineStr">
        <is>
          <t>Dickson, Paul.</t>
        </is>
      </c>
      <c r="L1526" t="inlineStr">
        <is>
          <t>New York : Facts on File, c1994.</t>
        </is>
      </c>
      <c r="M1526" t="inlineStr">
        <is>
          <t>1994</t>
        </is>
      </c>
      <c r="O1526" t="inlineStr">
        <is>
          <t>eng</t>
        </is>
      </c>
      <c r="P1526" t="inlineStr">
        <is>
          <t>nyu</t>
        </is>
      </c>
      <c r="R1526" t="inlineStr">
        <is>
          <t xml:space="preserve">GV </t>
        </is>
      </c>
      <c r="S1526" t="n">
        <v>12</v>
      </c>
      <c r="T1526" t="n">
        <v>12</v>
      </c>
      <c r="U1526" t="inlineStr">
        <is>
          <t>1999-03-27</t>
        </is>
      </c>
      <c r="V1526" t="inlineStr">
        <is>
          <t>1999-03-27</t>
        </is>
      </c>
      <c r="W1526" t="inlineStr">
        <is>
          <t>1994-04-25</t>
        </is>
      </c>
      <c r="X1526" t="inlineStr">
        <is>
          <t>1994-04-25</t>
        </is>
      </c>
      <c r="Y1526" t="n">
        <v>596</v>
      </c>
      <c r="Z1526" t="n">
        <v>570</v>
      </c>
      <c r="AA1526" t="n">
        <v>575</v>
      </c>
      <c r="AB1526" t="n">
        <v>2</v>
      </c>
      <c r="AC1526" t="n">
        <v>2</v>
      </c>
      <c r="AD1526" t="n">
        <v>7</v>
      </c>
      <c r="AE1526" t="n">
        <v>7</v>
      </c>
      <c r="AF1526" t="n">
        <v>5</v>
      </c>
      <c r="AG1526" t="n">
        <v>5</v>
      </c>
      <c r="AH1526" t="n">
        <v>0</v>
      </c>
      <c r="AI1526" t="n">
        <v>0</v>
      </c>
      <c r="AJ1526" t="n">
        <v>2</v>
      </c>
      <c r="AK1526" t="n">
        <v>2</v>
      </c>
      <c r="AL1526" t="n">
        <v>0</v>
      </c>
      <c r="AM1526" t="n">
        <v>0</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HYPERLINK("https://creighton-primo.hosted.exlibrisgroup.com/primo-explore/search?tab=default_tab&amp;search_scope=EVERYTHING&amp;vid=01CRU&amp;lang=en_US&amp;offset=0&amp;query=any,contains,991002171169702656","Catalog Record")</f>
        <v/>
      </c>
      <c r="AT1526">
        <f>HYPERLINK("http://www.worldcat.org/oclc/27936849","WorldCat Record")</f>
        <v/>
      </c>
      <c r="AU1526" t="inlineStr">
        <is>
          <t>411025229:eng</t>
        </is>
      </c>
      <c r="AV1526" t="inlineStr">
        <is>
          <t>27936849</t>
        </is>
      </c>
      <c r="AW1526" t="inlineStr">
        <is>
          <t>991002171169702656</t>
        </is>
      </c>
      <c r="AX1526" t="inlineStr">
        <is>
          <t>991002171169702656</t>
        </is>
      </c>
      <c r="AY1526" t="inlineStr">
        <is>
          <t>2259340710002656</t>
        </is>
      </c>
      <c r="AZ1526" t="inlineStr">
        <is>
          <t>BOOK</t>
        </is>
      </c>
      <c r="BB1526" t="inlineStr">
        <is>
          <t>9780816028979</t>
        </is>
      </c>
      <c r="BC1526" t="inlineStr">
        <is>
          <t>32285001877488</t>
        </is>
      </c>
      <c r="BD1526" t="inlineStr">
        <is>
          <t>893691288</t>
        </is>
      </c>
    </row>
    <row r="1527">
      <c r="A1527" t="inlineStr">
        <is>
          <t>No</t>
        </is>
      </c>
      <c r="B1527" t="inlineStr">
        <is>
          <t>GV863.A1 G38 1993</t>
        </is>
      </c>
      <c r="C1527" t="inlineStr">
        <is>
          <t>0                      GV 0863000A  1                  G  38          1993</t>
        </is>
      </c>
      <c r="D1527" t="inlineStr">
        <is>
          <t>Baseball legends: the greatest players, best games, and the most magical moments--then and now / [Angus G. Garber III].</t>
        </is>
      </c>
      <c r="F1527" t="inlineStr">
        <is>
          <t>No</t>
        </is>
      </c>
      <c r="G1527" t="inlineStr">
        <is>
          <t>1</t>
        </is>
      </c>
      <c r="H1527" t="inlineStr">
        <is>
          <t>No</t>
        </is>
      </c>
      <c r="I1527" t="inlineStr">
        <is>
          <t>No</t>
        </is>
      </c>
      <c r="J1527" t="inlineStr">
        <is>
          <t>0</t>
        </is>
      </c>
      <c r="K1527" t="inlineStr">
        <is>
          <t>Garber, Angus G.</t>
        </is>
      </c>
      <c r="L1527" t="inlineStr">
        <is>
          <t>Philadelphia, Pa. : Courage Books, c1993.</t>
        </is>
      </c>
      <c r="M1527" t="inlineStr">
        <is>
          <t>1993</t>
        </is>
      </c>
      <c r="O1527" t="inlineStr">
        <is>
          <t>eng</t>
        </is>
      </c>
      <c r="P1527" t="inlineStr">
        <is>
          <t>pau</t>
        </is>
      </c>
      <c r="R1527" t="inlineStr">
        <is>
          <t xml:space="preserve">GV </t>
        </is>
      </c>
      <c r="S1527" t="n">
        <v>1</v>
      </c>
      <c r="T1527" t="n">
        <v>1</v>
      </c>
      <c r="U1527" t="inlineStr">
        <is>
          <t>2010-07-15</t>
        </is>
      </c>
      <c r="V1527" t="inlineStr">
        <is>
          <t>2010-07-15</t>
        </is>
      </c>
      <c r="W1527" t="inlineStr">
        <is>
          <t>2010-07-15</t>
        </is>
      </c>
      <c r="X1527" t="inlineStr">
        <is>
          <t>2010-07-15</t>
        </is>
      </c>
      <c r="Y1527" t="n">
        <v>70</v>
      </c>
      <c r="Z1527" t="n">
        <v>69</v>
      </c>
      <c r="AA1527" t="n">
        <v>364</v>
      </c>
      <c r="AB1527" t="n">
        <v>1</v>
      </c>
      <c r="AC1527" t="n">
        <v>3</v>
      </c>
      <c r="AD1527" t="n">
        <v>0</v>
      </c>
      <c r="AE1527" t="n">
        <v>1</v>
      </c>
      <c r="AF1527" t="n">
        <v>0</v>
      </c>
      <c r="AG1527" t="n">
        <v>1</v>
      </c>
      <c r="AH1527" t="n">
        <v>0</v>
      </c>
      <c r="AI1527" t="n">
        <v>0</v>
      </c>
      <c r="AJ1527" t="n">
        <v>0</v>
      </c>
      <c r="AK1527" t="n">
        <v>0</v>
      </c>
      <c r="AL1527" t="n">
        <v>0</v>
      </c>
      <c r="AM1527" t="n">
        <v>0</v>
      </c>
      <c r="AN1527" t="n">
        <v>0</v>
      </c>
      <c r="AO1527" t="n">
        <v>0</v>
      </c>
      <c r="AP1527" t="inlineStr">
        <is>
          <t>No</t>
        </is>
      </c>
      <c r="AQ1527" t="inlineStr">
        <is>
          <t>No</t>
        </is>
      </c>
      <c r="AS1527">
        <f>HYPERLINK("https://creighton-primo.hosted.exlibrisgroup.com/primo-explore/search?tab=default_tab&amp;search_scope=EVERYTHING&amp;vid=01CRU&amp;lang=en_US&amp;offset=0&amp;query=any,contains,991000028049702656","Catalog Record")</f>
        <v/>
      </c>
      <c r="AT1527">
        <f>HYPERLINK("http://www.worldcat.org/oclc/28352777","WorldCat Record")</f>
        <v/>
      </c>
      <c r="AU1527" t="inlineStr">
        <is>
          <t>1862693271:eng</t>
        </is>
      </c>
      <c r="AV1527" t="inlineStr">
        <is>
          <t>28352777</t>
        </is>
      </c>
      <c r="AW1527" t="inlineStr">
        <is>
          <t>991000028049702656</t>
        </is>
      </c>
      <c r="AX1527" t="inlineStr">
        <is>
          <t>991000028049702656</t>
        </is>
      </c>
      <c r="AY1527" t="inlineStr">
        <is>
          <t>2259874210002656</t>
        </is>
      </c>
      <c r="AZ1527" t="inlineStr">
        <is>
          <t>BOOK</t>
        </is>
      </c>
      <c r="BB1527" t="inlineStr">
        <is>
          <t>9781561382668</t>
        </is>
      </c>
      <c r="BC1527" t="inlineStr">
        <is>
          <t>32285005590319</t>
        </is>
      </c>
      <c r="BD1527" t="inlineStr">
        <is>
          <t>893419133</t>
        </is>
      </c>
    </row>
    <row r="1528">
      <c r="A1528" t="inlineStr">
        <is>
          <t>No</t>
        </is>
      </c>
      <c r="B1528" t="inlineStr">
        <is>
          <t>GV863.A1 G54 2003</t>
        </is>
      </c>
      <c r="C1528" t="inlineStr">
        <is>
          <t>0                      GV 0863000A  1                  G  54          2003</t>
        </is>
      </c>
      <c r="D1528" t="inlineStr">
        <is>
          <t>The seasons : ten memorable years in baseball, and in America / Bill Gilbert ; foreword by Larry King.</t>
        </is>
      </c>
      <c r="F1528" t="inlineStr">
        <is>
          <t>No</t>
        </is>
      </c>
      <c r="G1528" t="inlineStr">
        <is>
          <t>1</t>
        </is>
      </c>
      <c r="H1528" t="inlineStr">
        <is>
          <t>No</t>
        </is>
      </c>
      <c r="I1528" t="inlineStr">
        <is>
          <t>No</t>
        </is>
      </c>
      <c r="J1528" t="inlineStr">
        <is>
          <t>0</t>
        </is>
      </c>
      <c r="K1528" t="inlineStr">
        <is>
          <t>Gilbert, Bill, 1931-</t>
        </is>
      </c>
      <c r="L1528" t="inlineStr">
        <is>
          <t>New York, NY : Citadel Press, c2003.</t>
        </is>
      </c>
      <c r="M1528" t="inlineStr">
        <is>
          <t>2003</t>
        </is>
      </c>
      <c r="O1528" t="inlineStr">
        <is>
          <t>eng</t>
        </is>
      </c>
      <c r="P1528" t="inlineStr">
        <is>
          <t>nyu</t>
        </is>
      </c>
      <c r="R1528" t="inlineStr">
        <is>
          <t xml:space="preserve">GV </t>
        </is>
      </c>
      <c r="S1528" t="n">
        <v>1</v>
      </c>
      <c r="T1528" t="n">
        <v>1</v>
      </c>
      <c r="U1528" t="inlineStr">
        <is>
          <t>2009-04-23</t>
        </is>
      </c>
      <c r="V1528" t="inlineStr">
        <is>
          <t>2009-04-23</t>
        </is>
      </c>
      <c r="W1528" t="inlineStr">
        <is>
          <t>2009-04-23</t>
        </is>
      </c>
      <c r="X1528" t="inlineStr">
        <is>
          <t>2009-04-23</t>
        </is>
      </c>
      <c r="Y1528" t="n">
        <v>47</v>
      </c>
      <c r="Z1528" t="n">
        <v>45</v>
      </c>
      <c r="AA1528" t="n">
        <v>45</v>
      </c>
      <c r="AB1528" t="n">
        <v>1</v>
      </c>
      <c r="AC1528" t="n">
        <v>1</v>
      </c>
      <c r="AD1528" t="n">
        <v>0</v>
      </c>
      <c r="AE1528" t="n">
        <v>0</v>
      </c>
      <c r="AF1528" t="n">
        <v>0</v>
      </c>
      <c r="AG1528" t="n">
        <v>0</v>
      </c>
      <c r="AH1528" t="n">
        <v>0</v>
      </c>
      <c r="AI1528" t="n">
        <v>0</v>
      </c>
      <c r="AJ1528" t="n">
        <v>0</v>
      </c>
      <c r="AK1528" t="n">
        <v>0</v>
      </c>
      <c r="AL1528" t="n">
        <v>0</v>
      </c>
      <c r="AM1528" t="n">
        <v>0</v>
      </c>
      <c r="AN1528" t="n">
        <v>0</v>
      </c>
      <c r="AO1528" t="n">
        <v>0</v>
      </c>
      <c r="AP1528" t="inlineStr">
        <is>
          <t>No</t>
        </is>
      </c>
      <c r="AQ1528" t="inlineStr">
        <is>
          <t>No</t>
        </is>
      </c>
      <c r="AS1528">
        <f>HYPERLINK("https://creighton-primo.hosted.exlibrisgroup.com/primo-explore/search?tab=default_tab&amp;search_scope=EVERYTHING&amp;vid=01CRU&amp;lang=en_US&amp;offset=0&amp;query=any,contains,991005312759702656","Catalog Record")</f>
        <v/>
      </c>
      <c r="AT1528">
        <f>HYPERLINK("http://www.worldcat.org/oclc/51953646","WorldCat Record")</f>
        <v/>
      </c>
      <c r="AU1528" t="inlineStr">
        <is>
          <t>785482:eng</t>
        </is>
      </c>
      <c r="AV1528" t="inlineStr">
        <is>
          <t>51953646</t>
        </is>
      </c>
      <c r="AW1528" t="inlineStr">
        <is>
          <t>991005312759702656</t>
        </is>
      </c>
      <c r="AX1528" t="inlineStr">
        <is>
          <t>991005312759702656</t>
        </is>
      </c>
      <c r="AY1528" t="inlineStr">
        <is>
          <t>2259514920002656</t>
        </is>
      </c>
      <c r="AZ1528" t="inlineStr">
        <is>
          <t>BOOK</t>
        </is>
      </c>
      <c r="BB1528" t="inlineStr">
        <is>
          <t>9780806524191</t>
        </is>
      </c>
      <c r="BC1528" t="inlineStr">
        <is>
          <t>32285005518203</t>
        </is>
      </c>
      <c r="BD1528" t="inlineStr">
        <is>
          <t>893890014</t>
        </is>
      </c>
    </row>
    <row r="1529">
      <c r="A1529" t="inlineStr">
        <is>
          <t>No</t>
        </is>
      </c>
      <c r="B1529" t="inlineStr">
        <is>
          <t>GV863.A1 G87 1994</t>
        </is>
      </c>
      <c r="C1529" t="inlineStr">
        <is>
          <t>0                      GV 0863000A  1                  G  87          1994</t>
        </is>
      </c>
      <c r="D1529" t="inlineStr">
        <is>
          <t>The golden age of baseball, 1941-1964 / Bill Gutman.</t>
        </is>
      </c>
      <c r="F1529" t="inlineStr">
        <is>
          <t>No</t>
        </is>
      </c>
      <c r="G1529" t="inlineStr">
        <is>
          <t>1</t>
        </is>
      </c>
      <c r="H1529" t="inlineStr">
        <is>
          <t>No</t>
        </is>
      </c>
      <c r="I1529" t="inlineStr">
        <is>
          <t>No</t>
        </is>
      </c>
      <c r="J1529" t="inlineStr">
        <is>
          <t>0</t>
        </is>
      </c>
      <c r="K1529" t="inlineStr">
        <is>
          <t>Gutman, Bill.</t>
        </is>
      </c>
      <c r="L1529" t="inlineStr">
        <is>
          <t>San Diego, Calif. : Thunder Bay Press ; [Greenwich, CT : Produced by Brompton Books Corp.], [1994], c1989.</t>
        </is>
      </c>
      <c r="M1529" t="inlineStr">
        <is>
          <t>1994</t>
        </is>
      </c>
      <c r="N1529" t="inlineStr">
        <is>
          <t>[1994 ed.]</t>
        </is>
      </c>
      <c r="O1529" t="inlineStr">
        <is>
          <t>eng</t>
        </is>
      </c>
      <c r="P1529" t="inlineStr">
        <is>
          <t>cau</t>
        </is>
      </c>
      <c r="R1529" t="inlineStr">
        <is>
          <t xml:space="preserve">GV </t>
        </is>
      </c>
      <c r="S1529" t="n">
        <v>3</v>
      </c>
      <c r="T1529" t="n">
        <v>3</v>
      </c>
      <c r="U1529" t="inlineStr">
        <is>
          <t>2004-04-15</t>
        </is>
      </c>
      <c r="V1529" t="inlineStr">
        <is>
          <t>2004-04-15</t>
        </is>
      </c>
      <c r="W1529" t="inlineStr">
        <is>
          <t>2003-09-29</t>
        </is>
      </c>
      <c r="X1529" t="inlineStr">
        <is>
          <t>2003-09-29</t>
        </is>
      </c>
      <c r="Y1529" t="n">
        <v>24</v>
      </c>
      <c r="Z1529" t="n">
        <v>24</v>
      </c>
      <c r="AA1529" t="n">
        <v>27</v>
      </c>
      <c r="AB1529" t="n">
        <v>1</v>
      </c>
      <c r="AC1529" t="n">
        <v>1</v>
      </c>
      <c r="AD1529" t="n">
        <v>0</v>
      </c>
      <c r="AE1529" t="n">
        <v>0</v>
      </c>
      <c r="AF1529" t="n">
        <v>0</v>
      </c>
      <c r="AG1529" t="n">
        <v>0</v>
      </c>
      <c r="AH1529" t="n">
        <v>0</v>
      </c>
      <c r="AI1529" t="n">
        <v>0</v>
      </c>
      <c r="AJ1529" t="n">
        <v>0</v>
      </c>
      <c r="AK1529" t="n">
        <v>0</v>
      </c>
      <c r="AL1529" t="n">
        <v>0</v>
      </c>
      <c r="AM1529" t="n">
        <v>0</v>
      </c>
      <c r="AN1529" t="n">
        <v>0</v>
      </c>
      <c r="AO1529" t="n">
        <v>0</v>
      </c>
      <c r="AP1529" t="inlineStr">
        <is>
          <t>No</t>
        </is>
      </c>
      <c r="AQ1529" t="inlineStr">
        <is>
          <t>No</t>
        </is>
      </c>
      <c r="AS1529">
        <f>HYPERLINK("https://creighton-primo.hosted.exlibrisgroup.com/primo-explore/search?tab=default_tab&amp;search_scope=EVERYTHING&amp;vid=01CRU&amp;lang=en_US&amp;offset=0&amp;query=any,contains,991004139669702656","Catalog Record")</f>
        <v/>
      </c>
      <c r="AT1529">
        <f>HYPERLINK("http://www.worldcat.org/oclc/34313434","WorldCat Record")</f>
        <v/>
      </c>
      <c r="AU1529" t="inlineStr">
        <is>
          <t>39229591:eng</t>
        </is>
      </c>
      <c r="AV1529" t="inlineStr">
        <is>
          <t>34313434</t>
        </is>
      </c>
      <c r="AW1529" t="inlineStr">
        <is>
          <t>991004139669702656</t>
        </is>
      </c>
      <c r="AX1529" t="inlineStr">
        <is>
          <t>991004139669702656</t>
        </is>
      </c>
      <c r="AY1529" t="inlineStr">
        <is>
          <t>2259794540002656</t>
        </is>
      </c>
      <c r="AZ1529" t="inlineStr">
        <is>
          <t>BOOK</t>
        </is>
      </c>
      <c r="BB1529" t="inlineStr">
        <is>
          <t>9780934429986</t>
        </is>
      </c>
      <c r="BC1529" t="inlineStr">
        <is>
          <t>32285004785480</t>
        </is>
      </c>
      <c r="BD1529" t="inlineStr">
        <is>
          <t>893253290</t>
        </is>
      </c>
    </row>
    <row r="1530">
      <c r="A1530" t="inlineStr">
        <is>
          <t>No</t>
        </is>
      </c>
      <c r="B1530" t="inlineStr">
        <is>
          <t>GV863.A1 H47 1994</t>
        </is>
      </c>
      <c r="C1530" t="inlineStr">
        <is>
          <t>0                      GV 0863000A  1                  H  47          1994</t>
        </is>
      </c>
      <c r="D1530" t="inlineStr">
        <is>
          <t>Pure baseball : pitch by pitch for the advanced fan / Keith Hernandez and Mike Bryan.</t>
        </is>
      </c>
      <c r="F1530" t="inlineStr">
        <is>
          <t>No</t>
        </is>
      </c>
      <c r="G1530" t="inlineStr">
        <is>
          <t>1</t>
        </is>
      </c>
      <c r="H1530" t="inlineStr">
        <is>
          <t>No</t>
        </is>
      </c>
      <c r="I1530" t="inlineStr">
        <is>
          <t>No</t>
        </is>
      </c>
      <c r="J1530" t="inlineStr">
        <is>
          <t>0</t>
        </is>
      </c>
      <c r="K1530" t="inlineStr">
        <is>
          <t>Hernandez, Keith.</t>
        </is>
      </c>
      <c r="L1530" t="inlineStr">
        <is>
          <t>New York, NY : HarperCollins, c1994.</t>
        </is>
      </c>
      <c r="M1530" t="inlineStr">
        <is>
          <t>1994</t>
        </is>
      </c>
      <c r="O1530" t="inlineStr">
        <is>
          <t>eng</t>
        </is>
      </c>
      <c r="P1530" t="inlineStr">
        <is>
          <t>nyu</t>
        </is>
      </c>
      <c r="R1530" t="inlineStr">
        <is>
          <t xml:space="preserve">GV </t>
        </is>
      </c>
      <c r="S1530" t="n">
        <v>1</v>
      </c>
      <c r="T1530" t="n">
        <v>1</v>
      </c>
      <c r="U1530" t="inlineStr">
        <is>
          <t>2005-10-13</t>
        </is>
      </c>
      <c r="V1530" t="inlineStr">
        <is>
          <t>2005-10-13</t>
        </is>
      </c>
      <c r="W1530" t="inlineStr">
        <is>
          <t>2005-10-13</t>
        </is>
      </c>
      <c r="X1530" t="inlineStr">
        <is>
          <t>2005-10-13</t>
        </is>
      </c>
      <c r="Y1530" t="n">
        <v>349</v>
      </c>
      <c r="Z1530" t="n">
        <v>338</v>
      </c>
      <c r="AA1530" t="n">
        <v>361</v>
      </c>
      <c r="AB1530" t="n">
        <v>1</v>
      </c>
      <c r="AC1530" t="n">
        <v>1</v>
      </c>
      <c r="AD1530" t="n">
        <v>4</v>
      </c>
      <c r="AE1530" t="n">
        <v>5</v>
      </c>
      <c r="AF1530" t="n">
        <v>2</v>
      </c>
      <c r="AG1530" t="n">
        <v>3</v>
      </c>
      <c r="AH1530" t="n">
        <v>1</v>
      </c>
      <c r="AI1530" t="n">
        <v>1</v>
      </c>
      <c r="AJ1530" t="n">
        <v>1</v>
      </c>
      <c r="AK1530" t="n">
        <v>2</v>
      </c>
      <c r="AL1530" t="n">
        <v>0</v>
      </c>
      <c r="AM1530" t="n">
        <v>0</v>
      </c>
      <c r="AN1530" t="n">
        <v>0</v>
      </c>
      <c r="AO1530" t="n">
        <v>0</v>
      </c>
      <c r="AP1530" t="inlineStr">
        <is>
          <t>No</t>
        </is>
      </c>
      <c r="AQ1530" t="inlineStr">
        <is>
          <t>Yes</t>
        </is>
      </c>
      <c r="AR1530">
        <f>HYPERLINK("http://catalog.hathitrust.org/Record/002868923","HathiTrust Record")</f>
        <v/>
      </c>
      <c r="AS1530">
        <f>HYPERLINK("https://creighton-primo.hosted.exlibrisgroup.com/primo-explore/search?tab=default_tab&amp;search_scope=EVERYTHING&amp;vid=01CRU&amp;lang=en_US&amp;offset=0&amp;query=any,contains,991004679099702656","Catalog Record")</f>
        <v/>
      </c>
      <c r="AT1530">
        <f>HYPERLINK("http://www.worldcat.org/oclc/29258821","WorldCat Record")</f>
        <v/>
      </c>
      <c r="AU1530" t="inlineStr">
        <is>
          <t>31210432:eng</t>
        </is>
      </c>
      <c r="AV1530" t="inlineStr">
        <is>
          <t>29258821</t>
        </is>
      </c>
      <c r="AW1530" t="inlineStr">
        <is>
          <t>991004679099702656</t>
        </is>
      </c>
      <c r="AX1530" t="inlineStr">
        <is>
          <t>991004679099702656</t>
        </is>
      </c>
      <c r="AY1530" t="inlineStr">
        <is>
          <t>2265643680002656</t>
        </is>
      </c>
      <c r="AZ1530" t="inlineStr">
        <is>
          <t>BOOK</t>
        </is>
      </c>
      <c r="BB1530" t="inlineStr">
        <is>
          <t>9780060170905</t>
        </is>
      </c>
      <c r="BC1530" t="inlineStr">
        <is>
          <t>32285005089619</t>
        </is>
      </c>
      <c r="BD1530" t="inlineStr">
        <is>
          <t>893260036</t>
        </is>
      </c>
    </row>
    <row r="1531">
      <c r="A1531" t="inlineStr">
        <is>
          <t>No</t>
        </is>
      </c>
      <c r="B1531" t="inlineStr">
        <is>
          <t>GV863.A1 M87 1991</t>
        </is>
      </c>
      <c r="C1531" t="inlineStr">
        <is>
          <t>0                      GV 0863000A  1                  M  87          1991</t>
        </is>
      </c>
      <c r="D1531" t="inlineStr">
        <is>
          <t>Baseball players and their times : oral histories of the game, 1920-1940 / Eugene Murdock.</t>
        </is>
      </c>
      <c r="F1531" t="inlineStr">
        <is>
          <t>No</t>
        </is>
      </c>
      <c r="G1531" t="inlineStr">
        <is>
          <t>1</t>
        </is>
      </c>
      <c r="H1531" t="inlineStr">
        <is>
          <t>No</t>
        </is>
      </c>
      <c r="I1531" t="inlineStr">
        <is>
          <t>No</t>
        </is>
      </c>
      <c r="J1531" t="inlineStr">
        <is>
          <t>0</t>
        </is>
      </c>
      <c r="K1531" t="inlineStr">
        <is>
          <t>Murdock, Eugene C. (Eugene Converse), 1921-1992.</t>
        </is>
      </c>
      <c r="L1531" t="inlineStr">
        <is>
          <t>Westport, Conn. : Meckler, c1991.</t>
        </is>
      </c>
      <c r="M1531" t="inlineStr">
        <is>
          <t>1991</t>
        </is>
      </c>
      <c r="O1531" t="inlineStr">
        <is>
          <t>eng</t>
        </is>
      </c>
      <c r="P1531" t="inlineStr">
        <is>
          <t>ctu</t>
        </is>
      </c>
      <c r="Q1531" t="inlineStr">
        <is>
          <t>Baseball and American society</t>
        </is>
      </c>
      <c r="R1531" t="inlineStr">
        <is>
          <t xml:space="preserve">GV </t>
        </is>
      </c>
      <c r="S1531" t="n">
        <v>1</v>
      </c>
      <c r="T1531" t="n">
        <v>1</v>
      </c>
      <c r="U1531" t="inlineStr">
        <is>
          <t>2006-11-16</t>
        </is>
      </c>
      <c r="V1531" t="inlineStr">
        <is>
          <t>2006-11-16</t>
        </is>
      </c>
      <c r="W1531" t="inlineStr">
        <is>
          <t>2006-11-16</t>
        </is>
      </c>
      <c r="X1531" t="inlineStr">
        <is>
          <t>2006-11-16</t>
        </is>
      </c>
      <c r="Y1531" t="n">
        <v>187</v>
      </c>
      <c r="Z1531" t="n">
        <v>178</v>
      </c>
      <c r="AA1531" t="n">
        <v>180</v>
      </c>
      <c r="AB1531" t="n">
        <v>1</v>
      </c>
      <c r="AC1531" t="n">
        <v>1</v>
      </c>
      <c r="AD1531" t="n">
        <v>5</v>
      </c>
      <c r="AE1531" t="n">
        <v>5</v>
      </c>
      <c r="AF1531" t="n">
        <v>2</v>
      </c>
      <c r="AG1531" t="n">
        <v>2</v>
      </c>
      <c r="AH1531" t="n">
        <v>2</v>
      </c>
      <c r="AI1531" t="n">
        <v>2</v>
      </c>
      <c r="AJ1531" t="n">
        <v>3</v>
      </c>
      <c r="AK1531" t="n">
        <v>3</v>
      </c>
      <c r="AL1531" t="n">
        <v>0</v>
      </c>
      <c r="AM1531" t="n">
        <v>0</v>
      </c>
      <c r="AN1531" t="n">
        <v>0</v>
      </c>
      <c r="AO1531" t="n">
        <v>0</v>
      </c>
      <c r="AP1531" t="inlineStr">
        <is>
          <t>No</t>
        </is>
      </c>
      <c r="AQ1531" t="inlineStr">
        <is>
          <t>Yes</t>
        </is>
      </c>
      <c r="AR1531">
        <f>HYPERLINK("http://catalog.hathitrust.org/Record/002485689","HathiTrust Record")</f>
        <v/>
      </c>
      <c r="AS1531">
        <f>HYPERLINK("https://creighton-primo.hosted.exlibrisgroup.com/primo-explore/search?tab=default_tab&amp;search_scope=EVERYTHING&amp;vid=01CRU&amp;lang=en_US&amp;offset=0&amp;query=any,contains,991004982159702656","Catalog Record")</f>
        <v/>
      </c>
      <c r="AT1531">
        <f>HYPERLINK("http://www.worldcat.org/oclc/23140595","WorldCat Record")</f>
        <v/>
      </c>
      <c r="AU1531" t="inlineStr">
        <is>
          <t>24636231:eng</t>
        </is>
      </c>
      <c r="AV1531" t="inlineStr">
        <is>
          <t>23140595</t>
        </is>
      </c>
      <c r="AW1531" t="inlineStr">
        <is>
          <t>991004982159702656</t>
        </is>
      </c>
      <c r="AX1531" t="inlineStr">
        <is>
          <t>991004982159702656</t>
        </is>
      </c>
      <c r="AY1531" t="inlineStr">
        <is>
          <t>2266701210002656</t>
        </is>
      </c>
      <c r="AZ1531" t="inlineStr">
        <is>
          <t>BOOK</t>
        </is>
      </c>
      <c r="BB1531" t="inlineStr">
        <is>
          <t>9780887362354</t>
        </is>
      </c>
      <c r="BC1531" t="inlineStr">
        <is>
          <t>32285005260111</t>
        </is>
      </c>
      <c r="BD1531" t="inlineStr">
        <is>
          <t>893326005</t>
        </is>
      </c>
    </row>
    <row r="1532">
      <c r="A1532" t="inlineStr">
        <is>
          <t>No</t>
        </is>
      </c>
      <c r="B1532" t="inlineStr">
        <is>
          <t>GV863.A1 P47 1992</t>
        </is>
      </c>
      <c r="C1532" t="inlineStr">
        <is>
          <t>0                      GV 0863000A  1                  P  47          1992</t>
        </is>
      </c>
      <c r="D1532" t="inlineStr">
        <is>
          <t>Only the ball was white : a history of legendary Black players and all-Black professional teams / by Robert Peterson.</t>
        </is>
      </c>
      <c r="F1532" t="inlineStr">
        <is>
          <t>No</t>
        </is>
      </c>
      <c r="G1532" t="inlineStr">
        <is>
          <t>1</t>
        </is>
      </c>
      <c r="H1532" t="inlineStr">
        <is>
          <t>No</t>
        </is>
      </c>
      <c r="I1532" t="inlineStr">
        <is>
          <t>Yes</t>
        </is>
      </c>
      <c r="J1532" t="inlineStr">
        <is>
          <t>0</t>
        </is>
      </c>
      <c r="K1532" t="inlineStr">
        <is>
          <t>Peterson, Robert, 1925-2006.</t>
        </is>
      </c>
      <c r="L1532" t="inlineStr">
        <is>
          <t>New York : Oxford University Press, 1992.</t>
        </is>
      </c>
      <c r="M1532" t="inlineStr">
        <is>
          <t>1992</t>
        </is>
      </c>
      <c r="O1532" t="inlineStr">
        <is>
          <t>eng</t>
        </is>
      </c>
      <c r="P1532" t="inlineStr">
        <is>
          <t>nyu</t>
        </is>
      </c>
      <c r="R1532" t="inlineStr">
        <is>
          <t xml:space="preserve">GV </t>
        </is>
      </c>
      <c r="S1532" t="n">
        <v>19</v>
      </c>
      <c r="T1532" t="n">
        <v>19</v>
      </c>
      <c r="U1532" t="inlineStr">
        <is>
          <t>2007-03-14</t>
        </is>
      </c>
      <c r="V1532" t="inlineStr">
        <is>
          <t>2007-03-14</t>
        </is>
      </c>
      <c r="W1532" t="inlineStr">
        <is>
          <t>1992-05-08</t>
        </is>
      </c>
      <c r="X1532" t="inlineStr">
        <is>
          <t>1992-05-08</t>
        </is>
      </c>
      <c r="Y1532" t="n">
        <v>502</v>
      </c>
      <c r="Z1532" t="n">
        <v>482</v>
      </c>
      <c r="AA1532" t="n">
        <v>1377</v>
      </c>
      <c r="AB1532" t="n">
        <v>4</v>
      </c>
      <c r="AC1532" t="n">
        <v>11</v>
      </c>
      <c r="AD1532" t="n">
        <v>13</v>
      </c>
      <c r="AE1532" t="n">
        <v>30</v>
      </c>
      <c r="AF1532" t="n">
        <v>8</v>
      </c>
      <c r="AG1532" t="n">
        <v>15</v>
      </c>
      <c r="AH1532" t="n">
        <v>2</v>
      </c>
      <c r="AI1532" t="n">
        <v>5</v>
      </c>
      <c r="AJ1532" t="n">
        <v>6</v>
      </c>
      <c r="AK1532" t="n">
        <v>11</v>
      </c>
      <c r="AL1532" t="n">
        <v>1</v>
      </c>
      <c r="AM1532" t="n">
        <v>5</v>
      </c>
      <c r="AN1532" t="n">
        <v>0</v>
      </c>
      <c r="AO1532" t="n">
        <v>0</v>
      </c>
      <c r="AP1532" t="inlineStr">
        <is>
          <t>No</t>
        </is>
      </c>
      <c r="AQ1532" t="inlineStr">
        <is>
          <t>Yes</t>
        </is>
      </c>
      <c r="AR1532">
        <f>HYPERLINK("http://catalog.hathitrust.org/Record/002574993","HathiTrust Record")</f>
        <v/>
      </c>
      <c r="AS1532">
        <f>HYPERLINK("https://creighton-primo.hosted.exlibrisgroup.com/primo-explore/search?tab=default_tab&amp;search_scope=EVERYTHING&amp;vid=01CRU&amp;lang=en_US&amp;offset=0&amp;query=any,contains,991001985629702656","Catalog Record")</f>
        <v/>
      </c>
      <c r="AT1532">
        <f>HYPERLINK("http://www.worldcat.org/oclc/25203243","WorldCat Record")</f>
        <v/>
      </c>
      <c r="AU1532" t="inlineStr">
        <is>
          <t>48097751:eng</t>
        </is>
      </c>
      <c r="AV1532" t="inlineStr">
        <is>
          <t>25203243</t>
        </is>
      </c>
      <c r="AW1532" t="inlineStr">
        <is>
          <t>991001985629702656</t>
        </is>
      </c>
      <c r="AX1532" t="inlineStr">
        <is>
          <t>991001985629702656</t>
        </is>
      </c>
      <c r="AY1532" t="inlineStr">
        <is>
          <t>2264809100002656</t>
        </is>
      </c>
      <c r="AZ1532" t="inlineStr">
        <is>
          <t>BOOK</t>
        </is>
      </c>
      <c r="BB1532" t="inlineStr">
        <is>
          <t>9780195076370</t>
        </is>
      </c>
      <c r="BC1532" t="inlineStr">
        <is>
          <t>32285001039915</t>
        </is>
      </c>
      <c r="BD1532" t="inlineStr">
        <is>
          <t>893340905</t>
        </is>
      </c>
    </row>
    <row r="1533">
      <c r="A1533" t="inlineStr">
        <is>
          <t>No</t>
        </is>
      </c>
      <c r="B1533" t="inlineStr">
        <is>
          <t>GV863.A1 P59 2006</t>
        </is>
      </c>
      <c r="C1533" t="inlineStr">
        <is>
          <t>0                      GV 0863000A  1                  P  59          2006</t>
        </is>
      </c>
      <c r="D1533" t="inlineStr">
        <is>
          <t>Play it again : baseball experts on what might have been / edited by Jim Bresnahan ; foreword by Pete Palmer.</t>
        </is>
      </c>
      <c r="F1533" t="inlineStr">
        <is>
          <t>No</t>
        </is>
      </c>
      <c r="G1533" t="inlineStr">
        <is>
          <t>1</t>
        </is>
      </c>
      <c r="H1533" t="inlineStr">
        <is>
          <t>No</t>
        </is>
      </c>
      <c r="I1533" t="inlineStr">
        <is>
          <t>No</t>
        </is>
      </c>
      <c r="J1533" t="inlineStr">
        <is>
          <t>0</t>
        </is>
      </c>
      <c r="L1533" t="inlineStr">
        <is>
          <t>Jefferson, N.C. : McFarland, c2006.</t>
        </is>
      </c>
      <c r="M1533" t="inlineStr">
        <is>
          <t>2006</t>
        </is>
      </c>
      <c r="O1533" t="inlineStr">
        <is>
          <t>eng</t>
        </is>
      </c>
      <c r="P1533" t="inlineStr">
        <is>
          <t>ncu</t>
        </is>
      </c>
      <c r="R1533" t="inlineStr">
        <is>
          <t xml:space="preserve">GV </t>
        </is>
      </c>
      <c r="S1533" t="n">
        <v>2</v>
      </c>
      <c r="T1533" t="n">
        <v>2</v>
      </c>
      <c r="U1533" t="inlineStr">
        <is>
          <t>2006-11-13</t>
        </is>
      </c>
      <c r="V1533" t="inlineStr">
        <is>
          <t>2006-11-13</t>
        </is>
      </c>
      <c r="W1533" t="inlineStr">
        <is>
          <t>2006-11-13</t>
        </is>
      </c>
      <c r="X1533" t="inlineStr">
        <is>
          <t>2006-11-13</t>
        </is>
      </c>
      <c r="Y1533" t="n">
        <v>180</v>
      </c>
      <c r="Z1533" t="n">
        <v>174</v>
      </c>
      <c r="AA1533" t="n">
        <v>190</v>
      </c>
      <c r="AB1533" t="n">
        <v>2</v>
      </c>
      <c r="AC1533" t="n">
        <v>3</v>
      </c>
      <c r="AD1533" t="n">
        <v>0</v>
      </c>
      <c r="AE1533" t="n">
        <v>1</v>
      </c>
      <c r="AF1533" t="n">
        <v>0</v>
      </c>
      <c r="AG1533" t="n">
        <v>0</v>
      </c>
      <c r="AH1533" t="n">
        <v>0</v>
      </c>
      <c r="AI1533" t="n">
        <v>0</v>
      </c>
      <c r="AJ1533" t="n">
        <v>0</v>
      </c>
      <c r="AK1533" t="n">
        <v>0</v>
      </c>
      <c r="AL1533" t="n">
        <v>0</v>
      </c>
      <c r="AM1533" t="n">
        <v>1</v>
      </c>
      <c r="AN1533" t="n">
        <v>0</v>
      </c>
      <c r="AO1533" t="n">
        <v>0</v>
      </c>
      <c r="AP1533" t="inlineStr">
        <is>
          <t>No</t>
        </is>
      </c>
      <c r="AQ1533" t="inlineStr">
        <is>
          <t>No</t>
        </is>
      </c>
      <c r="AS1533">
        <f>HYPERLINK("https://creighton-primo.hosted.exlibrisgroup.com/primo-explore/search?tab=default_tab&amp;search_scope=EVERYTHING&amp;vid=01CRU&amp;lang=en_US&amp;offset=0&amp;query=any,contains,991004937059702656","Catalog Record")</f>
        <v/>
      </c>
      <c r="AT1533">
        <f>HYPERLINK("http://www.worldcat.org/oclc/69027808","WorldCat Record")</f>
        <v/>
      </c>
      <c r="AU1533" t="inlineStr">
        <is>
          <t>52369026:eng</t>
        </is>
      </c>
      <c r="AV1533" t="inlineStr">
        <is>
          <t>69027808</t>
        </is>
      </c>
      <c r="AW1533" t="inlineStr">
        <is>
          <t>991004937059702656</t>
        </is>
      </c>
      <c r="AX1533" t="inlineStr">
        <is>
          <t>991004937059702656</t>
        </is>
      </c>
      <c r="AY1533" t="inlineStr">
        <is>
          <t>2262617340002656</t>
        </is>
      </c>
      <c r="AZ1533" t="inlineStr">
        <is>
          <t>BOOK</t>
        </is>
      </c>
      <c r="BB1533" t="inlineStr">
        <is>
          <t>9780786425464</t>
        </is>
      </c>
      <c r="BC1533" t="inlineStr">
        <is>
          <t>32285005238927</t>
        </is>
      </c>
      <c r="BD1533" t="inlineStr">
        <is>
          <t>893260340</t>
        </is>
      </c>
    </row>
    <row r="1534">
      <c r="A1534" t="inlineStr">
        <is>
          <t>No</t>
        </is>
      </c>
      <c r="B1534" t="inlineStr">
        <is>
          <t>GV863.A1 P74 2004</t>
        </is>
      </c>
      <c r="C1534" t="inlineStr">
        <is>
          <t>0                      GV 0863000A  1                  P  74          2004</t>
        </is>
      </c>
      <c r="D1534" t="inlineStr">
        <is>
          <t>Major league baseball in the 1970s : a modern game emerges / Joseph G. Preston.</t>
        </is>
      </c>
      <c r="F1534" t="inlineStr">
        <is>
          <t>No</t>
        </is>
      </c>
      <c r="G1534" t="inlineStr">
        <is>
          <t>1</t>
        </is>
      </c>
      <c r="H1534" t="inlineStr">
        <is>
          <t>No</t>
        </is>
      </c>
      <c r="I1534" t="inlineStr">
        <is>
          <t>No</t>
        </is>
      </c>
      <c r="J1534" t="inlineStr">
        <is>
          <t>0</t>
        </is>
      </c>
      <c r="K1534" t="inlineStr">
        <is>
          <t>Preston, Joseph G., 1959-</t>
        </is>
      </c>
      <c r="L1534" t="inlineStr">
        <is>
          <t>Jefferson, N.C. : McFarland, c2004.</t>
        </is>
      </c>
      <c r="M1534" t="inlineStr">
        <is>
          <t>2004</t>
        </is>
      </c>
      <c r="O1534" t="inlineStr">
        <is>
          <t>eng</t>
        </is>
      </c>
      <c r="P1534" t="inlineStr">
        <is>
          <t>ncu</t>
        </is>
      </c>
      <c r="R1534" t="inlineStr">
        <is>
          <t xml:space="preserve">GV </t>
        </is>
      </c>
      <c r="S1534" t="n">
        <v>1</v>
      </c>
      <c r="T1534" t="n">
        <v>1</v>
      </c>
      <c r="U1534" t="inlineStr">
        <is>
          <t>2005-05-26</t>
        </is>
      </c>
      <c r="V1534" t="inlineStr">
        <is>
          <t>2005-05-26</t>
        </is>
      </c>
      <c r="W1534" t="inlineStr">
        <is>
          <t>2005-05-26</t>
        </is>
      </c>
      <c r="X1534" t="inlineStr">
        <is>
          <t>2005-05-26</t>
        </is>
      </c>
      <c r="Y1534" t="n">
        <v>289</v>
      </c>
      <c r="Z1534" t="n">
        <v>276</v>
      </c>
      <c r="AA1534" t="n">
        <v>295</v>
      </c>
      <c r="AB1534" t="n">
        <v>2</v>
      </c>
      <c r="AC1534" t="n">
        <v>2</v>
      </c>
      <c r="AD1534" t="n">
        <v>12</v>
      </c>
      <c r="AE1534" t="n">
        <v>13</v>
      </c>
      <c r="AF1534" t="n">
        <v>6</v>
      </c>
      <c r="AG1534" t="n">
        <v>7</v>
      </c>
      <c r="AH1534" t="n">
        <v>3</v>
      </c>
      <c r="AI1534" t="n">
        <v>3</v>
      </c>
      <c r="AJ1534" t="n">
        <v>5</v>
      </c>
      <c r="AK1534" t="n">
        <v>5</v>
      </c>
      <c r="AL1534" t="n">
        <v>1</v>
      </c>
      <c r="AM1534" t="n">
        <v>1</v>
      </c>
      <c r="AN1534" t="n">
        <v>0</v>
      </c>
      <c r="AO1534" t="n">
        <v>0</v>
      </c>
      <c r="AP1534" t="inlineStr">
        <is>
          <t>No</t>
        </is>
      </c>
      <c r="AQ1534" t="inlineStr">
        <is>
          <t>No</t>
        </is>
      </c>
      <c r="AS1534">
        <f>HYPERLINK("https://creighton-primo.hosted.exlibrisgroup.com/primo-explore/search?tab=default_tab&amp;search_scope=EVERYTHING&amp;vid=01CRU&amp;lang=en_US&amp;offset=0&amp;query=any,contains,991004541229702656","Catalog Record")</f>
        <v/>
      </c>
      <c r="AT1534">
        <f>HYPERLINK("http://www.worldcat.org/oclc/54382173","WorldCat Record")</f>
        <v/>
      </c>
      <c r="AU1534" t="inlineStr">
        <is>
          <t>1894993525:eng</t>
        </is>
      </c>
      <c r="AV1534" t="inlineStr">
        <is>
          <t>54382173</t>
        </is>
      </c>
      <c r="AW1534" t="inlineStr">
        <is>
          <t>991004541229702656</t>
        </is>
      </c>
      <c r="AX1534" t="inlineStr">
        <is>
          <t>991004541229702656</t>
        </is>
      </c>
      <c r="AY1534" t="inlineStr">
        <is>
          <t>2254961430002656</t>
        </is>
      </c>
      <c r="AZ1534" t="inlineStr">
        <is>
          <t>BOOK</t>
        </is>
      </c>
      <c r="BB1534" t="inlineStr">
        <is>
          <t>9780786415922</t>
        </is>
      </c>
      <c r="BC1534" t="inlineStr">
        <is>
          <t>32285005090856</t>
        </is>
      </c>
      <c r="BD1534" t="inlineStr">
        <is>
          <t>893235632</t>
        </is>
      </c>
    </row>
    <row r="1535">
      <c r="A1535" t="inlineStr">
        <is>
          <t>No</t>
        </is>
      </c>
      <c r="B1535" t="inlineStr">
        <is>
          <t>GV863.A1 S32 1994</t>
        </is>
      </c>
      <c r="C1535" t="inlineStr">
        <is>
          <t>0                      GV 0863000A  1                  S  32          1994</t>
        </is>
      </c>
      <c r="D1535" t="inlineStr">
        <is>
          <t>Field of screams : the dark underside of America's national pastime / Richard Scheinin.</t>
        </is>
      </c>
      <c r="F1535" t="inlineStr">
        <is>
          <t>No</t>
        </is>
      </c>
      <c r="G1535" t="inlineStr">
        <is>
          <t>1</t>
        </is>
      </c>
      <c r="H1535" t="inlineStr">
        <is>
          <t>No</t>
        </is>
      </c>
      <c r="I1535" t="inlineStr">
        <is>
          <t>No</t>
        </is>
      </c>
      <c r="J1535" t="inlineStr">
        <is>
          <t>0</t>
        </is>
      </c>
      <c r="K1535" t="inlineStr">
        <is>
          <t>Scheinin, Richard.</t>
        </is>
      </c>
      <c r="L1535" t="inlineStr">
        <is>
          <t>New York : Norton, c1994.</t>
        </is>
      </c>
      <c r="M1535" t="inlineStr">
        <is>
          <t>1994</t>
        </is>
      </c>
      <c r="N1535" t="inlineStr">
        <is>
          <t>1st ed.</t>
        </is>
      </c>
      <c r="O1535" t="inlineStr">
        <is>
          <t>eng</t>
        </is>
      </c>
      <c r="P1535" t="inlineStr">
        <is>
          <t>nyu</t>
        </is>
      </c>
      <c r="R1535" t="inlineStr">
        <is>
          <t xml:space="preserve">GV </t>
        </is>
      </c>
      <c r="S1535" t="n">
        <v>1</v>
      </c>
      <c r="T1535" t="n">
        <v>1</v>
      </c>
      <c r="U1535" t="inlineStr">
        <is>
          <t>2010-06-10</t>
        </is>
      </c>
      <c r="V1535" t="inlineStr">
        <is>
          <t>2010-06-10</t>
        </is>
      </c>
      <c r="W1535" t="inlineStr">
        <is>
          <t>2010-06-10</t>
        </is>
      </c>
      <c r="X1535" t="inlineStr">
        <is>
          <t>2010-06-10</t>
        </is>
      </c>
      <c r="Y1535" t="n">
        <v>258</v>
      </c>
      <c r="Z1535" t="n">
        <v>242</v>
      </c>
      <c r="AA1535" t="n">
        <v>251</v>
      </c>
      <c r="AB1535" t="n">
        <v>1</v>
      </c>
      <c r="AC1535" t="n">
        <v>1</v>
      </c>
      <c r="AD1535" t="n">
        <v>2</v>
      </c>
      <c r="AE1535" t="n">
        <v>2</v>
      </c>
      <c r="AF1535" t="n">
        <v>0</v>
      </c>
      <c r="AG1535" t="n">
        <v>0</v>
      </c>
      <c r="AH1535" t="n">
        <v>0</v>
      </c>
      <c r="AI1535" t="n">
        <v>0</v>
      </c>
      <c r="AJ1535" t="n">
        <v>2</v>
      </c>
      <c r="AK1535" t="n">
        <v>2</v>
      </c>
      <c r="AL1535" t="n">
        <v>0</v>
      </c>
      <c r="AM1535" t="n">
        <v>0</v>
      </c>
      <c r="AN1535" t="n">
        <v>0</v>
      </c>
      <c r="AO1535" t="n">
        <v>0</v>
      </c>
      <c r="AP1535" t="inlineStr">
        <is>
          <t>No</t>
        </is>
      </c>
      <c r="AQ1535" t="inlineStr">
        <is>
          <t>No</t>
        </is>
      </c>
      <c r="AS1535">
        <f>HYPERLINK("https://creighton-primo.hosted.exlibrisgroup.com/primo-explore/search?tab=default_tab&amp;search_scope=EVERYTHING&amp;vid=01CRU&amp;lang=en_US&amp;offset=0&amp;query=any,contains,991000007989702656","Catalog Record")</f>
        <v/>
      </c>
      <c r="AT1535">
        <f>HYPERLINK("http://www.worldcat.org/oclc/28891000","WorldCat Record")</f>
        <v/>
      </c>
      <c r="AU1535" t="inlineStr">
        <is>
          <t>4735115316:eng</t>
        </is>
      </c>
      <c r="AV1535" t="inlineStr">
        <is>
          <t>28891000</t>
        </is>
      </c>
      <c r="AW1535" t="inlineStr">
        <is>
          <t>991000007989702656</t>
        </is>
      </c>
      <c r="AX1535" t="inlineStr">
        <is>
          <t>991000007989702656</t>
        </is>
      </c>
      <c r="AY1535" t="inlineStr">
        <is>
          <t>2262749150002656</t>
        </is>
      </c>
      <c r="AZ1535" t="inlineStr">
        <is>
          <t>BOOK</t>
        </is>
      </c>
      <c r="BB1535" t="inlineStr">
        <is>
          <t>9780393311389</t>
        </is>
      </c>
      <c r="BC1535" t="inlineStr">
        <is>
          <t>32285005587919</t>
        </is>
      </c>
      <c r="BD1535" t="inlineStr">
        <is>
          <t>893626150</t>
        </is>
      </c>
    </row>
    <row r="1536">
      <c r="A1536" t="inlineStr">
        <is>
          <t>No</t>
        </is>
      </c>
      <c r="B1536" t="inlineStr">
        <is>
          <t>GV863.A1 S43 1992</t>
        </is>
      </c>
      <c r="C1536" t="inlineStr">
        <is>
          <t>0                      GV 0863000A  1                  S  43          1992</t>
        </is>
      </c>
      <c r="D1536" t="inlineStr">
        <is>
          <t>Great moments in baseball / by Tom Seaver with Marty Appel.</t>
        </is>
      </c>
      <c r="F1536" t="inlineStr">
        <is>
          <t>No</t>
        </is>
      </c>
      <c r="G1536" t="inlineStr">
        <is>
          <t>1</t>
        </is>
      </c>
      <c r="H1536" t="inlineStr">
        <is>
          <t>No</t>
        </is>
      </c>
      <c r="I1536" t="inlineStr">
        <is>
          <t>No</t>
        </is>
      </c>
      <c r="J1536" t="inlineStr">
        <is>
          <t>0</t>
        </is>
      </c>
      <c r="K1536" t="inlineStr">
        <is>
          <t>Seaver, Tom, 1944-2020.</t>
        </is>
      </c>
      <c r="L1536" t="inlineStr">
        <is>
          <t>New York, N.Y. : Carol Pub. Group, c1992.</t>
        </is>
      </c>
      <c r="M1536" t="inlineStr">
        <is>
          <t>1992</t>
        </is>
      </c>
      <c r="O1536" t="inlineStr">
        <is>
          <t>eng</t>
        </is>
      </c>
      <c r="P1536" t="inlineStr">
        <is>
          <t>nyu</t>
        </is>
      </c>
      <c r="R1536" t="inlineStr">
        <is>
          <t xml:space="preserve">GV </t>
        </is>
      </c>
      <c r="S1536" t="n">
        <v>2</v>
      </c>
      <c r="T1536" t="n">
        <v>2</v>
      </c>
      <c r="U1536" t="inlineStr">
        <is>
          <t>2007-09-23</t>
        </is>
      </c>
      <c r="V1536" t="inlineStr">
        <is>
          <t>2007-09-23</t>
        </is>
      </c>
      <c r="W1536" t="inlineStr">
        <is>
          <t>2006-11-16</t>
        </is>
      </c>
      <c r="X1536" t="inlineStr">
        <is>
          <t>2006-11-16</t>
        </is>
      </c>
      <c r="Y1536" t="n">
        <v>341</v>
      </c>
      <c r="Z1536" t="n">
        <v>333</v>
      </c>
      <c r="AA1536" t="n">
        <v>357</v>
      </c>
      <c r="AB1536" t="n">
        <v>1</v>
      </c>
      <c r="AC1536" t="n">
        <v>1</v>
      </c>
      <c r="AD1536" t="n">
        <v>2</v>
      </c>
      <c r="AE1536" t="n">
        <v>2</v>
      </c>
      <c r="AF1536" t="n">
        <v>1</v>
      </c>
      <c r="AG1536" t="n">
        <v>1</v>
      </c>
      <c r="AH1536" t="n">
        <v>1</v>
      </c>
      <c r="AI1536" t="n">
        <v>1</v>
      </c>
      <c r="AJ1536" t="n">
        <v>1</v>
      </c>
      <c r="AK1536" t="n">
        <v>1</v>
      </c>
      <c r="AL1536" t="n">
        <v>0</v>
      </c>
      <c r="AM1536" t="n">
        <v>0</v>
      </c>
      <c r="AN1536" t="n">
        <v>0</v>
      </c>
      <c r="AO1536" t="n">
        <v>0</v>
      </c>
      <c r="AP1536" t="inlineStr">
        <is>
          <t>No</t>
        </is>
      </c>
      <c r="AQ1536" t="inlineStr">
        <is>
          <t>Yes</t>
        </is>
      </c>
      <c r="AR1536">
        <f>HYPERLINK("http://catalog.hathitrust.org/Record/002545224","HathiTrust Record")</f>
        <v/>
      </c>
      <c r="AS1536">
        <f>HYPERLINK("https://creighton-primo.hosted.exlibrisgroup.com/primo-explore/search?tab=default_tab&amp;search_scope=EVERYTHING&amp;vid=01CRU&amp;lang=en_US&amp;offset=0&amp;query=any,contains,991004982219702656","Catalog Record")</f>
        <v/>
      </c>
      <c r="AT1536">
        <f>HYPERLINK("http://www.worldcat.org/oclc/24467240","WorldCat Record")</f>
        <v/>
      </c>
      <c r="AU1536" t="inlineStr">
        <is>
          <t>26489217:eng</t>
        </is>
      </c>
      <c r="AV1536" t="inlineStr">
        <is>
          <t>24467240</t>
        </is>
      </c>
      <c r="AW1536" t="inlineStr">
        <is>
          <t>991004982219702656</t>
        </is>
      </c>
      <c r="AX1536" t="inlineStr">
        <is>
          <t>991004982219702656</t>
        </is>
      </c>
      <c r="AY1536" t="inlineStr">
        <is>
          <t>2267174270002656</t>
        </is>
      </c>
      <c r="AZ1536" t="inlineStr">
        <is>
          <t>BOOK</t>
        </is>
      </c>
      <c r="BB1536" t="inlineStr">
        <is>
          <t>9781559720953</t>
        </is>
      </c>
      <c r="BC1536" t="inlineStr">
        <is>
          <t>32285005260103</t>
        </is>
      </c>
      <c r="BD1536" t="inlineStr">
        <is>
          <t>893418227</t>
        </is>
      </c>
    </row>
    <row r="1537">
      <c r="A1537" t="inlineStr">
        <is>
          <t>No</t>
        </is>
      </c>
      <c r="B1537" t="inlineStr">
        <is>
          <t>GV863.A1 S675 2000</t>
        </is>
      </c>
      <c r="C1537" t="inlineStr">
        <is>
          <t>0                      GV 0863000A  1                  S  675         2000</t>
        </is>
      </c>
      <c r="D1537" t="inlineStr">
        <is>
          <t>Red Smith on baseball : the game's greatest writer on the game's greatest years / with a foreword by Ira Berkow.</t>
        </is>
      </c>
      <c r="F1537" t="inlineStr">
        <is>
          <t>No</t>
        </is>
      </c>
      <c r="G1537" t="inlineStr">
        <is>
          <t>1</t>
        </is>
      </c>
      <c r="H1537" t="inlineStr">
        <is>
          <t>No</t>
        </is>
      </c>
      <c r="I1537" t="inlineStr">
        <is>
          <t>No</t>
        </is>
      </c>
      <c r="J1537" t="inlineStr">
        <is>
          <t>0</t>
        </is>
      </c>
      <c r="K1537" t="inlineStr">
        <is>
          <t>Smith, Red, 1905-1982.</t>
        </is>
      </c>
      <c r="L1537" t="inlineStr">
        <is>
          <t>Chicago : I.R. Dee, 2000.</t>
        </is>
      </c>
      <c r="M1537" t="inlineStr">
        <is>
          <t>2000</t>
        </is>
      </c>
      <c r="O1537" t="inlineStr">
        <is>
          <t>eng</t>
        </is>
      </c>
      <c r="P1537" t="inlineStr">
        <is>
          <t>ilu</t>
        </is>
      </c>
      <c r="R1537" t="inlineStr">
        <is>
          <t xml:space="preserve">GV </t>
        </is>
      </c>
      <c r="S1537" t="n">
        <v>3</v>
      </c>
      <c r="T1537" t="n">
        <v>3</v>
      </c>
      <c r="U1537" t="inlineStr">
        <is>
          <t>2008-01-04</t>
        </is>
      </c>
      <c r="V1537" t="inlineStr">
        <is>
          <t>2008-01-04</t>
        </is>
      </c>
      <c r="W1537" t="inlineStr">
        <is>
          <t>2000-08-22</t>
        </is>
      </c>
      <c r="X1537" t="inlineStr">
        <is>
          <t>2000-08-22</t>
        </is>
      </c>
      <c r="Y1537" t="n">
        <v>582</v>
      </c>
      <c r="Z1537" t="n">
        <v>571</v>
      </c>
      <c r="AA1537" t="n">
        <v>574</v>
      </c>
      <c r="AB1537" t="n">
        <v>1</v>
      </c>
      <c r="AC1537" t="n">
        <v>1</v>
      </c>
      <c r="AD1537" t="n">
        <v>14</v>
      </c>
      <c r="AE1537" t="n">
        <v>14</v>
      </c>
      <c r="AF1537" t="n">
        <v>7</v>
      </c>
      <c r="AG1537" t="n">
        <v>7</v>
      </c>
      <c r="AH1537" t="n">
        <v>3</v>
      </c>
      <c r="AI1537" t="n">
        <v>3</v>
      </c>
      <c r="AJ1537" t="n">
        <v>7</v>
      </c>
      <c r="AK1537" t="n">
        <v>7</v>
      </c>
      <c r="AL1537" t="n">
        <v>0</v>
      </c>
      <c r="AM1537" t="n">
        <v>0</v>
      </c>
      <c r="AN1537" t="n">
        <v>0</v>
      </c>
      <c r="AO1537" t="n">
        <v>0</v>
      </c>
      <c r="AP1537" t="inlineStr">
        <is>
          <t>No</t>
        </is>
      </c>
      <c r="AQ1537" t="inlineStr">
        <is>
          <t>Yes</t>
        </is>
      </c>
      <c r="AR1537">
        <f>HYPERLINK("http://catalog.hathitrust.org/Record/004088409","HathiTrust Record")</f>
        <v/>
      </c>
      <c r="AS1537">
        <f>HYPERLINK("https://creighton-primo.hosted.exlibrisgroup.com/primo-explore/search?tab=default_tab&amp;search_scope=EVERYTHING&amp;vid=01CRU&amp;lang=en_US&amp;offset=0&amp;query=any,contains,991003224479702656","Catalog Record")</f>
        <v/>
      </c>
      <c r="AT1537">
        <f>HYPERLINK("http://www.worldcat.org/oclc/42667777","WorldCat Record")</f>
        <v/>
      </c>
      <c r="AU1537" t="inlineStr">
        <is>
          <t>14393225:eng</t>
        </is>
      </c>
      <c r="AV1537" t="inlineStr">
        <is>
          <t>42667777</t>
        </is>
      </c>
      <c r="AW1537" t="inlineStr">
        <is>
          <t>991003224479702656</t>
        </is>
      </c>
      <c r="AX1537" t="inlineStr">
        <is>
          <t>991003224479702656</t>
        </is>
      </c>
      <c r="AY1537" t="inlineStr">
        <is>
          <t>2271873020002656</t>
        </is>
      </c>
      <c r="AZ1537" t="inlineStr">
        <is>
          <t>BOOK</t>
        </is>
      </c>
      <c r="BB1537" t="inlineStr">
        <is>
          <t>9781566632898</t>
        </is>
      </c>
      <c r="BC1537" t="inlineStr">
        <is>
          <t>32285003758231</t>
        </is>
      </c>
      <c r="BD1537" t="inlineStr">
        <is>
          <t>893441037</t>
        </is>
      </c>
    </row>
    <row r="1538">
      <c r="A1538" t="inlineStr">
        <is>
          <t>No</t>
        </is>
      </c>
      <c r="B1538" t="inlineStr">
        <is>
          <t>GV863.A1 V57 1990</t>
        </is>
      </c>
      <c r="C1538" t="inlineStr">
        <is>
          <t>0                      GV 0863000A  1                  V  57          1990</t>
        </is>
      </c>
      <c r="D1538" t="inlineStr">
        <is>
          <t>A legend for the legendary : the origin of the Baseball Hall of Fame / James A. Vlasich.</t>
        </is>
      </c>
      <c r="F1538" t="inlineStr">
        <is>
          <t>No</t>
        </is>
      </c>
      <c r="G1538" t="inlineStr">
        <is>
          <t>1</t>
        </is>
      </c>
      <c r="H1538" t="inlineStr">
        <is>
          <t>No</t>
        </is>
      </c>
      <c r="I1538" t="inlineStr">
        <is>
          <t>No</t>
        </is>
      </c>
      <c r="J1538" t="inlineStr">
        <is>
          <t>0</t>
        </is>
      </c>
      <c r="K1538" t="inlineStr">
        <is>
          <t>Vlasich, James A.</t>
        </is>
      </c>
      <c r="L1538" t="inlineStr">
        <is>
          <t>Bowling Green, Ohio : Bowling Green University Popular Press, c1990.</t>
        </is>
      </c>
      <c r="M1538" t="inlineStr">
        <is>
          <t>1990</t>
        </is>
      </c>
      <c r="O1538" t="inlineStr">
        <is>
          <t>eng</t>
        </is>
      </c>
      <c r="P1538" t="inlineStr">
        <is>
          <t>ohu</t>
        </is>
      </c>
      <c r="R1538" t="inlineStr">
        <is>
          <t xml:space="preserve">GV </t>
        </is>
      </c>
      <c r="S1538" t="n">
        <v>15</v>
      </c>
      <c r="T1538" t="n">
        <v>15</v>
      </c>
      <c r="U1538" t="inlineStr">
        <is>
          <t>2003-11-04</t>
        </is>
      </c>
      <c r="V1538" t="inlineStr">
        <is>
          <t>2003-11-04</t>
        </is>
      </c>
      <c r="W1538" t="inlineStr">
        <is>
          <t>1992-10-15</t>
        </is>
      </c>
      <c r="X1538" t="inlineStr">
        <is>
          <t>1992-10-15</t>
        </is>
      </c>
      <c r="Y1538" t="n">
        <v>208</v>
      </c>
      <c r="Z1538" t="n">
        <v>197</v>
      </c>
      <c r="AA1538" t="n">
        <v>199</v>
      </c>
      <c r="AB1538" t="n">
        <v>2</v>
      </c>
      <c r="AC1538" t="n">
        <v>2</v>
      </c>
      <c r="AD1538" t="n">
        <v>5</v>
      </c>
      <c r="AE1538" t="n">
        <v>5</v>
      </c>
      <c r="AF1538" t="n">
        <v>1</v>
      </c>
      <c r="AG1538" t="n">
        <v>1</v>
      </c>
      <c r="AH1538" t="n">
        <v>2</v>
      </c>
      <c r="AI1538" t="n">
        <v>2</v>
      </c>
      <c r="AJ1538" t="n">
        <v>1</v>
      </c>
      <c r="AK1538" t="n">
        <v>1</v>
      </c>
      <c r="AL1538" t="n">
        <v>1</v>
      </c>
      <c r="AM1538" t="n">
        <v>1</v>
      </c>
      <c r="AN1538" t="n">
        <v>0</v>
      </c>
      <c r="AO1538" t="n">
        <v>0</v>
      </c>
      <c r="AP1538" t="inlineStr">
        <is>
          <t>No</t>
        </is>
      </c>
      <c r="AQ1538" t="inlineStr">
        <is>
          <t>Yes</t>
        </is>
      </c>
      <c r="AR1538">
        <f>HYPERLINK("http://catalog.hathitrust.org/Record/002430535","HathiTrust Record")</f>
        <v/>
      </c>
      <c r="AS1538">
        <f>HYPERLINK("https://creighton-primo.hosted.exlibrisgroup.com/primo-explore/search?tab=default_tab&amp;search_scope=EVERYTHING&amp;vid=01CRU&amp;lang=en_US&amp;offset=0&amp;query=any,contains,991001816789702656","Catalog Record")</f>
        <v/>
      </c>
      <c r="AT1538">
        <f>HYPERLINK("http://www.worldcat.org/oclc/22832147","WorldCat Record")</f>
        <v/>
      </c>
      <c r="AU1538" t="inlineStr">
        <is>
          <t>24588755:eng</t>
        </is>
      </c>
      <c r="AV1538" t="inlineStr">
        <is>
          <t>22832147</t>
        </is>
      </c>
      <c r="AW1538" t="inlineStr">
        <is>
          <t>991001816789702656</t>
        </is>
      </c>
      <c r="AX1538" t="inlineStr">
        <is>
          <t>991001816789702656</t>
        </is>
      </c>
      <c r="AY1538" t="inlineStr">
        <is>
          <t>2262053110002656</t>
        </is>
      </c>
      <c r="AZ1538" t="inlineStr">
        <is>
          <t>BOOK</t>
        </is>
      </c>
      <c r="BB1538" t="inlineStr">
        <is>
          <t>9780879724948</t>
        </is>
      </c>
      <c r="BC1538" t="inlineStr">
        <is>
          <t>32285001318152</t>
        </is>
      </c>
      <c r="BD1538" t="inlineStr">
        <is>
          <t>893408387</t>
        </is>
      </c>
    </row>
    <row r="1539">
      <c r="A1539" t="inlineStr">
        <is>
          <t>No</t>
        </is>
      </c>
      <c r="B1539" t="inlineStr">
        <is>
          <t>GV863.A1 W53 1990</t>
        </is>
      </c>
      <c r="C1539" t="inlineStr">
        <is>
          <t>0                      GV 0863000A  1                  W  53          1990</t>
        </is>
      </c>
      <c r="D1539" t="inlineStr">
        <is>
          <t>Men at work : the craft of baseball / George F. Will.</t>
        </is>
      </c>
      <c r="F1539" t="inlineStr">
        <is>
          <t>No</t>
        </is>
      </c>
      <c r="G1539" t="inlineStr">
        <is>
          <t>1</t>
        </is>
      </c>
      <c r="H1539" t="inlineStr">
        <is>
          <t>No</t>
        </is>
      </c>
      <c r="I1539" t="inlineStr">
        <is>
          <t>No</t>
        </is>
      </c>
      <c r="J1539" t="inlineStr">
        <is>
          <t>0</t>
        </is>
      </c>
      <c r="K1539" t="inlineStr">
        <is>
          <t>Will, George F.</t>
        </is>
      </c>
      <c r="L1539" t="inlineStr">
        <is>
          <t>New York : Macmillan ; London : Collier Macmillan, c1990.</t>
        </is>
      </c>
      <c r="M1539" t="inlineStr">
        <is>
          <t>1990</t>
        </is>
      </c>
      <c r="O1539" t="inlineStr">
        <is>
          <t>eng</t>
        </is>
      </c>
      <c r="P1539" t="inlineStr">
        <is>
          <t>nyu</t>
        </is>
      </c>
      <c r="R1539" t="inlineStr">
        <is>
          <t xml:space="preserve">GV </t>
        </is>
      </c>
      <c r="S1539" t="n">
        <v>11</v>
      </c>
      <c r="T1539" t="n">
        <v>11</v>
      </c>
      <c r="U1539" t="inlineStr">
        <is>
          <t>2004-11-14</t>
        </is>
      </c>
      <c r="V1539" t="inlineStr">
        <is>
          <t>2004-11-14</t>
        </is>
      </c>
      <c r="W1539" t="inlineStr">
        <is>
          <t>1990-05-29</t>
        </is>
      </c>
      <c r="X1539" t="inlineStr">
        <is>
          <t>1990-05-29</t>
        </is>
      </c>
      <c r="Y1539" t="n">
        <v>1786</v>
      </c>
      <c r="Z1539" t="n">
        <v>1747</v>
      </c>
      <c r="AA1539" t="n">
        <v>2036</v>
      </c>
      <c r="AB1539" t="n">
        <v>15</v>
      </c>
      <c r="AC1539" t="n">
        <v>20</v>
      </c>
      <c r="AD1539" t="n">
        <v>28</v>
      </c>
      <c r="AE1539" t="n">
        <v>32</v>
      </c>
      <c r="AF1539" t="n">
        <v>14</v>
      </c>
      <c r="AG1539" t="n">
        <v>15</v>
      </c>
      <c r="AH1539" t="n">
        <v>7</v>
      </c>
      <c r="AI1539" t="n">
        <v>7</v>
      </c>
      <c r="AJ1539" t="n">
        <v>12</v>
      </c>
      <c r="AK1539" t="n">
        <v>13</v>
      </c>
      <c r="AL1539" t="n">
        <v>4</v>
      </c>
      <c r="AM1539" t="n">
        <v>6</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HYPERLINK("https://creighton-primo.hosted.exlibrisgroup.com/primo-explore/search?tab=default_tab&amp;search_scope=EVERYTHING&amp;vid=01CRU&amp;lang=en_US&amp;offset=0&amp;query=any,contains,991001574729702656","Catalog Record")</f>
        <v/>
      </c>
      <c r="AT1539">
        <f>HYPERLINK("http://www.worldcat.org/oclc/20422141","WorldCat Record")</f>
        <v/>
      </c>
      <c r="AU1539" t="inlineStr">
        <is>
          <t>22311739:eng</t>
        </is>
      </c>
      <c r="AV1539" t="inlineStr">
        <is>
          <t>20422141</t>
        </is>
      </c>
      <c r="AW1539" t="inlineStr">
        <is>
          <t>991001574729702656</t>
        </is>
      </c>
      <c r="AX1539" t="inlineStr">
        <is>
          <t>991001574729702656</t>
        </is>
      </c>
      <c r="AY1539" t="inlineStr">
        <is>
          <t>2265025270002656</t>
        </is>
      </c>
      <c r="AZ1539" t="inlineStr">
        <is>
          <t>BOOK</t>
        </is>
      </c>
      <c r="BB1539" t="inlineStr">
        <is>
          <t>9780026284707</t>
        </is>
      </c>
      <c r="BC1539" t="inlineStr">
        <is>
          <t>32285000156553</t>
        </is>
      </c>
      <c r="BD1539" t="inlineStr">
        <is>
          <t>893244219</t>
        </is>
      </c>
    </row>
    <row r="1540">
      <c r="A1540" t="inlineStr">
        <is>
          <t>No</t>
        </is>
      </c>
      <c r="B1540" t="inlineStr">
        <is>
          <t>GV863.A1 W75 1989</t>
        </is>
      </c>
      <c r="C1540" t="inlineStr">
        <is>
          <t>0                      GV 0863000A  1                  W  75          1989</t>
        </is>
      </c>
      <c r="D1540" t="inlineStr">
        <is>
          <t>The diamond appraised / Craig R. Wright &amp; Tom House.</t>
        </is>
      </c>
      <c r="F1540" t="inlineStr">
        <is>
          <t>No</t>
        </is>
      </c>
      <c r="G1540" t="inlineStr">
        <is>
          <t>1</t>
        </is>
      </c>
      <c r="H1540" t="inlineStr">
        <is>
          <t>No</t>
        </is>
      </c>
      <c r="I1540" t="inlineStr">
        <is>
          <t>No</t>
        </is>
      </c>
      <c r="J1540" t="inlineStr">
        <is>
          <t>0</t>
        </is>
      </c>
      <c r="K1540" t="inlineStr">
        <is>
          <t>Wright, Craig R.</t>
        </is>
      </c>
      <c r="L1540" t="inlineStr">
        <is>
          <t>New York : Simon and Schuster, c1989.</t>
        </is>
      </c>
      <c r="M1540" t="inlineStr">
        <is>
          <t>1989</t>
        </is>
      </c>
      <c r="O1540" t="inlineStr">
        <is>
          <t>eng</t>
        </is>
      </c>
      <c r="P1540" t="inlineStr">
        <is>
          <t>nyu</t>
        </is>
      </c>
      <c r="R1540" t="inlineStr">
        <is>
          <t xml:space="preserve">GV </t>
        </is>
      </c>
      <c r="S1540" t="n">
        <v>1</v>
      </c>
      <c r="T1540" t="n">
        <v>1</v>
      </c>
      <c r="U1540" t="inlineStr">
        <is>
          <t>2009-04-23</t>
        </is>
      </c>
      <c r="V1540" t="inlineStr">
        <is>
          <t>2009-04-23</t>
        </is>
      </c>
      <c r="W1540" t="inlineStr">
        <is>
          <t>2009-04-23</t>
        </is>
      </c>
      <c r="X1540" t="inlineStr">
        <is>
          <t>2009-04-23</t>
        </is>
      </c>
      <c r="Y1540" t="n">
        <v>154</v>
      </c>
      <c r="Z1540" t="n">
        <v>149</v>
      </c>
      <c r="AA1540" t="n">
        <v>163</v>
      </c>
      <c r="AB1540" t="n">
        <v>1</v>
      </c>
      <c r="AC1540" t="n">
        <v>2</v>
      </c>
      <c r="AD1540" t="n">
        <v>1</v>
      </c>
      <c r="AE1540" t="n">
        <v>1</v>
      </c>
      <c r="AF1540" t="n">
        <v>0</v>
      </c>
      <c r="AG1540" t="n">
        <v>0</v>
      </c>
      <c r="AH1540" t="n">
        <v>0</v>
      </c>
      <c r="AI1540" t="n">
        <v>0</v>
      </c>
      <c r="AJ1540" t="n">
        <v>1</v>
      </c>
      <c r="AK1540" t="n">
        <v>1</v>
      </c>
      <c r="AL1540" t="n">
        <v>0</v>
      </c>
      <c r="AM1540" t="n">
        <v>0</v>
      </c>
      <c r="AN1540" t="n">
        <v>0</v>
      </c>
      <c r="AO1540" t="n">
        <v>0</v>
      </c>
      <c r="AP1540" t="inlineStr">
        <is>
          <t>No</t>
        </is>
      </c>
      <c r="AQ1540" t="inlineStr">
        <is>
          <t>No</t>
        </is>
      </c>
      <c r="AS1540">
        <f>HYPERLINK("https://creighton-primo.hosted.exlibrisgroup.com/primo-explore/search?tab=default_tab&amp;search_scope=EVERYTHING&amp;vid=01CRU&amp;lang=en_US&amp;offset=0&amp;query=any,contains,991005312699702656","Catalog Record")</f>
        <v/>
      </c>
      <c r="AT1540">
        <f>HYPERLINK("http://www.worldcat.org/oclc/18949114","WorldCat Record")</f>
        <v/>
      </c>
      <c r="AU1540" t="inlineStr">
        <is>
          <t>19437613:eng</t>
        </is>
      </c>
      <c r="AV1540" t="inlineStr">
        <is>
          <t>18949114</t>
        </is>
      </c>
      <c r="AW1540" t="inlineStr">
        <is>
          <t>991005312699702656</t>
        </is>
      </c>
      <c r="AX1540" t="inlineStr">
        <is>
          <t>991005312699702656</t>
        </is>
      </c>
      <c r="AY1540" t="inlineStr">
        <is>
          <t>2270638660002656</t>
        </is>
      </c>
      <c r="AZ1540" t="inlineStr">
        <is>
          <t>BOOK</t>
        </is>
      </c>
      <c r="BB1540" t="inlineStr">
        <is>
          <t>9780671677695</t>
        </is>
      </c>
      <c r="BC1540" t="inlineStr">
        <is>
          <t>32285005518112</t>
        </is>
      </c>
      <c r="BD1540" t="inlineStr">
        <is>
          <t>893802111</t>
        </is>
      </c>
    </row>
    <row r="1541">
      <c r="A1541" t="inlineStr">
        <is>
          <t>No</t>
        </is>
      </c>
      <c r="B1541" t="inlineStr">
        <is>
          <t>GV865.A1 B323 1990</t>
        </is>
      </c>
      <c r="C1541" t="inlineStr">
        <is>
          <t>0                      GV 0865000A  1                  B  323         1990</t>
        </is>
      </c>
      <c r="D1541" t="inlineStr">
        <is>
          <t>The Ballplayers : baseball's ultimate biographical reference / edited by Mike Shatzkin ; managing editor, Stephen Holtje ; picture editors, Mark Rucker &amp; John Thorn ; created and developed by Mike Shatzkin &amp; Jim Charlton.</t>
        </is>
      </c>
      <c r="F1541" t="inlineStr">
        <is>
          <t>No</t>
        </is>
      </c>
      <c r="G1541" t="inlineStr">
        <is>
          <t>1</t>
        </is>
      </c>
      <c r="H1541" t="inlineStr">
        <is>
          <t>No</t>
        </is>
      </c>
      <c r="I1541" t="inlineStr">
        <is>
          <t>No</t>
        </is>
      </c>
      <c r="J1541" t="inlineStr">
        <is>
          <t>0</t>
        </is>
      </c>
      <c r="L1541" t="inlineStr">
        <is>
          <t>New York : Arbor House/William Morrow, c1990.</t>
        </is>
      </c>
      <c r="M1541" t="inlineStr">
        <is>
          <t>1990</t>
        </is>
      </c>
      <c r="N1541" t="inlineStr">
        <is>
          <t>1st ed.</t>
        </is>
      </c>
      <c r="O1541" t="inlineStr">
        <is>
          <t>eng</t>
        </is>
      </c>
      <c r="P1541" t="inlineStr">
        <is>
          <t>nyu</t>
        </is>
      </c>
      <c r="R1541" t="inlineStr">
        <is>
          <t xml:space="preserve">GV </t>
        </is>
      </c>
      <c r="S1541" t="n">
        <v>30</v>
      </c>
      <c r="T1541" t="n">
        <v>30</v>
      </c>
      <c r="U1541" t="inlineStr">
        <is>
          <t>2004-09-16</t>
        </is>
      </c>
      <c r="V1541" t="inlineStr">
        <is>
          <t>2004-09-16</t>
        </is>
      </c>
      <c r="W1541" t="inlineStr">
        <is>
          <t>1990-12-04</t>
        </is>
      </c>
      <c r="X1541" t="inlineStr">
        <is>
          <t>1990-12-04</t>
        </is>
      </c>
      <c r="Y1541" t="n">
        <v>731</v>
      </c>
      <c r="Z1541" t="n">
        <v>713</v>
      </c>
      <c r="AA1541" t="n">
        <v>726</v>
      </c>
      <c r="AB1541" t="n">
        <v>4</v>
      </c>
      <c r="AC1541" t="n">
        <v>4</v>
      </c>
      <c r="AD1541" t="n">
        <v>10</v>
      </c>
      <c r="AE1541" t="n">
        <v>11</v>
      </c>
      <c r="AF1541" t="n">
        <v>5</v>
      </c>
      <c r="AG1541" t="n">
        <v>6</v>
      </c>
      <c r="AH1541" t="n">
        <v>0</v>
      </c>
      <c r="AI1541" t="n">
        <v>1</v>
      </c>
      <c r="AJ1541" t="n">
        <v>3</v>
      </c>
      <c r="AK1541" t="n">
        <v>3</v>
      </c>
      <c r="AL1541" t="n">
        <v>2</v>
      </c>
      <c r="AM1541" t="n">
        <v>2</v>
      </c>
      <c r="AN1541" t="n">
        <v>0</v>
      </c>
      <c r="AO1541" t="n">
        <v>0</v>
      </c>
      <c r="AP1541" t="inlineStr">
        <is>
          <t>No</t>
        </is>
      </c>
      <c r="AQ1541" t="inlineStr">
        <is>
          <t>Yes</t>
        </is>
      </c>
      <c r="AR1541">
        <f>HYPERLINK("http://catalog.hathitrust.org/Record/004474517","HathiTrust Record")</f>
        <v/>
      </c>
      <c r="AS1541">
        <f>HYPERLINK("https://creighton-primo.hosted.exlibrisgroup.com/primo-explore/search?tab=default_tab&amp;search_scope=EVERYTHING&amp;vid=01CRU&amp;lang=en_US&amp;offset=0&amp;query=any,contains,991001621399702656","Catalog Record")</f>
        <v/>
      </c>
      <c r="AT1541">
        <f>HYPERLINK("http://www.worldcat.org/oclc/20824858","WorldCat Record")</f>
        <v/>
      </c>
      <c r="AU1541" t="inlineStr">
        <is>
          <t>3769004061:eng</t>
        </is>
      </c>
      <c r="AV1541" t="inlineStr">
        <is>
          <t>20824858</t>
        </is>
      </c>
      <c r="AW1541" t="inlineStr">
        <is>
          <t>991001621399702656</t>
        </is>
      </c>
      <c r="AX1541" t="inlineStr">
        <is>
          <t>991001621399702656</t>
        </is>
      </c>
      <c r="AY1541" t="inlineStr">
        <is>
          <t>2259945250002656</t>
        </is>
      </c>
      <c r="AZ1541" t="inlineStr">
        <is>
          <t>BOOK</t>
        </is>
      </c>
      <c r="BB1541" t="inlineStr">
        <is>
          <t>9780877959847</t>
        </is>
      </c>
      <c r="BC1541" t="inlineStr">
        <is>
          <t>32285000357912</t>
        </is>
      </c>
      <c r="BD1541" t="inlineStr">
        <is>
          <t>893897910</t>
        </is>
      </c>
    </row>
    <row r="1542">
      <c r="A1542" t="inlineStr">
        <is>
          <t>No</t>
        </is>
      </c>
      <c r="B1542" t="inlineStr">
        <is>
          <t>GV865.A1 B856 2010</t>
        </is>
      </c>
      <c r="C1542" t="inlineStr">
        <is>
          <t>0                      GV 0865000A  1                  B  856         2010</t>
        </is>
      </c>
      <c r="D1542" t="inlineStr">
        <is>
          <t>Clearing the bases : nine who did it with grit and class / Gene A. Budig ; foreword by Len Coleman.</t>
        </is>
      </c>
      <c r="F1542" t="inlineStr">
        <is>
          <t>No</t>
        </is>
      </c>
      <c r="G1542" t="inlineStr">
        <is>
          <t>1</t>
        </is>
      </c>
      <c r="H1542" t="inlineStr">
        <is>
          <t>No</t>
        </is>
      </c>
      <c r="I1542" t="inlineStr">
        <is>
          <t>No</t>
        </is>
      </c>
      <c r="J1542" t="inlineStr">
        <is>
          <t>0</t>
        </is>
      </c>
      <c r="K1542" t="inlineStr">
        <is>
          <t>Budig, Gene A.</t>
        </is>
      </c>
      <c r="L1542" t="inlineStr">
        <is>
          <t>Champaign, IL : News-Gazette, Inc., c2010.</t>
        </is>
      </c>
      <c r="M1542" t="inlineStr">
        <is>
          <t>2010</t>
        </is>
      </c>
      <c r="O1542" t="inlineStr">
        <is>
          <t>eng</t>
        </is>
      </c>
      <c r="P1542" t="inlineStr">
        <is>
          <t>ilu</t>
        </is>
      </c>
      <c r="R1542" t="inlineStr">
        <is>
          <t xml:space="preserve">GV </t>
        </is>
      </c>
      <c r="S1542" t="n">
        <v>1</v>
      </c>
      <c r="T1542" t="n">
        <v>1</v>
      </c>
      <c r="U1542" t="inlineStr">
        <is>
          <t>2010-09-01</t>
        </is>
      </c>
      <c r="V1542" t="inlineStr">
        <is>
          <t>2010-09-01</t>
        </is>
      </c>
      <c r="W1542" t="inlineStr">
        <is>
          <t>2010-09-01</t>
        </is>
      </c>
      <c r="X1542" t="inlineStr">
        <is>
          <t>2010-09-01</t>
        </is>
      </c>
      <c r="Y1542" t="n">
        <v>323</v>
      </c>
      <c r="Z1542" t="n">
        <v>323</v>
      </c>
      <c r="AA1542" t="n">
        <v>328</v>
      </c>
      <c r="AB1542" t="n">
        <v>16</v>
      </c>
      <c r="AC1542" t="n">
        <v>16</v>
      </c>
      <c r="AD1542" t="n">
        <v>15</v>
      </c>
      <c r="AE1542" t="n">
        <v>15</v>
      </c>
      <c r="AF1542" t="n">
        <v>3</v>
      </c>
      <c r="AG1542" t="n">
        <v>3</v>
      </c>
      <c r="AH1542" t="n">
        <v>0</v>
      </c>
      <c r="AI1542" t="n">
        <v>0</v>
      </c>
      <c r="AJ1542" t="n">
        <v>4</v>
      </c>
      <c r="AK1542" t="n">
        <v>4</v>
      </c>
      <c r="AL1542" t="n">
        <v>8</v>
      </c>
      <c r="AM1542" t="n">
        <v>8</v>
      </c>
      <c r="AN1542" t="n">
        <v>0</v>
      </c>
      <c r="AO1542" t="n">
        <v>0</v>
      </c>
      <c r="AP1542" t="inlineStr">
        <is>
          <t>No</t>
        </is>
      </c>
      <c r="AQ1542" t="inlineStr">
        <is>
          <t>No</t>
        </is>
      </c>
      <c r="AS1542">
        <f>HYPERLINK("https://creighton-primo.hosted.exlibrisgroup.com/primo-explore/search?tab=default_tab&amp;search_scope=EVERYTHING&amp;vid=01CRU&amp;lang=en_US&amp;offset=0&amp;query=any,contains,991000096219702656","Catalog Record")</f>
        <v/>
      </c>
      <c r="AT1542">
        <f>HYPERLINK("http://www.worldcat.org/oclc/650784740","WorldCat Record")</f>
        <v/>
      </c>
      <c r="AU1542" t="inlineStr">
        <is>
          <t>551427102:eng</t>
        </is>
      </c>
      <c r="AV1542" t="inlineStr">
        <is>
          <t>650784740</t>
        </is>
      </c>
      <c r="AW1542" t="inlineStr">
        <is>
          <t>991000096219702656</t>
        </is>
      </c>
      <c r="AX1542" t="inlineStr">
        <is>
          <t>991000096219702656</t>
        </is>
      </c>
      <c r="AY1542" t="inlineStr">
        <is>
          <t>2265655700002656</t>
        </is>
      </c>
      <c r="AZ1542" t="inlineStr">
        <is>
          <t>BOOK</t>
        </is>
      </c>
      <c r="BB1542" t="inlineStr">
        <is>
          <t>9780979842092</t>
        </is>
      </c>
      <c r="BC1542" t="inlineStr">
        <is>
          <t>32285005594154</t>
        </is>
      </c>
      <c r="BD1542" t="inlineStr">
        <is>
          <t>893802495</t>
        </is>
      </c>
    </row>
    <row r="1543">
      <c r="A1543" t="inlineStr">
        <is>
          <t>No</t>
        </is>
      </c>
      <c r="B1543" t="inlineStr">
        <is>
          <t>GV865.A1 C39 2000</t>
        </is>
      </c>
      <c r="C1543" t="inlineStr">
        <is>
          <t>0                      GV 0865000A  1                  C  39          2000</t>
        </is>
      </c>
      <c r="D1543" t="inlineStr">
        <is>
          <t>Rickey &amp; Robinson : the preacher, the player, and America's game / John C. Chalberg.</t>
        </is>
      </c>
      <c r="F1543" t="inlineStr">
        <is>
          <t>No</t>
        </is>
      </c>
      <c r="G1543" t="inlineStr">
        <is>
          <t>1</t>
        </is>
      </c>
      <c r="H1543" t="inlineStr">
        <is>
          <t>No</t>
        </is>
      </c>
      <c r="I1543" t="inlineStr">
        <is>
          <t>No</t>
        </is>
      </c>
      <c r="J1543" t="inlineStr">
        <is>
          <t>0</t>
        </is>
      </c>
      <c r="K1543" t="inlineStr">
        <is>
          <t>Chalberg, John.</t>
        </is>
      </c>
      <c r="L1543" t="inlineStr">
        <is>
          <t>Wheeling, Ill. : Harlan Davidson, ©2000.</t>
        </is>
      </c>
      <c r="M1543" t="inlineStr">
        <is>
          <t>2000</t>
        </is>
      </c>
      <c r="O1543" t="inlineStr">
        <is>
          <t>eng</t>
        </is>
      </c>
      <c r="P1543" t="inlineStr">
        <is>
          <t>ilu</t>
        </is>
      </c>
      <c r="R1543" t="inlineStr">
        <is>
          <t xml:space="preserve">GV </t>
        </is>
      </c>
      <c r="S1543" t="n">
        <v>6</v>
      </c>
      <c r="T1543" t="n">
        <v>6</v>
      </c>
      <c r="U1543" t="inlineStr">
        <is>
          <t>2009-10-01</t>
        </is>
      </c>
      <c r="V1543" t="inlineStr">
        <is>
          <t>2009-10-01</t>
        </is>
      </c>
      <c r="W1543" t="inlineStr">
        <is>
          <t>2001-03-27</t>
        </is>
      </c>
      <c r="X1543" t="inlineStr">
        <is>
          <t>2001-03-27</t>
        </is>
      </c>
      <c r="Y1543" t="n">
        <v>178</v>
      </c>
      <c r="Z1543" t="n">
        <v>170</v>
      </c>
      <c r="AA1543" t="n">
        <v>171</v>
      </c>
      <c r="AB1543" t="n">
        <v>3</v>
      </c>
      <c r="AC1543" t="n">
        <v>3</v>
      </c>
      <c r="AD1543" t="n">
        <v>4</v>
      </c>
      <c r="AE1543" t="n">
        <v>4</v>
      </c>
      <c r="AF1543" t="n">
        <v>0</v>
      </c>
      <c r="AG1543" t="n">
        <v>0</v>
      </c>
      <c r="AH1543" t="n">
        <v>1</v>
      </c>
      <c r="AI1543" t="n">
        <v>1</v>
      </c>
      <c r="AJ1543" t="n">
        <v>2</v>
      </c>
      <c r="AK1543" t="n">
        <v>2</v>
      </c>
      <c r="AL1543" t="n">
        <v>2</v>
      </c>
      <c r="AM1543" t="n">
        <v>2</v>
      </c>
      <c r="AN1543" t="n">
        <v>0</v>
      </c>
      <c r="AO1543" t="n">
        <v>0</v>
      </c>
      <c r="AP1543" t="inlineStr">
        <is>
          <t>No</t>
        </is>
      </c>
      <c r="AQ1543" t="inlineStr">
        <is>
          <t>No</t>
        </is>
      </c>
      <c r="AS1543">
        <f>HYPERLINK("https://creighton-primo.hosted.exlibrisgroup.com/primo-explore/search?tab=default_tab&amp;search_scope=EVERYTHING&amp;vid=01CRU&amp;lang=en_US&amp;offset=0&amp;query=any,contains,991003480089702656","Catalog Record")</f>
        <v/>
      </c>
      <c r="AT1543">
        <f>HYPERLINK("http://www.worldcat.org/oclc/42683049","WorldCat Record")</f>
        <v/>
      </c>
      <c r="AU1543" t="inlineStr">
        <is>
          <t>28235180:eng</t>
        </is>
      </c>
      <c r="AV1543" t="inlineStr">
        <is>
          <t>42683049</t>
        </is>
      </c>
      <c r="AW1543" t="inlineStr">
        <is>
          <t>991003480089702656</t>
        </is>
      </c>
      <c r="AX1543" t="inlineStr">
        <is>
          <t>991003480089702656</t>
        </is>
      </c>
      <c r="AY1543" t="inlineStr">
        <is>
          <t>2263550000002656</t>
        </is>
      </c>
      <c r="AZ1543" t="inlineStr">
        <is>
          <t>BOOK</t>
        </is>
      </c>
      <c r="BB1543" t="inlineStr">
        <is>
          <t>9780882959528</t>
        </is>
      </c>
      <c r="BC1543" t="inlineStr">
        <is>
          <t>32285004307517</t>
        </is>
      </c>
      <c r="BD1543" t="inlineStr">
        <is>
          <t>893868450</t>
        </is>
      </c>
    </row>
    <row r="1544">
      <c r="A1544" t="inlineStr">
        <is>
          <t>No</t>
        </is>
      </c>
      <c r="B1544" t="inlineStr">
        <is>
          <t>GV865.A1 D3715 2004</t>
        </is>
      </c>
      <c r="C1544" t="inlineStr">
        <is>
          <t>0                      GV 0865000A  1                  D  3715        2004</t>
        </is>
      </c>
      <c r="D1544" t="inlineStr">
        <is>
          <t>Deadball stars of the National League / written by the Deadball Era Committee of the Society for American Baseball Research ; edited by Tom Simon.</t>
        </is>
      </c>
      <c r="F1544" t="inlineStr">
        <is>
          <t>No</t>
        </is>
      </c>
      <c r="G1544" t="inlineStr">
        <is>
          <t>1</t>
        </is>
      </c>
      <c r="H1544" t="inlineStr">
        <is>
          <t>No</t>
        </is>
      </c>
      <c r="I1544" t="inlineStr">
        <is>
          <t>No</t>
        </is>
      </c>
      <c r="J1544" t="inlineStr">
        <is>
          <t>0</t>
        </is>
      </c>
      <c r="L1544" t="inlineStr">
        <is>
          <t>Dulles, Va. : Brassey's ; Cleveland, OH : Society for American Baseball Research, c2004.</t>
        </is>
      </c>
      <c r="M1544" t="inlineStr">
        <is>
          <t>2004</t>
        </is>
      </c>
      <c r="N1544" t="inlineStr">
        <is>
          <t>1st ed.</t>
        </is>
      </c>
      <c r="O1544" t="inlineStr">
        <is>
          <t>eng</t>
        </is>
      </c>
      <c r="P1544" t="inlineStr">
        <is>
          <t>vau</t>
        </is>
      </c>
      <c r="R1544" t="inlineStr">
        <is>
          <t xml:space="preserve">GV </t>
        </is>
      </c>
      <c r="S1544" t="n">
        <v>1</v>
      </c>
      <c r="T1544" t="n">
        <v>1</v>
      </c>
      <c r="U1544" t="inlineStr">
        <is>
          <t>2004-02-11</t>
        </is>
      </c>
      <c r="V1544" t="inlineStr">
        <is>
          <t>2004-02-11</t>
        </is>
      </c>
      <c r="W1544" t="inlineStr">
        <is>
          <t>2004-02-11</t>
        </is>
      </c>
      <c r="X1544" t="inlineStr">
        <is>
          <t>2004-02-11</t>
        </is>
      </c>
      <c r="Y1544" t="n">
        <v>104</v>
      </c>
      <c r="Z1544" t="n">
        <v>102</v>
      </c>
      <c r="AA1544" t="n">
        <v>115</v>
      </c>
      <c r="AB1544" t="n">
        <v>2</v>
      </c>
      <c r="AC1544" t="n">
        <v>2</v>
      </c>
      <c r="AD1544" t="n">
        <v>3</v>
      </c>
      <c r="AE1544" t="n">
        <v>4</v>
      </c>
      <c r="AF1544" t="n">
        <v>0</v>
      </c>
      <c r="AG1544" t="n">
        <v>0</v>
      </c>
      <c r="AH1544" t="n">
        <v>0</v>
      </c>
      <c r="AI1544" t="n">
        <v>1</v>
      </c>
      <c r="AJ1544" t="n">
        <v>2</v>
      </c>
      <c r="AK1544" t="n">
        <v>3</v>
      </c>
      <c r="AL1544" t="n">
        <v>1</v>
      </c>
      <c r="AM1544" t="n">
        <v>1</v>
      </c>
      <c r="AN1544" t="n">
        <v>0</v>
      </c>
      <c r="AO1544" t="n">
        <v>0</v>
      </c>
      <c r="AP1544" t="inlineStr">
        <is>
          <t>No</t>
        </is>
      </c>
      <c r="AQ1544" t="inlineStr">
        <is>
          <t>No</t>
        </is>
      </c>
      <c r="AS1544">
        <f>HYPERLINK("https://creighton-primo.hosted.exlibrisgroup.com/primo-explore/search?tab=default_tab&amp;search_scope=EVERYTHING&amp;vid=01CRU&amp;lang=en_US&amp;offset=0&amp;query=any,contains,991004234159702656","Catalog Record")</f>
        <v/>
      </c>
      <c r="AT1544">
        <f>HYPERLINK("http://www.worldcat.org/oclc/53814466","WorldCat Record")</f>
        <v/>
      </c>
      <c r="AU1544" t="inlineStr">
        <is>
          <t>1053958:eng</t>
        </is>
      </c>
      <c r="AV1544" t="inlineStr">
        <is>
          <t>53814466</t>
        </is>
      </c>
      <c r="AW1544" t="inlineStr">
        <is>
          <t>991004234159702656</t>
        </is>
      </c>
      <c r="AX1544" t="inlineStr">
        <is>
          <t>991004234159702656</t>
        </is>
      </c>
      <c r="AY1544" t="inlineStr">
        <is>
          <t>2271846390002656</t>
        </is>
      </c>
      <c r="AZ1544" t="inlineStr">
        <is>
          <t>BOOK</t>
        </is>
      </c>
      <c r="BB1544" t="inlineStr">
        <is>
          <t>9781574888607</t>
        </is>
      </c>
      <c r="BC1544" t="inlineStr">
        <is>
          <t>32285004637673</t>
        </is>
      </c>
      <c r="BD1544" t="inlineStr">
        <is>
          <t>893318962</t>
        </is>
      </c>
    </row>
    <row r="1545">
      <c r="A1545" t="inlineStr">
        <is>
          <t>No</t>
        </is>
      </c>
      <c r="B1545" t="inlineStr">
        <is>
          <t>GV865.A1 G64 1990</t>
        </is>
      </c>
      <c r="C1545" t="inlineStr">
        <is>
          <t>0                      GV 0865000A  1                  G  64          1990</t>
        </is>
      </c>
      <c r="D1545" t="inlineStr">
        <is>
          <t>Teammates / written by Peter Golenbock ; designed and illustrated by Paul Bacon.</t>
        </is>
      </c>
      <c r="F1545" t="inlineStr">
        <is>
          <t>No</t>
        </is>
      </c>
      <c r="G1545" t="inlineStr">
        <is>
          <t>1</t>
        </is>
      </c>
      <c r="H1545" t="inlineStr">
        <is>
          <t>No</t>
        </is>
      </c>
      <c r="I1545" t="inlineStr">
        <is>
          <t>No</t>
        </is>
      </c>
      <c r="J1545" t="inlineStr">
        <is>
          <t>0</t>
        </is>
      </c>
      <c r="K1545" t="inlineStr">
        <is>
          <t>Golenbock, Peter, 1946-</t>
        </is>
      </c>
      <c r="L1545" t="inlineStr">
        <is>
          <t>San Diego : Harcourt Brace Jovanovich, c1990.</t>
        </is>
      </c>
      <c r="M1545" t="inlineStr">
        <is>
          <t>1990</t>
        </is>
      </c>
      <c r="N1545" t="inlineStr">
        <is>
          <t>1st ed.</t>
        </is>
      </c>
      <c r="O1545" t="inlineStr">
        <is>
          <t>eng</t>
        </is>
      </c>
      <c r="P1545" t="inlineStr">
        <is>
          <t>cau</t>
        </is>
      </c>
      <c r="R1545" t="inlineStr">
        <is>
          <t xml:space="preserve">GV </t>
        </is>
      </c>
      <c r="S1545" t="n">
        <v>8</v>
      </c>
      <c r="T1545" t="n">
        <v>8</v>
      </c>
      <c r="U1545" t="inlineStr">
        <is>
          <t>2003-04-03</t>
        </is>
      </c>
      <c r="V1545" t="inlineStr">
        <is>
          <t>2003-04-03</t>
        </is>
      </c>
      <c r="W1545" t="inlineStr">
        <is>
          <t>1995-04-24</t>
        </is>
      </c>
      <c r="X1545" t="inlineStr">
        <is>
          <t>1995-04-24</t>
        </is>
      </c>
      <c r="Y1545" t="n">
        <v>1346</v>
      </c>
      <c r="Z1545" t="n">
        <v>1318</v>
      </c>
      <c r="AA1545" t="n">
        <v>1567</v>
      </c>
      <c r="AB1545" t="n">
        <v>17</v>
      </c>
      <c r="AC1545" t="n">
        <v>21</v>
      </c>
      <c r="AD1545" t="n">
        <v>14</v>
      </c>
      <c r="AE1545" t="n">
        <v>20</v>
      </c>
      <c r="AF1545" t="n">
        <v>7</v>
      </c>
      <c r="AG1545" t="n">
        <v>8</v>
      </c>
      <c r="AH1545" t="n">
        <v>0</v>
      </c>
      <c r="AI1545" t="n">
        <v>1</v>
      </c>
      <c r="AJ1545" t="n">
        <v>6</v>
      </c>
      <c r="AK1545" t="n">
        <v>8</v>
      </c>
      <c r="AL1545" t="n">
        <v>3</v>
      </c>
      <c r="AM1545" t="n">
        <v>6</v>
      </c>
      <c r="AN1545" t="n">
        <v>0</v>
      </c>
      <c r="AO1545" t="n">
        <v>0</v>
      </c>
      <c r="AP1545" t="inlineStr">
        <is>
          <t>No</t>
        </is>
      </c>
      <c r="AQ1545" t="inlineStr">
        <is>
          <t>No</t>
        </is>
      </c>
      <c r="AS1545">
        <f>HYPERLINK("https://creighton-primo.hosted.exlibrisgroup.com/primo-explore/search?tab=default_tab&amp;search_scope=EVERYTHING&amp;vid=01CRU&amp;lang=en_US&amp;offset=0&amp;query=any,contains,991004453019702656","Catalog Record")</f>
        <v/>
      </c>
      <c r="AT1545">
        <f>HYPERLINK("http://www.worldcat.org/oclc/20295056","WorldCat Record")</f>
        <v/>
      </c>
      <c r="AU1545" t="inlineStr">
        <is>
          <t>22674213:eng</t>
        </is>
      </c>
      <c r="AV1545" t="inlineStr">
        <is>
          <t>20295056</t>
        </is>
      </c>
      <c r="AW1545" t="inlineStr">
        <is>
          <t>991004453019702656</t>
        </is>
      </c>
      <c r="AX1545" t="inlineStr">
        <is>
          <t>991004453019702656</t>
        </is>
      </c>
      <c r="AY1545" t="inlineStr">
        <is>
          <t>2259775930002656</t>
        </is>
      </c>
      <c r="AZ1545" t="inlineStr">
        <is>
          <t>BOOK</t>
        </is>
      </c>
      <c r="BB1545" t="inlineStr">
        <is>
          <t>9780152006037</t>
        </is>
      </c>
      <c r="BC1545" t="inlineStr">
        <is>
          <t>32285002035581</t>
        </is>
      </c>
      <c r="BD1545" t="inlineStr">
        <is>
          <t>893861691</t>
        </is>
      </c>
    </row>
    <row r="1546">
      <c r="A1546" t="inlineStr">
        <is>
          <t>No</t>
        </is>
      </c>
      <c r="B1546" t="inlineStr">
        <is>
          <t>GV865.A1 M378 2000</t>
        </is>
      </c>
      <c r="C1546" t="inlineStr">
        <is>
          <t>0                      GV 0865000A  1                  M  378         2000</t>
        </is>
      </c>
      <c r="D1546" t="inlineStr">
        <is>
          <t>Baseball's other all-stars : the greatest players from the Negro Leagues, the Japanese leagues, the Mexican League, and the pre-1960 winter leagues in Cuba, Puerto Rico, and the Dominican Republic / by William F. McNeil.</t>
        </is>
      </c>
      <c r="F1546" t="inlineStr">
        <is>
          <t>No</t>
        </is>
      </c>
      <c r="G1546" t="inlineStr">
        <is>
          <t>1</t>
        </is>
      </c>
      <c r="H1546" t="inlineStr">
        <is>
          <t>No</t>
        </is>
      </c>
      <c r="I1546" t="inlineStr">
        <is>
          <t>No</t>
        </is>
      </c>
      <c r="J1546" t="inlineStr">
        <is>
          <t>0</t>
        </is>
      </c>
      <c r="K1546" t="inlineStr">
        <is>
          <t>McNeil, William.</t>
        </is>
      </c>
      <c r="L1546" t="inlineStr">
        <is>
          <t>Jefferson, N.C. : McFarland &amp; Co., c2000.</t>
        </is>
      </c>
      <c r="M1546" t="inlineStr">
        <is>
          <t>2000</t>
        </is>
      </c>
      <c r="O1546" t="inlineStr">
        <is>
          <t>eng</t>
        </is>
      </c>
      <c r="P1546" t="inlineStr">
        <is>
          <t>ncu</t>
        </is>
      </c>
      <c r="R1546" t="inlineStr">
        <is>
          <t xml:space="preserve">GV </t>
        </is>
      </c>
      <c r="S1546" t="n">
        <v>3</v>
      </c>
      <c r="T1546" t="n">
        <v>3</v>
      </c>
      <c r="U1546" t="inlineStr">
        <is>
          <t>2007-03-14</t>
        </is>
      </c>
      <c r="V1546" t="inlineStr">
        <is>
          <t>2007-03-14</t>
        </is>
      </c>
      <c r="W1546" t="inlineStr">
        <is>
          <t>2001-08-27</t>
        </is>
      </c>
      <c r="X1546" t="inlineStr">
        <is>
          <t>2001-08-27</t>
        </is>
      </c>
      <c r="Y1546" t="n">
        <v>250</v>
      </c>
      <c r="Z1546" t="n">
        <v>238</v>
      </c>
      <c r="AA1546" t="n">
        <v>244</v>
      </c>
      <c r="AB1546" t="n">
        <v>5</v>
      </c>
      <c r="AC1546" t="n">
        <v>5</v>
      </c>
      <c r="AD1546" t="n">
        <v>8</v>
      </c>
      <c r="AE1546" t="n">
        <v>8</v>
      </c>
      <c r="AF1546" t="n">
        <v>2</v>
      </c>
      <c r="AG1546" t="n">
        <v>2</v>
      </c>
      <c r="AH1546" t="n">
        <v>1</v>
      </c>
      <c r="AI1546" t="n">
        <v>1</v>
      </c>
      <c r="AJ1546" t="n">
        <v>3</v>
      </c>
      <c r="AK1546" t="n">
        <v>3</v>
      </c>
      <c r="AL1546" t="n">
        <v>3</v>
      </c>
      <c r="AM1546" t="n">
        <v>3</v>
      </c>
      <c r="AN1546" t="n">
        <v>0</v>
      </c>
      <c r="AO1546" t="n">
        <v>0</v>
      </c>
      <c r="AP1546" t="inlineStr">
        <is>
          <t>No</t>
        </is>
      </c>
      <c r="AQ1546" t="inlineStr">
        <is>
          <t>No</t>
        </is>
      </c>
      <c r="AS1546">
        <f>HYPERLINK("https://creighton-primo.hosted.exlibrisgroup.com/primo-explore/search?tab=default_tab&amp;search_scope=EVERYTHING&amp;vid=01CRU&amp;lang=en_US&amp;offset=0&amp;query=any,contains,991003589889702656","Catalog Record")</f>
        <v/>
      </c>
      <c r="AT1546">
        <f>HYPERLINK("http://www.worldcat.org/oclc/42976826","WorldCat Record")</f>
        <v/>
      </c>
      <c r="AU1546" t="inlineStr">
        <is>
          <t>4160960322:eng</t>
        </is>
      </c>
      <c r="AV1546" t="inlineStr">
        <is>
          <t>42976826</t>
        </is>
      </c>
      <c r="AW1546" t="inlineStr">
        <is>
          <t>991003589889702656</t>
        </is>
      </c>
      <c r="AX1546" t="inlineStr">
        <is>
          <t>991003589889702656</t>
        </is>
      </c>
      <c r="AY1546" t="inlineStr">
        <is>
          <t>2255516030002656</t>
        </is>
      </c>
      <c r="AZ1546" t="inlineStr">
        <is>
          <t>BOOK</t>
        </is>
      </c>
      <c r="BB1546" t="inlineStr">
        <is>
          <t>9780786407842</t>
        </is>
      </c>
      <c r="BC1546" t="inlineStr">
        <is>
          <t>32285004381017</t>
        </is>
      </c>
      <c r="BD1546" t="inlineStr">
        <is>
          <t>893598734</t>
        </is>
      </c>
    </row>
    <row r="1547">
      <c r="A1547" t="inlineStr">
        <is>
          <t>No</t>
        </is>
      </c>
      <c r="B1547" t="inlineStr">
        <is>
          <t>GV865.A1 R5 1971</t>
        </is>
      </c>
      <c r="C1547" t="inlineStr">
        <is>
          <t>0                      GV 0865000A  1                  R  5           1971</t>
        </is>
      </c>
      <c r="D1547" t="inlineStr">
        <is>
          <t>The glory of their times : the story of the early days of baseball told by the men who played it / Lawrence S. Ritter ; with a foreword by John K. Hutchens.</t>
        </is>
      </c>
      <c r="F1547" t="inlineStr">
        <is>
          <t>No</t>
        </is>
      </c>
      <c r="G1547" t="inlineStr">
        <is>
          <t>1</t>
        </is>
      </c>
      <c r="H1547" t="inlineStr">
        <is>
          <t>No</t>
        </is>
      </c>
      <c r="I1547" t="inlineStr">
        <is>
          <t>No</t>
        </is>
      </c>
      <c r="J1547" t="inlineStr">
        <is>
          <t>0</t>
        </is>
      </c>
      <c r="K1547" t="inlineStr">
        <is>
          <t>Ritter, Lawrence S.</t>
        </is>
      </c>
      <c r="L1547" t="inlineStr">
        <is>
          <t>New York : Collier Books, 1971, c1966.</t>
        </is>
      </c>
      <c r="M1547" t="inlineStr">
        <is>
          <t>1971</t>
        </is>
      </c>
      <c r="O1547" t="inlineStr">
        <is>
          <t>eng</t>
        </is>
      </c>
      <c r="P1547" t="inlineStr">
        <is>
          <t>nyu</t>
        </is>
      </c>
      <c r="R1547" t="inlineStr">
        <is>
          <t xml:space="preserve">GV </t>
        </is>
      </c>
      <c r="S1547" t="n">
        <v>6</v>
      </c>
      <c r="T1547" t="n">
        <v>6</v>
      </c>
      <c r="U1547" t="inlineStr">
        <is>
          <t>2004-09-03</t>
        </is>
      </c>
      <c r="V1547" t="inlineStr">
        <is>
          <t>2004-09-03</t>
        </is>
      </c>
      <c r="W1547" t="inlineStr">
        <is>
          <t>1990-03-29</t>
        </is>
      </c>
      <c r="X1547" t="inlineStr">
        <is>
          <t>1990-03-29</t>
        </is>
      </c>
      <c r="Y1547" t="n">
        <v>40</v>
      </c>
      <c r="Z1547" t="n">
        <v>37</v>
      </c>
      <c r="AA1547" t="n">
        <v>1572</v>
      </c>
      <c r="AB1547" t="n">
        <v>1</v>
      </c>
      <c r="AC1547" t="n">
        <v>15</v>
      </c>
      <c r="AD1547" t="n">
        <v>1</v>
      </c>
      <c r="AE1547" t="n">
        <v>30</v>
      </c>
      <c r="AF1547" t="n">
        <v>0</v>
      </c>
      <c r="AG1547" t="n">
        <v>11</v>
      </c>
      <c r="AH1547" t="n">
        <v>0</v>
      </c>
      <c r="AI1547" t="n">
        <v>6</v>
      </c>
      <c r="AJ1547" t="n">
        <v>1</v>
      </c>
      <c r="AK1547" t="n">
        <v>13</v>
      </c>
      <c r="AL1547" t="n">
        <v>0</v>
      </c>
      <c r="AM1547" t="n">
        <v>7</v>
      </c>
      <c r="AN1547" t="n">
        <v>0</v>
      </c>
      <c r="AO1547" t="n">
        <v>0</v>
      </c>
      <c r="AP1547" t="inlineStr">
        <is>
          <t>No</t>
        </is>
      </c>
      <c r="AQ1547" t="inlineStr">
        <is>
          <t>No</t>
        </is>
      </c>
      <c r="AS1547">
        <f>HYPERLINK("https://creighton-primo.hosted.exlibrisgroup.com/primo-explore/search?tab=default_tab&amp;search_scope=EVERYTHING&amp;vid=01CRU&amp;lang=en_US&amp;offset=0&amp;query=any,contains,991003943209702656","Catalog Record")</f>
        <v/>
      </c>
      <c r="AT1547">
        <f>HYPERLINK("http://www.worldcat.org/oclc/1938490","WorldCat Record")</f>
        <v/>
      </c>
      <c r="AU1547" t="inlineStr">
        <is>
          <t>913191034:eng</t>
        </is>
      </c>
      <c r="AV1547" t="inlineStr">
        <is>
          <t>1938490</t>
        </is>
      </c>
      <c r="AW1547" t="inlineStr">
        <is>
          <t>991003943209702656</t>
        </is>
      </c>
      <c r="AX1547" t="inlineStr">
        <is>
          <t>991003943209702656</t>
        </is>
      </c>
      <c r="AY1547" t="inlineStr">
        <is>
          <t>2260452690002656</t>
        </is>
      </c>
      <c r="AZ1547" t="inlineStr">
        <is>
          <t>BOOK</t>
        </is>
      </c>
      <c r="BC1547" t="inlineStr">
        <is>
          <t>32285004803242</t>
        </is>
      </c>
      <c r="BD1547" t="inlineStr">
        <is>
          <t>893904629</t>
        </is>
      </c>
    </row>
    <row r="1548">
      <c r="A1548" t="inlineStr">
        <is>
          <t>No</t>
        </is>
      </c>
      <c r="B1548" t="inlineStr">
        <is>
          <t>GV865.A1 V56 2006</t>
        </is>
      </c>
      <c r="C1548" t="inlineStr">
        <is>
          <t>0                      GV 0865000A  1                  V  56          2006</t>
        </is>
      </c>
      <c r="D1548" t="inlineStr">
        <is>
          <t>The only game in town : baseball stars of the 1930s and 1940s talk about the game they loved / Fay Vincent.</t>
        </is>
      </c>
      <c r="F1548" t="inlineStr">
        <is>
          <t>No</t>
        </is>
      </c>
      <c r="G1548" t="inlineStr">
        <is>
          <t>1</t>
        </is>
      </c>
      <c r="H1548" t="inlineStr">
        <is>
          <t>No</t>
        </is>
      </c>
      <c r="I1548" t="inlineStr">
        <is>
          <t>No</t>
        </is>
      </c>
      <c r="J1548" t="inlineStr">
        <is>
          <t>0</t>
        </is>
      </c>
      <c r="K1548" t="inlineStr">
        <is>
          <t>Vincent, Fay.</t>
        </is>
      </c>
      <c r="L1548" t="inlineStr">
        <is>
          <t>New York : Simon &amp; Schuster, c2006.</t>
        </is>
      </c>
      <c r="M1548" t="inlineStr">
        <is>
          <t>2006</t>
        </is>
      </c>
      <c r="O1548" t="inlineStr">
        <is>
          <t>eng</t>
        </is>
      </c>
      <c r="P1548" t="inlineStr">
        <is>
          <t>nyu</t>
        </is>
      </c>
      <c r="Q1548" t="inlineStr">
        <is>
          <t>The baseball oral history project ; v. 1</t>
        </is>
      </c>
      <c r="R1548" t="inlineStr">
        <is>
          <t xml:space="preserve">GV </t>
        </is>
      </c>
      <c r="S1548" t="n">
        <v>5</v>
      </c>
      <c r="T1548" t="n">
        <v>5</v>
      </c>
      <c r="U1548" t="inlineStr">
        <is>
          <t>2009-11-30</t>
        </is>
      </c>
      <c r="V1548" t="inlineStr">
        <is>
          <t>2009-11-30</t>
        </is>
      </c>
      <c r="W1548" t="inlineStr">
        <is>
          <t>2006-05-16</t>
        </is>
      </c>
      <c r="X1548" t="inlineStr">
        <is>
          <t>2006-05-16</t>
        </is>
      </c>
      <c r="Y1548" t="n">
        <v>570</v>
      </c>
      <c r="Z1548" t="n">
        <v>558</v>
      </c>
      <c r="AA1548" t="n">
        <v>597</v>
      </c>
      <c r="AB1548" t="n">
        <v>6</v>
      </c>
      <c r="AC1548" t="n">
        <v>6</v>
      </c>
      <c r="AD1548" t="n">
        <v>6</v>
      </c>
      <c r="AE1548" t="n">
        <v>7</v>
      </c>
      <c r="AF1548" t="n">
        <v>2</v>
      </c>
      <c r="AG1548" t="n">
        <v>3</v>
      </c>
      <c r="AH1548" t="n">
        <v>1</v>
      </c>
      <c r="AI1548" t="n">
        <v>1</v>
      </c>
      <c r="AJ1548" t="n">
        <v>1</v>
      </c>
      <c r="AK1548" t="n">
        <v>2</v>
      </c>
      <c r="AL1548" t="n">
        <v>2</v>
      </c>
      <c r="AM1548" t="n">
        <v>2</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HYPERLINK("https://creighton-primo.hosted.exlibrisgroup.com/primo-explore/search?tab=default_tab&amp;search_scope=EVERYTHING&amp;vid=01CRU&amp;lang=en_US&amp;offset=0&amp;query=any,contains,991004814249702656","Catalog Record")</f>
        <v/>
      </c>
      <c r="AT1548">
        <f>HYPERLINK("http://www.worldcat.org/oclc/64336284","WorldCat Record")</f>
        <v/>
      </c>
      <c r="AU1548" t="inlineStr">
        <is>
          <t>836629677:eng</t>
        </is>
      </c>
      <c r="AV1548" t="inlineStr">
        <is>
          <t>64336284</t>
        </is>
      </c>
      <c r="AW1548" t="inlineStr">
        <is>
          <t>991004814249702656</t>
        </is>
      </c>
      <c r="AX1548" t="inlineStr">
        <is>
          <t>991004814249702656</t>
        </is>
      </c>
      <c r="AY1548" t="inlineStr">
        <is>
          <t>2255206040002656</t>
        </is>
      </c>
      <c r="AZ1548" t="inlineStr">
        <is>
          <t>BOOK</t>
        </is>
      </c>
      <c r="BB1548" t="inlineStr">
        <is>
          <t>9780743273176</t>
        </is>
      </c>
      <c r="BC1548" t="inlineStr">
        <is>
          <t>32285005186944</t>
        </is>
      </c>
      <c r="BD1548" t="inlineStr">
        <is>
          <t>893625139</t>
        </is>
      </c>
    </row>
    <row r="1549">
      <c r="A1549" t="inlineStr">
        <is>
          <t>No</t>
        </is>
      </c>
      <c r="B1549" t="inlineStr">
        <is>
          <t>GV865.B69 A3 1970</t>
        </is>
      </c>
      <c r="C1549" t="inlineStr">
        <is>
          <t>0                      GV 0865000B  69                 A  3           1970</t>
        </is>
      </c>
      <c r="D1549" t="inlineStr">
        <is>
          <t>Ball four : my life and hard times throwing the knuckleball in the Big Leagues / edited by Leonard Shecter.</t>
        </is>
      </c>
      <c r="F1549" t="inlineStr">
        <is>
          <t>No</t>
        </is>
      </c>
      <c r="G1549" t="inlineStr">
        <is>
          <t>1</t>
        </is>
      </c>
      <c r="H1549" t="inlineStr">
        <is>
          <t>No</t>
        </is>
      </c>
      <c r="I1549" t="inlineStr">
        <is>
          <t>No</t>
        </is>
      </c>
      <c r="J1549" t="inlineStr">
        <is>
          <t>0</t>
        </is>
      </c>
      <c r="K1549" t="inlineStr">
        <is>
          <t>Bouton, Jim.</t>
        </is>
      </c>
      <c r="L1549" t="inlineStr">
        <is>
          <t>New York : World Pub. Co., [1970]</t>
        </is>
      </c>
      <c r="M1549" t="inlineStr">
        <is>
          <t>1970</t>
        </is>
      </c>
      <c r="O1549" t="inlineStr">
        <is>
          <t>eng</t>
        </is>
      </c>
      <c r="P1549" t="inlineStr">
        <is>
          <t>nyu</t>
        </is>
      </c>
      <c r="R1549" t="inlineStr">
        <is>
          <t xml:space="preserve">GV </t>
        </is>
      </c>
      <c r="S1549" t="n">
        <v>2</v>
      </c>
      <c r="T1549" t="n">
        <v>2</v>
      </c>
      <c r="U1549" t="inlineStr">
        <is>
          <t>2004-05-06</t>
        </is>
      </c>
      <c r="V1549" t="inlineStr">
        <is>
          <t>2004-05-06</t>
        </is>
      </c>
      <c r="W1549" t="inlineStr">
        <is>
          <t>1991-12-05</t>
        </is>
      </c>
      <c r="X1549" t="inlineStr">
        <is>
          <t>1991-12-05</t>
        </is>
      </c>
      <c r="Y1549" t="n">
        <v>811</v>
      </c>
      <c r="Z1549" t="n">
        <v>801</v>
      </c>
      <c r="AA1549" t="n">
        <v>902</v>
      </c>
      <c r="AB1549" t="n">
        <v>7</v>
      </c>
      <c r="AC1549" t="n">
        <v>8</v>
      </c>
      <c r="AD1549" t="n">
        <v>11</v>
      </c>
      <c r="AE1549" t="n">
        <v>14</v>
      </c>
      <c r="AF1549" t="n">
        <v>4</v>
      </c>
      <c r="AG1549" t="n">
        <v>6</v>
      </c>
      <c r="AH1549" t="n">
        <v>2</v>
      </c>
      <c r="AI1549" t="n">
        <v>2</v>
      </c>
      <c r="AJ1549" t="n">
        <v>5</v>
      </c>
      <c r="AK1549" t="n">
        <v>5</v>
      </c>
      <c r="AL1549" t="n">
        <v>2</v>
      </c>
      <c r="AM1549" t="n">
        <v>3</v>
      </c>
      <c r="AN1549" t="n">
        <v>0</v>
      </c>
      <c r="AO1549" t="n">
        <v>0</v>
      </c>
      <c r="AP1549" t="inlineStr">
        <is>
          <t>No</t>
        </is>
      </c>
      <c r="AQ1549" t="inlineStr">
        <is>
          <t>No</t>
        </is>
      </c>
      <c r="AS1549">
        <f>HYPERLINK("https://creighton-primo.hosted.exlibrisgroup.com/primo-explore/search?tab=default_tab&amp;search_scope=EVERYTHING&amp;vid=01CRU&amp;lang=en_US&amp;offset=0&amp;query=any,contains,991000584619702656","Catalog Record")</f>
        <v/>
      </c>
      <c r="AT1549">
        <f>HYPERLINK("http://www.worldcat.org/oclc/95915","WorldCat Record")</f>
        <v/>
      </c>
      <c r="AU1549" t="inlineStr">
        <is>
          <t>480194:eng</t>
        </is>
      </c>
      <c r="AV1549" t="inlineStr">
        <is>
          <t>95915</t>
        </is>
      </c>
      <c r="AW1549" t="inlineStr">
        <is>
          <t>991000584619702656</t>
        </is>
      </c>
      <c r="AX1549" t="inlineStr">
        <is>
          <t>991000584619702656</t>
        </is>
      </c>
      <c r="AY1549" t="inlineStr">
        <is>
          <t>2272415200002656</t>
        </is>
      </c>
      <c r="AZ1549" t="inlineStr">
        <is>
          <t>BOOK</t>
        </is>
      </c>
      <c r="BC1549" t="inlineStr">
        <is>
          <t>32285000847367</t>
        </is>
      </c>
      <c r="BD1549" t="inlineStr">
        <is>
          <t>893339691</t>
        </is>
      </c>
    </row>
    <row r="1550">
      <c r="A1550" t="inlineStr">
        <is>
          <t>No</t>
        </is>
      </c>
      <c r="B1550" t="inlineStr">
        <is>
          <t>GV865.C434 D49 2004</t>
        </is>
      </c>
      <c r="C1550" t="inlineStr">
        <is>
          <t>0                      GV 0865000C  434                D  49          2004</t>
        </is>
      </c>
      <c r="D1550" t="inlineStr">
        <is>
          <t>The black prince of baseball : Hal Chase and the mythology of baseball / Donald Dewey and Nicholas Acocella.</t>
        </is>
      </c>
      <c r="F1550" t="inlineStr">
        <is>
          <t>No</t>
        </is>
      </c>
      <c r="G1550" t="inlineStr">
        <is>
          <t>1</t>
        </is>
      </c>
      <c r="H1550" t="inlineStr">
        <is>
          <t>No</t>
        </is>
      </c>
      <c r="I1550" t="inlineStr">
        <is>
          <t>No</t>
        </is>
      </c>
      <c r="J1550" t="inlineStr">
        <is>
          <t>0</t>
        </is>
      </c>
      <c r="K1550" t="inlineStr">
        <is>
          <t>Dewey, Donald, 1940-</t>
        </is>
      </c>
      <c r="L1550" t="inlineStr">
        <is>
          <t>Wilmington, Del. : Sport Classic Books, c2004.</t>
        </is>
      </c>
      <c r="M1550" t="inlineStr">
        <is>
          <t>2004</t>
        </is>
      </c>
      <c r="O1550" t="inlineStr">
        <is>
          <t>eng</t>
        </is>
      </c>
      <c r="P1550" t="inlineStr">
        <is>
          <t>deu</t>
        </is>
      </c>
      <c r="R1550" t="inlineStr">
        <is>
          <t xml:space="preserve">GV </t>
        </is>
      </c>
      <c r="S1550" t="n">
        <v>1</v>
      </c>
      <c r="T1550" t="n">
        <v>1</v>
      </c>
      <c r="U1550" t="inlineStr">
        <is>
          <t>2006-09-07</t>
        </is>
      </c>
      <c r="V1550" t="inlineStr">
        <is>
          <t>2006-09-07</t>
        </is>
      </c>
      <c r="W1550" t="inlineStr">
        <is>
          <t>2006-09-07</t>
        </is>
      </c>
      <c r="X1550" t="inlineStr">
        <is>
          <t>2006-09-07</t>
        </is>
      </c>
      <c r="Y1550" t="n">
        <v>73</v>
      </c>
      <c r="Z1550" t="n">
        <v>73</v>
      </c>
      <c r="AA1550" t="n">
        <v>80</v>
      </c>
      <c r="AB1550" t="n">
        <v>1</v>
      </c>
      <c r="AC1550" t="n">
        <v>1</v>
      </c>
      <c r="AD1550" t="n">
        <v>4</v>
      </c>
      <c r="AE1550" t="n">
        <v>4</v>
      </c>
      <c r="AF1550" t="n">
        <v>1</v>
      </c>
      <c r="AG1550" t="n">
        <v>1</v>
      </c>
      <c r="AH1550" t="n">
        <v>1</v>
      </c>
      <c r="AI1550" t="n">
        <v>1</v>
      </c>
      <c r="AJ1550" t="n">
        <v>3</v>
      </c>
      <c r="AK1550" t="n">
        <v>3</v>
      </c>
      <c r="AL1550" t="n">
        <v>0</v>
      </c>
      <c r="AM1550" t="n">
        <v>0</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HYPERLINK("https://creighton-primo.hosted.exlibrisgroup.com/primo-explore/search?tab=default_tab&amp;search_scope=EVERYTHING&amp;vid=01CRU&amp;lang=en_US&amp;offset=0&amp;query=any,contains,991004915689702656","Catalog Record")</f>
        <v/>
      </c>
      <c r="AT1550">
        <f>HYPERLINK("http://www.worldcat.org/oclc/54503775","WorldCat Record")</f>
        <v/>
      </c>
      <c r="AU1550" t="inlineStr">
        <is>
          <t>12558973:eng</t>
        </is>
      </c>
      <c r="AV1550" t="inlineStr">
        <is>
          <t>54503775</t>
        </is>
      </c>
      <c r="AW1550" t="inlineStr">
        <is>
          <t>991004915689702656</t>
        </is>
      </c>
      <c r="AX1550" t="inlineStr">
        <is>
          <t>991004915689702656</t>
        </is>
      </c>
      <c r="AY1550" t="inlineStr">
        <is>
          <t>2266081500002656</t>
        </is>
      </c>
      <c r="AZ1550" t="inlineStr">
        <is>
          <t>BOOK</t>
        </is>
      </c>
      <c r="BB1550" t="inlineStr">
        <is>
          <t>9781894963299</t>
        </is>
      </c>
      <c r="BC1550" t="inlineStr">
        <is>
          <t>32285005222368</t>
        </is>
      </c>
      <c r="BD1550" t="inlineStr">
        <is>
          <t>893810752</t>
        </is>
      </c>
    </row>
    <row r="1551">
      <c r="A1551" t="inlineStr">
        <is>
          <t>No</t>
        </is>
      </c>
      <c r="B1551" t="inlineStr">
        <is>
          <t>GV865.C6 S78 1994</t>
        </is>
      </c>
      <c r="C1551" t="inlineStr">
        <is>
          <t>0                      GV 0865000C  6                  S  78          1994</t>
        </is>
      </c>
      <c r="D1551" t="inlineStr">
        <is>
          <t>Cobb : a biography / by Al Stump ; with a foreword by Jimmie Reese.</t>
        </is>
      </c>
      <c r="F1551" t="inlineStr">
        <is>
          <t>No</t>
        </is>
      </c>
      <c r="G1551" t="inlineStr">
        <is>
          <t>1</t>
        </is>
      </c>
      <c r="H1551" t="inlineStr">
        <is>
          <t>No</t>
        </is>
      </c>
      <c r="I1551" t="inlineStr">
        <is>
          <t>No</t>
        </is>
      </c>
      <c r="J1551" t="inlineStr">
        <is>
          <t>0</t>
        </is>
      </c>
      <c r="K1551" t="inlineStr">
        <is>
          <t>Stump, Al.</t>
        </is>
      </c>
      <c r="L1551" t="inlineStr">
        <is>
          <t>Chapel Hill, N.C. : Algonquin Books of Chapel Hill, 1994.</t>
        </is>
      </c>
      <c r="M1551" t="inlineStr">
        <is>
          <t>1994</t>
        </is>
      </c>
      <c r="N1551" t="inlineStr">
        <is>
          <t>1st ed.</t>
        </is>
      </c>
      <c r="O1551" t="inlineStr">
        <is>
          <t>eng</t>
        </is>
      </c>
      <c r="P1551" t="inlineStr">
        <is>
          <t>ncu</t>
        </is>
      </c>
      <c r="R1551" t="inlineStr">
        <is>
          <t xml:space="preserve">GV </t>
        </is>
      </c>
      <c r="S1551" t="n">
        <v>8</v>
      </c>
      <c r="T1551" t="n">
        <v>8</v>
      </c>
      <c r="U1551" t="inlineStr">
        <is>
          <t>1999-08-04</t>
        </is>
      </c>
      <c r="V1551" t="inlineStr">
        <is>
          <t>1999-08-04</t>
        </is>
      </c>
      <c r="W1551" t="inlineStr">
        <is>
          <t>1995-01-14</t>
        </is>
      </c>
      <c r="X1551" t="inlineStr">
        <is>
          <t>1995-01-14</t>
        </is>
      </c>
      <c r="Y1551" t="n">
        <v>1173</v>
      </c>
      <c r="Z1551" t="n">
        <v>1140</v>
      </c>
      <c r="AA1551" t="n">
        <v>1348</v>
      </c>
      <c r="AB1551" t="n">
        <v>10</v>
      </c>
      <c r="AC1551" t="n">
        <v>13</v>
      </c>
      <c r="AD1551" t="n">
        <v>22</v>
      </c>
      <c r="AE1551" t="n">
        <v>24</v>
      </c>
      <c r="AF1551" t="n">
        <v>8</v>
      </c>
      <c r="AG1551" t="n">
        <v>9</v>
      </c>
      <c r="AH1551" t="n">
        <v>5</v>
      </c>
      <c r="AI1551" t="n">
        <v>6</v>
      </c>
      <c r="AJ1551" t="n">
        <v>10</v>
      </c>
      <c r="AK1551" t="n">
        <v>11</v>
      </c>
      <c r="AL1551" t="n">
        <v>4</v>
      </c>
      <c r="AM1551" t="n">
        <v>4</v>
      </c>
      <c r="AN1551" t="n">
        <v>0</v>
      </c>
      <c r="AO1551" t="n">
        <v>0</v>
      </c>
      <c r="AP1551" t="inlineStr">
        <is>
          <t>No</t>
        </is>
      </c>
      <c r="AQ1551" t="inlineStr">
        <is>
          <t>Yes</t>
        </is>
      </c>
      <c r="AR1551">
        <f>HYPERLINK("http://catalog.hathitrust.org/Record/007051779","HathiTrust Record")</f>
        <v/>
      </c>
      <c r="AS1551">
        <f>HYPERLINK("https://creighton-primo.hosted.exlibrisgroup.com/primo-explore/search?tab=default_tab&amp;search_scope=EVERYTHING&amp;vid=01CRU&amp;lang=en_US&amp;offset=0&amp;query=any,contains,991002357559702656","Catalog Record")</f>
        <v/>
      </c>
      <c r="AT1551">
        <f>HYPERLINK("http://www.worldcat.org/oclc/30667926","WorldCat Record")</f>
        <v/>
      </c>
      <c r="AU1551" t="inlineStr">
        <is>
          <t>32766011:eng</t>
        </is>
      </c>
      <c r="AV1551" t="inlineStr">
        <is>
          <t>30667926</t>
        </is>
      </c>
      <c r="AW1551" t="inlineStr">
        <is>
          <t>991002357559702656</t>
        </is>
      </c>
      <c r="AX1551" t="inlineStr">
        <is>
          <t>991002357559702656</t>
        </is>
      </c>
      <c r="AY1551" t="inlineStr">
        <is>
          <t>2268054760002656</t>
        </is>
      </c>
      <c r="AZ1551" t="inlineStr">
        <is>
          <t>BOOK</t>
        </is>
      </c>
      <c r="BB1551" t="inlineStr">
        <is>
          <t>9780945575641</t>
        </is>
      </c>
      <c r="BC1551" t="inlineStr">
        <is>
          <t>32285001992519</t>
        </is>
      </c>
      <c r="BD1551" t="inlineStr">
        <is>
          <t>893809441</t>
        </is>
      </c>
    </row>
    <row r="1552">
      <c r="A1552" t="inlineStr">
        <is>
          <t>No</t>
        </is>
      </c>
      <c r="B1552" t="inlineStr">
        <is>
          <t>GV865.D45 S69 1992</t>
        </is>
      </c>
      <c r="C1552" t="inlineStr">
        <is>
          <t>0                      GV 0865000D  45                 S  69          1992</t>
        </is>
      </c>
      <c r="D1552" t="inlineStr">
        <is>
          <t>July 2, 1903 : the mysterious death of Hall-of-Famer Big Ed Delahanty / Mike Sowell.</t>
        </is>
      </c>
      <c r="F1552" t="inlineStr">
        <is>
          <t>No</t>
        </is>
      </c>
      <c r="G1552" t="inlineStr">
        <is>
          <t>1</t>
        </is>
      </c>
      <c r="H1552" t="inlineStr">
        <is>
          <t>No</t>
        </is>
      </c>
      <c r="I1552" t="inlineStr">
        <is>
          <t>No</t>
        </is>
      </c>
      <c r="J1552" t="inlineStr">
        <is>
          <t>0</t>
        </is>
      </c>
      <c r="K1552" t="inlineStr">
        <is>
          <t>Sowell, Mike.</t>
        </is>
      </c>
      <c r="L1552" t="inlineStr">
        <is>
          <t>New York : Macmillan ; Toronto : Maxwell Macmillan Canada ; New York : Maxwell Macmillan International, c1992.</t>
        </is>
      </c>
      <c r="M1552" t="inlineStr">
        <is>
          <t>1992</t>
        </is>
      </c>
      <c r="O1552" t="inlineStr">
        <is>
          <t>eng</t>
        </is>
      </c>
      <c r="P1552" t="inlineStr">
        <is>
          <t>nyu</t>
        </is>
      </c>
      <c r="R1552" t="inlineStr">
        <is>
          <t xml:space="preserve">GV </t>
        </is>
      </c>
      <c r="S1552" t="n">
        <v>1</v>
      </c>
      <c r="T1552" t="n">
        <v>1</v>
      </c>
      <c r="U1552" t="inlineStr">
        <is>
          <t>2010-06-10</t>
        </is>
      </c>
      <c r="V1552" t="inlineStr">
        <is>
          <t>2010-06-10</t>
        </is>
      </c>
      <c r="W1552" t="inlineStr">
        <is>
          <t>2010-06-10</t>
        </is>
      </c>
      <c r="X1552" t="inlineStr">
        <is>
          <t>2010-06-10</t>
        </is>
      </c>
      <c r="Y1552" t="n">
        <v>167</v>
      </c>
      <c r="Z1552" t="n">
        <v>164</v>
      </c>
      <c r="AA1552" t="n">
        <v>166</v>
      </c>
      <c r="AB1552" t="n">
        <v>1</v>
      </c>
      <c r="AC1552" t="n">
        <v>1</v>
      </c>
      <c r="AD1552" t="n">
        <v>2</v>
      </c>
      <c r="AE1552" t="n">
        <v>2</v>
      </c>
      <c r="AF1552" t="n">
        <v>1</v>
      </c>
      <c r="AG1552" t="n">
        <v>1</v>
      </c>
      <c r="AH1552" t="n">
        <v>1</v>
      </c>
      <c r="AI1552" t="n">
        <v>1</v>
      </c>
      <c r="AJ1552" t="n">
        <v>0</v>
      </c>
      <c r="AK1552" t="n">
        <v>0</v>
      </c>
      <c r="AL1552" t="n">
        <v>0</v>
      </c>
      <c r="AM1552" t="n">
        <v>0</v>
      </c>
      <c r="AN1552" t="n">
        <v>0</v>
      </c>
      <c r="AO1552" t="n">
        <v>0</v>
      </c>
      <c r="AP1552" t="inlineStr">
        <is>
          <t>No</t>
        </is>
      </c>
      <c r="AQ1552" t="inlineStr">
        <is>
          <t>Yes</t>
        </is>
      </c>
      <c r="AR1552">
        <f>HYPERLINK("http://catalog.hathitrust.org/Record/004516515","HathiTrust Record")</f>
        <v/>
      </c>
      <c r="AS1552">
        <f>HYPERLINK("https://creighton-primo.hosted.exlibrisgroup.com/primo-explore/search?tab=default_tab&amp;search_scope=EVERYTHING&amp;vid=01CRU&amp;lang=en_US&amp;offset=0&amp;query=any,contains,991000008149702656","Catalog Record")</f>
        <v/>
      </c>
      <c r="AT1552">
        <f>HYPERLINK("http://www.worldcat.org/oclc/24630899","WorldCat Record")</f>
        <v/>
      </c>
      <c r="AU1552" t="inlineStr">
        <is>
          <t>27106345:eng</t>
        </is>
      </c>
      <c r="AV1552" t="inlineStr">
        <is>
          <t>24630899</t>
        </is>
      </c>
      <c r="AW1552" t="inlineStr">
        <is>
          <t>991000008149702656</t>
        </is>
      </c>
      <c r="AX1552" t="inlineStr">
        <is>
          <t>991000008149702656</t>
        </is>
      </c>
      <c r="AY1552" t="inlineStr">
        <is>
          <t>2266968430002656</t>
        </is>
      </c>
      <c r="AZ1552" t="inlineStr">
        <is>
          <t>BOOK</t>
        </is>
      </c>
      <c r="BB1552" t="inlineStr">
        <is>
          <t>9780026124157</t>
        </is>
      </c>
      <c r="BC1552" t="inlineStr">
        <is>
          <t>32285005587836</t>
        </is>
      </c>
      <c r="BD1552" t="inlineStr">
        <is>
          <t>893345302</t>
        </is>
      </c>
    </row>
    <row r="1553">
      <c r="A1553" t="inlineStr">
        <is>
          <t>No</t>
        </is>
      </c>
      <c r="B1553" t="inlineStr">
        <is>
          <t>GV865.D5 C73 2000</t>
        </is>
      </c>
      <c r="C1553" t="inlineStr">
        <is>
          <t>0                      GV 0865000D  5                  C  73          2000</t>
        </is>
      </c>
      <c r="D1553" t="inlineStr">
        <is>
          <t>Joe DiMaggio : the hero's life / Richard Ben Cramer.</t>
        </is>
      </c>
      <c r="F1553" t="inlineStr">
        <is>
          <t>No</t>
        </is>
      </c>
      <c r="G1553" t="inlineStr">
        <is>
          <t>1</t>
        </is>
      </c>
      <c r="H1553" t="inlineStr">
        <is>
          <t>No</t>
        </is>
      </c>
      <c r="I1553" t="inlineStr">
        <is>
          <t>No</t>
        </is>
      </c>
      <c r="J1553" t="inlineStr">
        <is>
          <t>0</t>
        </is>
      </c>
      <c r="K1553" t="inlineStr">
        <is>
          <t>Cramer, Richard Ben.</t>
        </is>
      </c>
      <c r="L1553" t="inlineStr">
        <is>
          <t>New York : Simon &amp; Schuster, c2000.</t>
        </is>
      </c>
      <c r="M1553" t="inlineStr">
        <is>
          <t>2000</t>
        </is>
      </c>
      <c r="O1553" t="inlineStr">
        <is>
          <t>eng</t>
        </is>
      </c>
      <c r="P1553" t="inlineStr">
        <is>
          <t>nyu</t>
        </is>
      </c>
      <c r="R1553" t="inlineStr">
        <is>
          <t xml:space="preserve">GV </t>
        </is>
      </c>
      <c r="S1553" t="n">
        <v>3</v>
      </c>
      <c r="T1553" t="n">
        <v>3</v>
      </c>
      <c r="U1553" t="inlineStr">
        <is>
          <t>2010-06-13</t>
        </is>
      </c>
      <c r="V1553" t="inlineStr">
        <is>
          <t>2010-06-13</t>
        </is>
      </c>
      <c r="W1553" t="inlineStr">
        <is>
          <t>2001-01-09</t>
        </is>
      </c>
      <c r="X1553" t="inlineStr">
        <is>
          <t>2001-01-09</t>
        </is>
      </c>
      <c r="Y1553" t="n">
        <v>1874</v>
      </c>
      <c r="Z1553" t="n">
        <v>1797</v>
      </c>
      <c r="AA1553" t="n">
        <v>1991</v>
      </c>
      <c r="AB1553" t="n">
        <v>15</v>
      </c>
      <c r="AC1553" t="n">
        <v>20</v>
      </c>
      <c r="AD1553" t="n">
        <v>25</v>
      </c>
      <c r="AE1553" t="n">
        <v>31</v>
      </c>
      <c r="AF1553" t="n">
        <v>14</v>
      </c>
      <c r="AG1553" t="n">
        <v>16</v>
      </c>
      <c r="AH1553" t="n">
        <v>3</v>
      </c>
      <c r="AI1553" t="n">
        <v>5</v>
      </c>
      <c r="AJ1553" t="n">
        <v>11</v>
      </c>
      <c r="AK1553" t="n">
        <v>13</v>
      </c>
      <c r="AL1553" t="n">
        <v>3</v>
      </c>
      <c r="AM1553" t="n">
        <v>5</v>
      </c>
      <c r="AN1553" t="n">
        <v>0</v>
      </c>
      <c r="AO1553" t="n">
        <v>0</v>
      </c>
      <c r="AP1553" t="inlineStr">
        <is>
          <t>No</t>
        </is>
      </c>
      <c r="AQ1553" t="inlineStr">
        <is>
          <t>Yes</t>
        </is>
      </c>
      <c r="AR1553">
        <f>HYPERLINK("http://catalog.hathitrust.org/Record/004144263","HathiTrust Record")</f>
        <v/>
      </c>
      <c r="AS1553">
        <f>HYPERLINK("https://creighton-primo.hosted.exlibrisgroup.com/primo-explore/search?tab=default_tab&amp;search_scope=EVERYTHING&amp;vid=01CRU&amp;lang=en_US&amp;offset=0&amp;query=any,contains,991003360589702656","Catalog Record")</f>
        <v/>
      </c>
      <c r="AT1553">
        <f>HYPERLINK("http://www.worldcat.org/oclc/45093691","WorldCat Record")</f>
        <v/>
      </c>
      <c r="AU1553" t="inlineStr">
        <is>
          <t>392027456:eng</t>
        </is>
      </c>
      <c r="AV1553" t="inlineStr">
        <is>
          <t>45093691</t>
        </is>
      </c>
      <c r="AW1553" t="inlineStr">
        <is>
          <t>991003360589702656</t>
        </is>
      </c>
      <c r="AX1553" t="inlineStr">
        <is>
          <t>991003360589702656</t>
        </is>
      </c>
      <c r="AY1553" t="inlineStr">
        <is>
          <t>2260915810002656</t>
        </is>
      </c>
      <c r="AZ1553" t="inlineStr">
        <is>
          <t>BOOK</t>
        </is>
      </c>
      <c r="BB1553" t="inlineStr">
        <is>
          <t>9780684853918</t>
        </is>
      </c>
      <c r="BC1553" t="inlineStr">
        <is>
          <t>32285004281209</t>
        </is>
      </c>
      <c r="BD1553" t="inlineStr">
        <is>
          <t>893342495</t>
        </is>
      </c>
    </row>
    <row r="1554">
      <c r="A1554" t="inlineStr">
        <is>
          <t>No</t>
        </is>
      </c>
      <c r="B1554" t="inlineStr">
        <is>
          <t>GV865.D5 D87 1995</t>
        </is>
      </c>
      <c r="C1554" t="inlineStr">
        <is>
          <t>0                      GV 0865000D  5                  D  87          1995</t>
        </is>
      </c>
      <c r="D1554" t="inlineStr">
        <is>
          <t>DiMaggio : the last American knight / Joseph Durso.</t>
        </is>
      </c>
      <c r="F1554" t="inlineStr">
        <is>
          <t>No</t>
        </is>
      </c>
      <c r="G1554" t="inlineStr">
        <is>
          <t>1</t>
        </is>
      </c>
      <c r="H1554" t="inlineStr">
        <is>
          <t>No</t>
        </is>
      </c>
      <c r="I1554" t="inlineStr">
        <is>
          <t>No</t>
        </is>
      </c>
      <c r="J1554" t="inlineStr">
        <is>
          <t>0</t>
        </is>
      </c>
      <c r="K1554" t="inlineStr">
        <is>
          <t>Durso, Joseph.</t>
        </is>
      </c>
      <c r="L1554" t="inlineStr">
        <is>
          <t>Boston : Little, Brown, c1995.</t>
        </is>
      </c>
      <c r="M1554" t="inlineStr">
        <is>
          <t>1995</t>
        </is>
      </c>
      <c r="N1554" t="inlineStr">
        <is>
          <t>1st ed.</t>
        </is>
      </c>
      <c r="O1554" t="inlineStr">
        <is>
          <t>eng</t>
        </is>
      </c>
      <c r="P1554" t="inlineStr">
        <is>
          <t>mau</t>
        </is>
      </c>
      <c r="R1554" t="inlineStr">
        <is>
          <t xml:space="preserve">GV </t>
        </is>
      </c>
      <c r="S1554" t="n">
        <v>1</v>
      </c>
      <c r="T1554" t="n">
        <v>1</v>
      </c>
      <c r="U1554" t="inlineStr">
        <is>
          <t>2006-11-16</t>
        </is>
      </c>
      <c r="V1554" t="inlineStr">
        <is>
          <t>2006-11-16</t>
        </is>
      </c>
      <c r="W1554" t="inlineStr">
        <is>
          <t>2006-11-16</t>
        </is>
      </c>
      <c r="X1554" t="inlineStr">
        <is>
          <t>2006-11-16</t>
        </is>
      </c>
      <c r="Y1554" t="n">
        <v>592</v>
      </c>
      <c r="Z1554" t="n">
        <v>572</v>
      </c>
      <c r="AA1554" t="n">
        <v>577</v>
      </c>
      <c r="AB1554" t="n">
        <v>5</v>
      </c>
      <c r="AC1554" t="n">
        <v>5</v>
      </c>
      <c r="AD1554" t="n">
        <v>10</v>
      </c>
      <c r="AE1554" t="n">
        <v>10</v>
      </c>
      <c r="AF1554" t="n">
        <v>5</v>
      </c>
      <c r="AG1554" t="n">
        <v>5</v>
      </c>
      <c r="AH1554" t="n">
        <v>2</v>
      </c>
      <c r="AI1554" t="n">
        <v>2</v>
      </c>
      <c r="AJ1554" t="n">
        <v>3</v>
      </c>
      <c r="AK1554" t="n">
        <v>3</v>
      </c>
      <c r="AL1554" t="n">
        <v>1</v>
      </c>
      <c r="AM1554" t="n">
        <v>1</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HYPERLINK("https://creighton-primo.hosted.exlibrisgroup.com/primo-explore/search?tab=default_tab&amp;search_scope=EVERYTHING&amp;vid=01CRU&amp;lang=en_US&amp;offset=0&amp;query=any,contains,991004983739702656","Catalog Record")</f>
        <v/>
      </c>
      <c r="AT1554">
        <f>HYPERLINK("http://www.worldcat.org/oclc/31411044","WorldCat Record")</f>
        <v/>
      </c>
      <c r="AU1554" t="inlineStr">
        <is>
          <t>1151674048:eng</t>
        </is>
      </c>
      <c r="AV1554" t="inlineStr">
        <is>
          <t>31411044</t>
        </is>
      </c>
      <c r="AW1554" t="inlineStr">
        <is>
          <t>991004983739702656</t>
        </is>
      </c>
      <c r="AX1554" t="inlineStr">
        <is>
          <t>991004983739702656</t>
        </is>
      </c>
      <c r="AY1554" t="inlineStr">
        <is>
          <t>2260917190002656</t>
        </is>
      </c>
      <c r="AZ1554" t="inlineStr">
        <is>
          <t>BOOK</t>
        </is>
      </c>
      <c r="BB1554" t="inlineStr">
        <is>
          <t>9780316197304</t>
        </is>
      </c>
      <c r="BC1554" t="inlineStr">
        <is>
          <t>32285005260137</t>
        </is>
      </c>
      <c r="BD1554" t="inlineStr">
        <is>
          <t>893889510</t>
        </is>
      </c>
    </row>
    <row r="1555">
      <c r="A1555" t="inlineStr">
        <is>
          <t>No</t>
        </is>
      </c>
      <c r="B1555" t="inlineStr">
        <is>
          <t>GV865.D5 E53 2003</t>
        </is>
      </c>
      <c r="C1555" t="inlineStr">
        <is>
          <t>0                      GV 0865000D  5                  E  53          2003</t>
        </is>
      </c>
      <c r="D1555" t="inlineStr">
        <is>
          <t>DiMaggio : setting the record straight / Morris Engelberg, Marv Schneider ; foreword by Henry A. Kissinger.</t>
        </is>
      </c>
      <c r="F1555" t="inlineStr">
        <is>
          <t>No</t>
        </is>
      </c>
      <c r="G1555" t="inlineStr">
        <is>
          <t>1</t>
        </is>
      </c>
      <c r="H1555" t="inlineStr">
        <is>
          <t>No</t>
        </is>
      </c>
      <c r="I1555" t="inlineStr">
        <is>
          <t>No</t>
        </is>
      </c>
      <c r="J1555" t="inlineStr">
        <is>
          <t>0</t>
        </is>
      </c>
      <c r="K1555" t="inlineStr">
        <is>
          <t>Engelberg, Morris.</t>
        </is>
      </c>
      <c r="L1555" t="inlineStr">
        <is>
          <t>St. Paul, Minn. : MBI, 2003.</t>
        </is>
      </c>
      <c r="M1555" t="inlineStr">
        <is>
          <t>2003</t>
        </is>
      </c>
      <c r="O1555" t="inlineStr">
        <is>
          <t>eng</t>
        </is>
      </c>
      <c r="P1555" t="inlineStr">
        <is>
          <t>mnu</t>
        </is>
      </c>
      <c r="R1555" t="inlineStr">
        <is>
          <t xml:space="preserve">GV </t>
        </is>
      </c>
      <c r="S1555" t="n">
        <v>1</v>
      </c>
      <c r="T1555" t="n">
        <v>1</v>
      </c>
      <c r="U1555" t="inlineStr">
        <is>
          <t>2005-10-13</t>
        </is>
      </c>
      <c r="V1555" t="inlineStr">
        <is>
          <t>2005-10-13</t>
        </is>
      </c>
      <c r="W1555" t="inlineStr">
        <is>
          <t>2005-10-13</t>
        </is>
      </c>
      <c r="X1555" t="inlineStr">
        <is>
          <t>2005-10-13</t>
        </is>
      </c>
      <c r="Y1555" t="n">
        <v>496</v>
      </c>
      <c r="Z1555" t="n">
        <v>481</v>
      </c>
      <c r="AA1555" t="n">
        <v>499</v>
      </c>
      <c r="AB1555" t="n">
        <v>7</v>
      </c>
      <c r="AC1555" t="n">
        <v>7</v>
      </c>
      <c r="AD1555" t="n">
        <v>6</v>
      </c>
      <c r="AE1555" t="n">
        <v>6</v>
      </c>
      <c r="AF1555" t="n">
        <v>2</v>
      </c>
      <c r="AG1555" t="n">
        <v>2</v>
      </c>
      <c r="AH1555" t="n">
        <v>0</v>
      </c>
      <c r="AI1555" t="n">
        <v>0</v>
      </c>
      <c r="AJ1555" t="n">
        <v>3</v>
      </c>
      <c r="AK1555" t="n">
        <v>3</v>
      </c>
      <c r="AL1555" t="n">
        <v>2</v>
      </c>
      <c r="AM1555" t="n">
        <v>2</v>
      </c>
      <c r="AN1555" t="n">
        <v>0</v>
      </c>
      <c r="AO1555" t="n">
        <v>0</v>
      </c>
      <c r="AP1555" t="inlineStr">
        <is>
          <t>No</t>
        </is>
      </c>
      <c r="AQ1555" t="inlineStr">
        <is>
          <t>No</t>
        </is>
      </c>
      <c r="AS1555">
        <f>HYPERLINK("https://creighton-primo.hosted.exlibrisgroup.com/primo-explore/search?tab=default_tab&amp;search_scope=EVERYTHING&amp;vid=01CRU&amp;lang=en_US&amp;offset=0&amp;query=any,contains,991004678509702656","Catalog Record")</f>
        <v/>
      </c>
      <c r="AT1555">
        <f>HYPERLINK("http://www.worldcat.org/oclc/51557488","WorldCat Record")</f>
        <v/>
      </c>
      <c r="AU1555" t="inlineStr">
        <is>
          <t>838904064:eng</t>
        </is>
      </c>
      <c r="AV1555" t="inlineStr">
        <is>
          <t>51557488</t>
        </is>
      </c>
      <c r="AW1555" t="inlineStr">
        <is>
          <t>991004678509702656</t>
        </is>
      </c>
      <c r="AX1555" t="inlineStr">
        <is>
          <t>991004678509702656</t>
        </is>
      </c>
      <c r="AY1555" t="inlineStr">
        <is>
          <t>2266414120002656</t>
        </is>
      </c>
      <c r="AZ1555" t="inlineStr">
        <is>
          <t>BOOK</t>
        </is>
      </c>
      <c r="BB1555" t="inlineStr">
        <is>
          <t>9780760314821</t>
        </is>
      </c>
      <c r="BC1555" t="inlineStr">
        <is>
          <t>32285005089726</t>
        </is>
      </c>
      <c r="BD1555" t="inlineStr">
        <is>
          <t>893905002</t>
        </is>
      </c>
    </row>
    <row r="1556">
      <c r="A1556" t="inlineStr">
        <is>
          <t>No</t>
        </is>
      </c>
      <c r="B1556" t="inlineStr">
        <is>
          <t>GV865.D5 J66 1999</t>
        </is>
      </c>
      <c r="C1556" t="inlineStr">
        <is>
          <t>0                      GV 0865000D  5                  J  66          1999</t>
        </is>
      </c>
      <c r="D1556" t="inlineStr">
        <is>
          <t>Joltin' Joe DiMaggio / edited by Richard Gilliam.</t>
        </is>
      </c>
      <c r="F1556" t="inlineStr">
        <is>
          <t>No</t>
        </is>
      </c>
      <c r="G1556" t="inlineStr">
        <is>
          <t>1</t>
        </is>
      </c>
      <c r="H1556" t="inlineStr">
        <is>
          <t>No</t>
        </is>
      </c>
      <c r="I1556" t="inlineStr">
        <is>
          <t>No</t>
        </is>
      </c>
      <c r="J1556" t="inlineStr">
        <is>
          <t>0</t>
        </is>
      </c>
      <c r="L1556" t="inlineStr">
        <is>
          <t>New York, NY : Carroll &amp; Graf Publishers : Distributed by Publishers Group West, 1999.</t>
        </is>
      </c>
      <c r="M1556" t="inlineStr">
        <is>
          <t>1999</t>
        </is>
      </c>
      <c r="N1556" t="inlineStr">
        <is>
          <t>1st Carroll &amp; Graf ed.</t>
        </is>
      </c>
      <c r="O1556" t="inlineStr">
        <is>
          <t>eng</t>
        </is>
      </c>
      <c r="P1556" t="inlineStr">
        <is>
          <t>nyu</t>
        </is>
      </c>
      <c r="R1556" t="inlineStr">
        <is>
          <t xml:space="preserve">GV </t>
        </is>
      </c>
      <c r="S1556" t="n">
        <v>1</v>
      </c>
      <c r="T1556" t="n">
        <v>1</v>
      </c>
      <c r="U1556" t="inlineStr">
        <is>
          <t>2006-11-20</t>
        </is>
      </c>
      <c r="V1556" t="inlineStr">
        <is>
          <t>2006-11-20</t>
        </is>
      </c>
      <c r="W1556" t="inlineStr">
        <is>
          <t>2006-11-20</t>
        </is>
      </c>
      <c r="X1556" t="inlineStr">
        <is>
          <t>2006-11-20</t>
        </is>
      </c>
      <c r="Y1556" t="n">
        <v>159</v>
      </c>
      <c r="Z1556" t="n">
        <v>155</v>
      </c>
      <c r="AA1556" t="n">
        <v>160</v>
      </c>
      <c r="AB1556" t="n">
        <v>2</v>
      </c>
      <c r="AC1556" t="n">
        <v>2</v>
      </c>
      <c r="AD1556" t="n">
        <v>8</v>
      </c>
      <c r="AE1556" t="n">
        <v>8</v>
      </c>
      <c r="AF1556" t="n">
        <v>2</v>
      </c>
      <c r="AG1556" t="n">
        <v>2</v>
      </c>
      <c r="AH1556" t="n">
        <v>2</v>
      </c>
      <c r="AI1556" t="n">
        <v>2</v>
      </c>
      <c r="AJ1556" t="n">
        <v>3</v>
      </c>
      <c r="AK1556" t="n">
        <v>3</v>
      </c>
      <c r="AL1556" t="n">
        <v>1</v>
      </c>
      <c r="AM1556" t="n">
        <v>1</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HYPERLINK("https://creighton-primo.hosted.exlibrisgroup.com/primo-explore/search?tab=default_tab&amp;search_scope=EVERYTHING&amp;vid=01CRU&amp;lang=en_US&amp;offset=0&amp;query=any,contains,991004984869702656","Catalog Record")</f>
        <v/>
      </c>
      <c r="AT1556">
        <f>HYPERLINK("http://www.worldcat.org/oclc/42271746","WorldCat Record")</f>
        <v/>
      </c>
      <c r="AU1556" t="inlineStr">
        <is>
          <t>437574010:eng</t>
        </is>
      </c>
      <c r="AV1556" t="inlineStr">
        <is>
          <t>42271746</t>
        </is>
      </c>
      <c r="AW1556" t="inlineStr">
        <is>
          <t>991004984869702656</t>
        </is>
      </c>
      <c r="AX1556" t="inlineStr">
        <is>
          <t>991004984869702656</t>
        </is>
      </c>
      <c r="AY1556" t="inlineStr">
        <is>
          <t>2270361380002656</t>
        </is>
      </c>
      <c r="AZ1556" t="inlineStr">
        <is>
          <t>BOOK</t>
        </is>
      </c>
      <c r="BB1556" t="inlineStr">
        <is>
          <t>9780786706860</t>
        </is>
      </c>
      <c r="BC1556" t="inlineStr">
        <is>
          <t>32285005260194</t>
        </is>
      </c>
      <c r="BD1556" t="inlineStr">
        <is>
          <t>893707078</t>
        </is>
      </c>
    </row>
    <row r="1557">
      <c r="A1557" t="inlineStr">
        <is>
          <t>No</t>
        </is>
      </c>
      <c r="B1557" t="inlineStr">
        <is>
          <t>GV865.D5 M66 1987</t>
        </is>
      </c>
      <c r="C1557" t="inlineStr">
        <is>
          <t>0                      GV 0865000D  5                  M  66          1987</t>
        </is>
      </c>
      <c r="D1557" t="inlineStr">
        <is>
          <t>Joe DiMaggio, baseball's Yankee clipper / Jack B. Moore.</t>
        </is>
      </c>
      <c r="F1557" t="inlineStr">
        <is>
          <t>No</t>
        </is>
      </c>
      <c r="G1557" t="inlineStr">
        <is>
          <t>1</t>
        </is>
      </c>
      <c r="H1557" t="inlineStr">
        <is>
          <t>No</t>
        </is>
      </c>
      <c r="I1557" t="inlineStr">
        <is>
          <t>No</t>
        </is>
      </c>
      <c r="J1557" t="inlineStr">
        <is>
          <t>0</t>
        </is>
      </c>
      <c r="K1557" t="inlineStr">
        <is>
          <t>Moore, Jack B.</t>
        </is>
      </c>
      <c r="L1557" t="inlineStr">
        <is>
          <t>New York : Praeger, 1987, c1986.</t>
        </is>
      </c>
      <c r="M1557" t="inlineStr">
        <is>
          <t>1987</t>
        </is>
      </c>
      <c r="N1557" t="inlineStr">
        <is>
          <t>Paperback ed.</t>
        </is>
      </c>
      <c r="O1557" t="inlineStr">
        <is>
          <t>eng</t>
        </is>
      </c>
      <c r="P1557" t="inlineStr">
        <is>
          <t>nyu</t>
        </is>
      </c>
      <c r="R1557" t="inlineStr">
        <is>
          <t xml:space="preserve">GV </t>
        </is>
      </c>
      <c r="S1557" t="n">
        <v>1</v>
      </c>
      <c r="T1557" t="n">
        <v>1</v>
      </c>
      <c r="U1557" t="inlineStr">
        <is>
          <t>2006-11-20</t>
        </is>
      </c>
      <c r="V1557" t="inlineStr">
        <is>
          <t>2006-11-20</t>
        </is>
      </c>
      <c r="W1557" t="inlineStr">
        <is>
          <t>2006-11-20</t>
        </is>
      </c>
      <c r="X1557" t="inlineStr">
        <is>
          <t>2006-11-20</t>
        </is>
      </c>
      <c r="Y1557" t="n">
        <v>75</v>
      </c>
      <c r="Z1557" t="n">
        <v>71</v>
      </c>
      <c r="AA1557" t="n">
        <v>71</v>
      </c>
      <c r="AB1557" t="n">
        <v>1</v>
      </c>
      <c r="AC1557" t="n">
        <v>1</v>
      </c>
      <c r="AD1557" t="n">
        <v>2</v>
      </c>
      <c r="AE1557" t="n">
        <v>2</v>
      </c>
      <c r="AF1557" t="n">
        <v>1</v>
      </c>
      <c r="AG1557" t="n">
        <v>1</v>
      </c>
      <c r="AH1557" t="n">
        <v>1</v>
      </c>
      <c r="AI1557" t="n">
        <v>1</v>
      </c>
      <c r="AJ1557" t="n">
        <v>0</v>
      </c>
      <c r="AK1557" t="n">
        <v>0</v>
      </c>
      <c r="AL1557" t="n">
        <v>0</v>
      </c>
      <c r="AM1557" t="n">
        <v>0</v>
      </c>
      <c r="AN1557" t="n">
        <v>0</v>
      </c>
      <c r="AO1557" t="n">
        <v>0</v>
      </c>
      <c r="AP1557" t="inlineStr">
        <is>
          <t>No</t>
        </is>
      </c>
      <c r="AQ1557" t="inlineStr">
        <is>
          <t>No</t>
        </is>
      </c>
      <c r="AS1557">
        <f>HYPERLINK("https://creighton-primo.hosted.exlibrisgroup.com/primo-explore/search?tab=default_tab&amp;search_scope=EVERYTHING&amp;vid=01CRU&amp;lang=en_US&amp;offset=0&amp;query=any,contains,991004984819702656","Catalog Record")</f>
        <v/>
      </c>
      <c r="AT1557">
        <f>HYPERLINK("http://www.worldcat.org/oclc/15221467","WorldCat Record")</f>
        <v/>
      </c>
      <c r="AU1557" t="inlineStr">
        <is>
          <t>1806402292:eng</t>
        </is>
      </c>
      <c r="AV1557" t="inlineStr">
        <is>
          <t>15221467</t>
        </is>
      </c>
      <c r="AW1557" t="inlineStr">
        <is>
          <t>991004984819702656</t>
        </is>
      </c>
      <c r="AX1557" t="inlineStr">
        <is>
          <t>991004984819702656</t>
        </is>
      </c>
      <c r="AY1557" t="inlineStr">
        <is>
          <t>2262947210002656</t>
        </is>
      </c>
      <c r="AZ1557" t="inlineStr">
        <is>
          <t>BOOK</t>
        </is>
      </c>
      <c r="BB1557" t="inlineStr">
        <is>
          <t>9780275927127</t>
        </is>
      </c>
      <c r="BC1557" t="inlineStr">
        <is>
          <t>32285005260152</t>
        </is>
      </c>
      <c r="BD1557" t="inlineStr">
        <is>
          <t>893338343</t>
        </is>
      </c>
    </row>
    <row r="1558">
      <c r="A1558" t="inlineStr">
        <is>
          <t>No</t>
        </is>
      </c>
      <c r="B1558" t="inlineStr">
        <is>
          <t>GV865.D5 S86 1995</t>
        </is>
      </c>
      <c r="C1558" t="inlineStr">
        <is>
          <t>0                      GV 0865000D  5                  S  86          1995</t>
        </is>
      </c>
      <c r="D1558" t="inlineStr">
        <is>
          <t>DiMaggio : an illustrated life / edited by Dick Johnson ; text by Glenn Stout.</t>
        </is>
      </c>
      <c r="F1558" t="inlineStr">
        <is>
          <t>No</t>
        </is>
      </c>
      <c r="G1558" t="inlineStr">
        <is>
          <t>1</t>
        </is>
      </c>
      <c r="H1558" t="inlineStr">
        <is>
          <t>No</t>
        </is>
      </c>
      <c r="I1558" t="inlineStr">
        <is>
          <t>No</t>
        </is>
      </c>
      <c r="J1558" t="inlineStr">
        <is>
          <t>0</t>
        </is>
      </c>
      <c r="K1558" t="inlineStr">
        <is>
          <t>Stout, Glenn, 1958-</t>
        </is>
      </c>
      <c r="L1558" t="inlineStr">
        <is>
          <t>New York : Walker and Co., 1995.</t>
        </is>
      </c>
      <c r="M1558" t="inlineStr">
        <is>
          <t>1995</t>
        </is>
      </c>
      <c r="O1558" t="inlineStr">
        <is>
          <t>eng</t>
        </is>
      </c>
      <c r="P1558" t="inlineStr">
        <is>
          <t>nyu</t>
        </is>
      </c>
      <c r="R1558" t="inlineStr">
        <is>
          <t xml:space="preserve">GV </t>
        </is>
      </c>
      <c r="S1558" t="n">
        <v>2</v>
      </c>
      <c r="T1558" t="n">
        <v>2</v>
      </c>
      <c r="U1558" t="inlineStr">
        <is>
          <t>2006-11-20</t>
        </is>
      </c>
      <c r="V1558" t="inlineStr">
        <is>
          <t>2006-11-20</t>
        </is>
      </c>
      <c r="W1558" t="inlineStr">
        <is>
          <t>2006-11-20</t>
        </is>
      </c>
      <c r="X1558" t="inlineStr">
        <is>
          <t>2006-11-20</t>
        </is>
      </c>
      <c r="Y1558" t="n">
        <v>402</v>
      </c>
      <c r="Z1558" t="n">
        <v>392</v>
      </c>
      <c r="AA1558" t="n">
        <v>397</v>
      </c>
      <c r="AB1558" t="n">
        <v>3</v>
      </c>
      <c r="AC1558" t="n">
        <v>3</v>
      </c>
      <c r="AD1558" t="n">
        <v>3</v>
      </c>
      <c r="AE1558" t="n">
        <v>3</v>
      </c>
      <c r="AF1558" t="n">
        <v>2</v>
      </c>
      <c r="AG1558" t="n">
        <v>2</v>
      </c>
      <c r="AH1558" t="n">
        <v>1</v>
      </c>
      <c r="AI1558" t="n">
        <v>1</v>
      </c>
      <c r="AJ1558" t="n">
        <v>1</v>
      </c>
      <c r="AK1558" t="n">
        <v>1</v>
      </c>
      <c r="AL1558" t="n">
        <v>0</v>
      </c>
      <c r="AM1558" t="n">
        <v>0</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HYPERLINK("https://creighton-primo.hosted.exlibrisgroup.com/primo-explore/search?tab=default_tab&amp;search_scope=EVERYTHING&amp;vid=01CRU&amp;lang=en_US&amp;offset=0&amp;query=any,contains,991004986419702656","Catalog Record")</f>
        <v/>
      </c>
      <c r="AT1558">
        <f>HYPERLINK("http://www.worldcat.org/oclc/32854239","WorldCat Record")</f>
        <v/>
      </c>
      <c r="AU1558" t="inlineStr">
        <is>
          <t>1402934200:eng</t>
        </is>
      </c>
      <c r="AV1558" t="inlineStr">
        <is>
          <t>32854239</t>
        </is>
      </c>
      <c r="AW1558" t="inlineStr">
        <is>
          <t>991004986419702656</t>
        </is>
      </c>
      <c r="AX1558" t="inlineStr">
        <is>
          <t>991004986419702656</t>
        </is>
      </c>
      <c r="AY1558" t="inlineStr">
        <is>
          <t>2272209690002656</t>
        </is>
      </c>
      <c r="AZ1558" t="inlineStr">
        <is>
          <t>BOOK</t>
        </is>
      </c>
      <c r="BB1558" t="inlineStr">
        <is>
          <t>9780802713117</t>
        </is>
      </c>
      <c r="BC1558" t="inlineStr">
        <is>
          <t>32285005260475</t>
        </is>
      </c>
      <c r="BD1558" t="inlineStr">
        <is>
          <t>893876788</t>
        </is>
      </c>
    </row>
    <row r="1559">
      <c r="A1559" t="inlineStr">
        <is>
          <t>No</t>
        </is>
      </c>
      <c r="B1559" t="inlineStr">
        <is>
          <t>GV865.D83 A3</t>
        </is>
      </c>
      <c r="C1559" t="inlineStr">
        <is>
          <t>0                      GV 0865000D  83                 A  3</t>
        </is>
      </c>
      <c r="D1559" t="inlineStr">
        <is>
          <t>The Dodgers and me, the inside story.</t>
        </is>
      </c>
      <c r="F1559" t="inlineStr">
        <is>
          <t>No</t>
        </is>
      </c>
      <c r="G1559" t="inlineStr">
        <is>
          <t>1</t>
        </is>
      </c>
      <c r="H1559" t="inlineStr">
        <is>
          <t>No</t>
        </is>
      </c>
      <c r="I1559" t="inlineStr">
        <is>
          <t>No</t>
        </is>
      </c>
      <c r="J1559" t="inlineStr">
        <is>
          <t>0</t>
        </is>
      </c>
      <c r="K1559" t="inlineStr">
        <is>
          <t>Durocher, Leo, 1905-1991.</t>
        </is>
      </c>
      <c r="L1559" t="inlineStr">
        <is>
          <t>Chicago, Ziff-Davis Pub. Co. [1948]</t>
        </is>
      </c>
      <c r="M1559" t="inlineStr">
        <is>
          <t>1948</t>
        </is>
      </c>
      <c r="O1559" t="inlineStr">
        <is>
          <t>eng</t>
        </is>
      </c>
      <c r="P1559" t="inlineStr">
        <is>
          <t>ilu</t>
        </is>
      </c>
      <c r="R1559" t="inlineStr">
        <is>
          <t xml:space="preserve">GV </t>
        </is>
      </c>
      <c r="S1559" t="n">
        <v>1</v>
      </c>
      <c r="T1559" t="n">
        <v>1</v>
      </c>
      <c r="U1559" t="inlineStr">
        <is>
          <t>2001-11-17</t>
        </is>
      </c>
      <c r="V1559" t="inlineStr">
        <is>
          <t>2001-11-17</t>
        </is>
      </c>
      <c r="W1559" t="inlineStr">
        <is>
          <t>1997-06-02</t>
        </is>
      </c>
      <c r="X1559" t="inlineStr">
        <is>
          <t>1997-06-02</t>
        </is>
      </c>
      <c r="Y1559" t="n">
        <v>136</v>
      </c>
      <c r="Z1559" t="n">
        <v>132</v>
      </c>
      <c r="AA1559" t="n">
        <v>149</v>
      </c>
      <c r="AB1559" t="n">
        <v>2</v>
      </c>
      <c r="AC1559" t="n">
        <v>3</v>
      </c>
      <c r="AD1559" t="n">
        <v>3</v>
      </c>
      <c r="AE1559" t="n">
        <v>5</v>
      </c>
      <c r="AF1559" t="n">
        <v>2</v>
      </c>
      <c r="AG1559" t="n">
        <v>3</v>
      </c>
      <c r="AH1559" t="n">
        <v>0</v>
      </c>
      <c r="AI1559" t="n">
        <v>1</v>
      </c>
      <c r="AJ1559" t="n">
        <v>1</v>
      </c>
      <c r="AK1559" t="n">
        <v>1</v>
      </c>
      <c r="AL1559" t="n">
        <v>0</v>
      </c>
      <c r="AM1559" t="n">
        <v>1</v>
      </c>
      <c r="AN1559" t="n">
        <v>0</v>
      </c>
      <c r="AO1559" t="n">
        <v>0</v>
      </c>
      <c r="AP1559" t="inlineStr">
        <is>
          <t>Yes</t>
        </is>
      </c>
      <c r="AQ1559" t="inlineStr">
        <is>
          <t>No</t>
        </is>
      </c>
      <c r="AR1559">
        <f>HYPERLINK("http://catalog.hathitrust.org/Record/006230493","HathiTrust Record")</f>
        <v/>
      </c>
      <c r="AS1559">
        <f>HYPERLINK("https://creighton-primo.hosted.exlibrisgroup.com/primo-explore/search?tab=default_tab&amp;search_scope=EVERYTHING&amp;vid=01CRU&amp;lang=en_US&amp;offset=0&amp;query=any,contains,991003435389702656","Catalog Record")</f>
        <v/>
      </c>
      <c r="AT1559">
        <f>HYPERLINK("http://www.worldcat.org/oclc/970606","WorldCat Record")</f>
        <v/>
      </c>
      <c r="AU1559" t="inlineStr">
        <is>
          <t>1928113:eng</t>
        </is>
      </c>
      <c r="AV1559" t="inlineStr">
        <is>
          <t>970606</t>
        </is>
      </c>
      <c r="AW1559" t="inlineStr">
        <is>
          <t>991003435389702656</t>
        </is>
      </c>
      <c r="AX1559" t="inlineStr">
        <is>
          <t>991003435389702656</t>
        </is>
      </c>
      <c r="AY1559" t="inlineStr">
        <is>
          <t>2256851400002656</t>
        </is>
      </c>
      <c r="AZ1559" t="inlineStr">
        <is>
          <t>BOOK</t>
        </is>
      </c>
      <c r="BC1559" t="inlineStr">
        <is>
          <t>32285002700556</t>
        </is>
      </c>
      <c r="BD1559" t="inlineStr">
        <is>
          <t>893793603</t>
        </is>
      </c>
    </row>
    <row r="1560">
      <c r="A1560" t="inlineStr">
        <is>
          <t>No</t>
        </is>
      </c>
      <c r="B1560" t="inlineStr">
        <is>
          <t>GV865.E44 H34 1989</t>
        </is>
      </c>
      <c r="C1560" t="inlineStr">
        <is>
          <t>0                      GV 0865000E  44                 H  34          1989</t>
        </is>
      </c>
      <c r="D1560" t="inlineStr">
        <is>
          <t>Dock Ellis in the country of baseball / Donald Hall, with Dock Ellis.</t>
        </is>
      </c>
      <c r="F1560" t="inlineStr">
        <is>
          <t>No</t>
        </is>
      </c>
      <c r="G1560" t="inlineStr">
        <is>
          <t>1</t>
        </is>
      </c>
      <c r="H1560" t="inlineStr">
        <is>
          <t>No</t>
        </is>
      </c>
      <c r="I1560" t="inlineStr">
        <is>
          <t>No</t>
        </is>
      </c>
      <c r="J1560" t="inlineStr">
        <is>
          <t>0</t>
        </is>
      </c>
      <c r="K1560" t="inlineStr">
        <is>
          <t>Hall, Donald, 1928-2018.</t>
        </is>
      </c>
      <c r="L1560" t="inlineStr">
        <is>
          <t>New York : Simon &amp; Schuster, 1989.</t>
        </is>
      </c>
      <c r="M1560" t="inlineStr">
        <is>
          <t>1989</t>
        </is>
      </c>
      <c r="N1560" t="inlineStr">
        <is>
          <t>1st Fireside ed.</t>
        </is>
      </c>
      <c r="O1560" t="inlineStr">
        <is>
          <t>eng</t>
        </is>
      </c>
      <c r="P1560" t="inlineStr">
        <is>
          <t>nyu</t>
        </is>
      </c>
      <c r="Q1560" t="inlineStr">
        <is>
          <t>Fireside sports classic</t>
        </is>
      </c>
      <c r="R1560" t="inlineStr">
        <is>
          <t xml:space="preserve">GV </t>
        </is>
      </c>
      <c r="S1560" t="n">
        <v>1</v>
      </c>
      <c r="T1560" t="n">
        <v>1</v>
      </c>
      <c r="U1560" t="inlineStr">
        <is>
          <t>2008-07-29</t>
        </is>
      </c>
      <c r="V1560" t="inlineStr">
        <is>
          <t>2008-07-29</t>
        </is>
      </c>
      <c r="W1560" t="inlineStr">
        <is>
          <t>2008-07-29</t>
        </is>
      </c>
      <c r="X1560" t="inlineStr">
        <is>
          <t>2008-07-29</t>
        </is>
      </c>
      <c r="Y1560" t="n">
        <v>60</v>
      </c>
      <c r="Z1560" t="n">
        <v>59</v>
      </c>
      <c r="AA1560" t="n">
        <v>181</v>
      </c>
      <c r="AB1560" t="n">
        <v>1</v>
      </c>
      <c r="AC1560" t="n">
        <v>1</v>
      </c>
      <c r="AD1560" t="n">
        <v>1</v>
      </c>
      <c r="AE1560" t="n">
        <v>1</v>
      </c>
      <c r="AF1560" t="n">
        <v>1</v>
      </c>
      <c r="AG1560" t="n">
        <v>1</v>
      </c>
      <c r="AH1560" t="n">
        <v>0</v>
      </c>
      <c r="AI1560" t="n">
        <v>0</v>
      </c>
      <c r="AJ1560" t="n">
        <v>1</v>
      </c>
      <c r="AK1560" t="n">
        <v>1</v>
      </c>
      <c r="AL1560" t="n">
        <v>0</v>
      </c>
      <c r="AM1560" t="n">
        <v>0</v>
      </c>
      <c r="AN1560" t="n">
        <v>0</v>
      </c>
      <c r="AO1560" t="n">
        <v>0</v>
      </c>
      <c r="AP1560" t="inlineStr">
        <is>
          <t>No</t>
        </is>
      </c>
      <c r="AQ1560" t="inlineStr">
        <is>
          <t>No</t>
        </is>
      </c>
      <c r="AS1560">
        <f>HYPERLINK("https://creighton-primo.hosted.exlibrisgroup.com/primo-explore/search?tab=default_tab&amp;search_scope=EVERYTHING&amp;vid=01CRU&amp;lang=en_US&amp;offset=0&amp;query=any,contains,991005257009702656","Catalog Record")</f>
        <v/>
      </c>
      <c r="AT1560">
        <f>HYPERLINK("http://www.worldcat.org/oclc/18069426","WorldCat Record")</f>
        <v/>
      </c>
      <c r="AU1560" t="inlineStr">
        <is>
          <t>4569977:eng</t>
        </is>
      </c>
      <c r="AV1560" t="inlineStr">
        <is>
          <t>18069426</t>
        </is>
      </c>
      <c r="AW1560" t="inlineStr">
        <is>
          <t>991005257009702656</t>
        </is>
      </c>
      <c r="AX1560" t="inlineStr">
        <is>
          <t>991005257009702656</t>
        </is>
      </c>
      <c r="AY1560" t="inlineStr">
        <is>
          <t>2262486690002656</t>
        </is>
      </c>
      <c r="AZ1560" t="inlineStr">
        <is>
          <t>BOOK</t>
        </is>
      </c>
      <c r="BB1560" t="inlineStr">
        <is>
          <t>9780671659882</t>
        </is>
      </c>
      <c r="BC1560" t="inlineStr">
        <is>
          <t>32285005451488</t>
        </is>
      </c>
      <c r="BD1560" t="inlineStr">
        <is>
          <t>893613403</t>
        </is>
      </c>
    </row>
    <row r="1561">
      <c r="A1561" t="inlineStr">
        <is>
          <t>No</t>
        </is>
      </c>
      <c r="B1561" t="inlineStr">
        <is>
          <t>GV865.F613 A3 1987</t>
        </is>
      </c>
      <c r="C1561" t="inlineStr">
        <is>
          <t>0                      GV 0865000F  613                A  3           1987</t>
        </is>
      </c>
      <c r="D1561" t="inlineStr">
        <is>
          <t>Slick / Whitey Ford with Phil Pepe.</t>
        </is>
      </c>
      <c r="F1561" t="inlineStr">
        <is>
          <t>No</t>
        </is>
      </c>
      <c r="G1561" t="inlineStr">
        <is>
          <t>1</t>
        </is>
      </c>
      <c r="H1561" t="inlineStr">
        <is>
          <t>No</t>
        </is>
      </c>
      <c r="I1561" t="inlineStr">
        <is>
          <t>No</t>
        </is>
      </c>
      <c r="J1561" t="inlineStr">
        <is>
          <t>0</t>
        </is>
      </c>
      <c r="K1561" t="inlineStr">
        <is>
          <t>Ford, Whitey, 1928-</t>
        </is>
      </c>
      <c r="L1561" t="inlineStr">
        <is>
          <t>New York : W. Morrow, c1987.</t>
        </is>
      </c>
      <c r="M1561" t="inlineStr">
        <is>
          <t>1987</t>
        </is>
      </c>
      <c r="N1561" t="inlineStr">
        <is>
          <t>1st ed.</t>
        </is>
      </c>
      <c r="O1561" t="inlineStr">
        <is>
          <t>eng</t>
        </is>
      </c>
      <c r="P1561" t="inlineStr">
        <is>
          <t>nyu</t>
        </is>
      </c>
      <c r="R1561" t="inlineStr">
        <is>
          <t xml:space="preserve">GV </t>
        </is>
      </c>
      <c r="S1561" t="n">
        <v>1</v>
      </c>
      <c r="T1561" t="n">
        <v>1</v>
      </c>
      <c r="U1561" t="inlineStr">
        <is>
          <t>2005-03-15</t>
        </is>
      </c>
      <c r="V1561" t="inlineStr">
        <is>
          <t>2005-03-15</t>
        </is>
      </c>
      <c r="W1561" t="inlineStr">
        <is>
          <t>2005-03-15</t>
        </is>
      </c>
      <c r="X1561" t="inlineStr">
        <is>
          <t>2005-03-15</t>
        </is>
      </c>
      <c r="Y1561" t="n">
        <v>456</v>
      </c>
      <c r="Z1561" t="n">
        <v>448</v>
      </c>
      <c r="AA1561" t="n">
        <v>469</v>
      </c>
      <c r="AB1561" t="n">
        <v>2</v>
      </c>
      <c r="AC1561" t="n">
        <v>2</v>
      </c>
      <c r="AD1561" t="n">
        <v>5</v>
      </c>
      <c r="AE1561" t="n">
        <v>5</v>
      </c>
      <c r="AF1561" t="n">
        <v>3</v>
      </c>
      <c r="AG1561" t="n">
        <v>3</v>
      </c>
      <c r="AH1561" t="n">
        <v>1</v>
      </c>
      <c r="AI1561" t="n">
        <v>1</v>
      </c>
      <c r="AJ1561" t="n">
        <v>2</v>
      </c>
      <c r="AK1561" t="n">
        <v>2</v>
      </c>
      <c r="AL1561" t="n">
        <v>0</v>
      </c>
      <c r="AM1561" t="n">
        <v>0</v>
      </c>
      <c r="AN1561" t="n">
        <v>0</v>
      </c>
      <c r="AO1561" t="n">
        <v>0</v>
      </c>
      <c r="AP1561" t="inlineStr">
        <is>
          <t>No</t>
        </is>
      </c>
      <c r="AQ1561" t="inlineStr">
        <is>
          <t>No</t>
        </is>
      </c>
      <c r="AS1561">
        <f>HYPERLINK("https://creighton-primo.hosted.exlibrisgroup.com/primo-explore/search?tab=default_tab&amp;search_scope=EVERYTHING&amp;vid=01CRU&amp;lang=en_US&amp;offset=0&amp;query=any,contains,991004498649702656","Catalog Record")</f>
        <v/>
      </c>
      <c r="AT1561">
        <f>HYPERLINK("http://www.worldcat.org/oclc/15164769","WorldCat Record")</f>
        <v/>
      </c>
      <c r="AU1561" t="inlineStr">
        <is>
          <t>16531488:eng</t>
        </is>
      </c>
      <c r="AV1561" t="inlineStr">
        <is>
          <t>15164769</t>
        </is>
      </c>
      <c r="AW1561" t="inlineStr">
        <is>
          <t>991004498649702656</t>
        </is>
      </c>
      <c r="AX1561" t="inlineStr">
        <is>
          <t>991004498649702656</t>
        </is>
      </c>
      <c r="AY1561" t="inlineStr">
        <is>
          <t>2258444070002656</t>
        </is>
      </c>
      <c r="AZ1561" t="inlineStr">
        <is>
          <t>BOOK</t>
        </is>
      </c>
      <c r="BB1561" t="inlineStr">
        <is>
          <t>9780688066901</t>
        </is>
      </c>
      <c r="BC1561" t="inlineStr">
        <is>
          <t>32285005041453</t>
        </is>
      </c>
      <c r="BD1561" t="inlineStr">
        <is>
          <t>893423884</t>
        </is>
      </c>
    </row>
    <row r="1562">
      <c r="A1562" t="inlineStr">
        <is>
          <t>No</t>
        </is>
      </c>
      <c r="B1562" t="inlineStr">
        <is>
          <t>GV865.G4 A35 1997</t>
        </is>
      </c>
      <c r="C1562" t="inlineStr">
        <is>
          <t>0                      GV 0865000G  4                  A  35          1997</t>
        </is>
      </c>
      <c r="D1562" t="inlineStr">
        <is>
          <t>Lou Gehrig : the luckiest man / David A. Adler ; illustrated by Terry Widener.</t>
        </is>
      </c>
      <c r="F1562" t="inlineStr">
        <is>
          <t>No</t>
        </is>
      </c>
      <c r="G1562" t="inlineStr">
        <is>
          <t>1</t>
        </is>
      </c>
      <c r="H1562" t="inlineStr">
        <is>
          <t>No</t>
        </is>
      </c>
      <c r="I1562" t="inlineStr">
        <is>
          <t>No</t>
        </is>
      </c>
      <c r="J1562" t="inlineStr">
        <is>
          <t>0</t>
        </is>
      </c>
      <c r="K1562" t="inlineStr">
        <is>
          <t>Adler, David A.</t>
        </is>
      </c>
      <c r="L1562" t="inlineStr">
        <is>
          <t>San Diego : Harcourt Brace, c1997.</t>
        </is>
      </c>
      <c r="M1562" t="inlineStr">
        <is>
          <t>1997</t>
        </is>
      </c>
      <c r="N1562" t="inlineStr">
        <is>
          <t>1st ed.</t>
        </is>
      </c>
      <c r="O1562" t="inlineStr">
        <is>
          <t>eng</t>
        </is>
      </c>
      <c r="P1562" t="inlineStr">
        <is>
          <t>cau</t>
        </is>
      </c>
      <c r="R1562" t="inlineStr">
        <is>
          <t xml:space="preserve">GV </t>
        </is>
      </c>
      <c r="S1562" t="n">
        <v>9</v>
      </c>
      <c r="T1562" t="n">
        <v>9</v>
      </c>
      <c r="U1562" t="inlineStr">
        <is>
          <t>2006-04-13</t>
        </is>
      </c>
      <c r="V1562" t="inlineStr">
        <is>
          <t>2006-04-13</t>
        </is>
      </c>
      <c r="W1562" t="inlineStr">
        <is>
          <t>1997-10-07</t>
        </is>
      </c>
      <c r="X1562" t="inlineStr">
        <is>
          <t>1997-10-07</t>
        </is>
      </c>
      <c r="Y1562" t="n">
        <v>1697</v>
      </c>
      <c r="Z1562" t="n">
        <v>1668</v>
      </c>
      <c r="AA1562" t="n">
        <v>1847</v>
      </c>
      <c r="AB1562" t="n">
        <v>24</v>
      </c>
      <c r="AC1562" t="n">
        <v>24</v>
      </c>
      <c r="AD1562" t="n">
        <v>19</v>
      </c>
      <c r="AE1562" t="n">
        <v>20</v>
      </c>
      <c r="AF1562" t="n">
        <v>8</v>
      </c>
      <c r="AG1562" t="n">
        <v>9</v>
      </c>
      <c r="AH1562" t="n">
        <v>4</v>
      </c>
      <c r="AI1562" t="n">
        <v>4</v>
      </c>
      <c r="AJ1562" t="n">
        <v>4</v>
      </c>
      <c r="AK1562" t="n">
        <v>4</v>
      </c>
      <c r="AL1562" t="n">
        <v>6</v>
      </c>
      <c r="AM1562" t="n">
        <v>6</v>
      </c>
      <c r="AN1562" t="n">
        <v>0</v>
      </c>
      <c r="AO1562" t="n">
        <v>0</v>
      </c>
      <c r="AP1562" t="inlineStr">
        <is>
          <t>No</t>
        </is>
      </c>
      <c r="AQ1562" t="inlineStr">
        <is>
          <t>No</t>
        </is>
      </c>
      <c r="AS1562">
        <f>HYPERLINK("https://creighton-primo.hosted.exlibrisgroup.com/primo-explore/search?tab=default_tab&amp;search_scope=EVERYTHING&amp;vid=01CRU&amp;lang=en_US&amp;offset=0&amp;query=any,contains,991004594039702656","Catalog Record")</f>
        <v/>
      </c>
      <c r="AT1562">
        <f>HYPERLINK("http://www.worldcat.org/oclc/32168230","WorldCat Record")</f>
        <v/>
      </c>
      <c r="AU1562" t="inlineStr">
        <is>
          <t>391931875:eng</t>
        </is>
      </c>
      <c r="AV1562" t="inlineStr">
        <is>
          <t>32168230</t>
        </is>
      </c>
      <c r="AW1562" t="inlineStr">
        <is>
          <t>991004594039702656</t>
        </is>
      </c>
      <c r="AX1562" t="inlineStr">
        <is>
          <t>991004594039702656</t>
        </is>
      </c>
      <c r="AY1562" t="inlineStr">
        <is>
          <t>2262406910002656</t>
        </is>
      </c>
      <c r="AZ1562" t="inlineStr">
        <is>
          <t>BOOK</t>
        </is>
      </c>
      <c r="BB1562" t="inlineStr">
        <is>
          <t>9780152005238</t>
        </is>
      </c>
      <c r="BC1562" t="inlineStr">
        <is>
          <t>32285003253233</t>
        </is>
      </c>
      <c r="BD1562" t="inlineStr">
        <is>
          <t>893767983</t>
        </is>
      </c>
    </row>
    <row r="1563">
      <c r="A1563" t="inlineStr">
        <is>
          <t>No</t>
        </is>
      </c>
      <c r="B1563" t="inlineStr">
        <is>
          <t>GV865.G53 B7 1978</t>
        </is>
      </c>
      <c r="C1563" t="inlineStr">
        <is>
          <t>0                      GV 0865000G  53                 B  7           1978</t>
        </is>
      </c>
      <c r="D1563" t="inlineStr">
        <is>
          <t>Josh Gibson : a life in the Negro leagues / William Brashler.</t>
        </is>
      </c>
      <c r="F1563" t="inlineStr">
        <is>
          <t>No</t>
        </is>
      </c>
      <c r="G1563" t="inlineStr">
        <is>
          <t>1</t>
        </is>
      </c>
      <c r="H1563" t="inlineStr">
        <is>
          <t>No</t>
        </is>
      </c>
      <c r="I1563" t="inlineStr">
        <is>
          <t>No</t>
        </is>
      </c>
      <c r="J1563" t="inlineStr">
        <is>
          <t>0</t>
        </is>
      </c>
      <c r="K1563" t="inlineStr">
        <is>
          <t>Brashler, William.</t>
        </is>
      </c>
      <c r="L1563" t="inlineStr">
        <is>
          <t>New York : Harper &amp; Row, c1978.</t>
        </is>
      </c>
      <c r="M1563" t="inlineStr">
        <is>
          <t>1978</t>
        </is>
      </c>
      <c r="N1563" t="inlineStr">
        <is>
          <t>1st ed.</t>
        </is>
      </c>
      <c r="O1563" t="inlineStr">
        <is>
          <t>eng</t>
        </is>
      </c>
      <c r="P1563" t="inlineStr">
        <is>
          <t>nyu</t>
        </is>
      </c>
      <c r="R1563" t="inlineStr">
        <is>
          <t xml:space="preserve">GV </t>
        </is>
      </c>
      <c r="S1563" t="n">
        <v>3</v>
      </c>
      <c r="T1563" t="n">
        <v>3</v>
      </c>
      <c r="U1563" t="inlineStr">
        <is>
          <t>2005-08-18</t>
        </is>
      </c>
      <c r="V1563" t="inlineStr">
        <is>
          <t>2005-08-18</t>
        </is>
      </c>
      <c r="W1563" t="inlineStr">
        <is>
          <t>1997-06-02</t>
        </is>
      </c>
      <c r="X1563" t="inlineStr">
        <is>
          <t>1997-06-02</t>
        </is>
      </c>
      <c r="Y1563" t="n">
        <v>487</v>
      </c>
      <c r="Z1563" t="n">
        <v>478</v>
      </c>
      <c r="AA1563" t="n">
        <v>627</v>
      </c>
      <c r="AB1563" t="n">
        <v>4</v>
      </c>
      <c r="AC1563" t="n">
        <v>6</v>
      </c>
      <c r="AD1563" t="n">
        <v>8</v>
      </c>
      <c r="AE1563" t="n">
        <v>15</v>
      </c>
      <c r="AF1563" t="n">
        <v>3</v>
      </c>
      <c r="AG1563" t="n">
        <v>6</v>
      </c>
      <c r="AH1563" t="n">
        <v>1</v>
      </c>
      <c r="AI1563" t="n">
        <v>1</v>
      </c>
      <c r="AJ1563" t="n">
        <v>5</v>
      </c>
      <c r="AK1563" t="n">
        <v>9</v>
      </c>
      <c r="AL1563" t="n">
        <v>1</v>
      </c>
      <c r="AM1563" t="n">
        <v>3</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HYPERLINK("https://creighton-primo.hosted.exlibrisgroup.com/primo-explore/search?tab=default_tab&amp;search_scope=EVERYTHING&amp;vid=01CRU&amp;lang=en_US&amp;offset=0&amp;query=any,contains,991004392519702656","Catalog Record")</f>
        <v/>
      </c>
      <c r="AT1563">
        <f>HYPERLINK("http://www.worldcat.org/oclc/3272800","WorldCat Record")</f>
        <v/>
      </c>
      <c r="AU1563" t="inlineStr">
        <is>
          <t>402167:eng</t>
        </is>
      </c>
      <c r="AV1563" t="inlineStr">
        <is>
          <t>3272800</t>
        </is>
      </c>
      <c r="AW1563" t="inlineStr">
        <is>
          <t>991004392519702656</t>
        </is>
      </c>
      <c r="AX1563" t="inlineStr">
        <is>
          <t>991004392519702656</t>
        </is>
      </c>
      <c r="AY1563" t="inlineStr">
        <is>
          <t>2263684080002656</t>
        </is>
      </c>
      <c r="AZ1563" t="inlineStr">
        <is>
          <t>BOOK</t>
        </is>
      </c>
      <c r="BB1563" t="inlineStr">
        <is>
          <t>9780060104467</t>
        </is>
      </c>
      <c r="BC1563" t="inlineStr">
        <is>
          <t>32285002700580</t>
        </is>
      </c>
      <c r="BD1563" t="inlineStr">
        <is>
          <t>893782186</t>
        </is>
      </c>
    </row>
    <row r="1564">
      <c r="A1564" t="inlineStr">
        <is>
          <t>No</t>
        </is>
      </c>
      <c r="B1564" t="inlineStr">
        <is>
          <t>GV865.G53 H65 1991</t>
        </is>
      </c>
      <c r="C1564" t="inlineStr">
        <is>
          <t>0                      GV 0865000G  53                 H  65          1991</t>
        </is>
      </c>
      <c r="D1564" t="inlineStr">
        <is>
          <t>Josh and Satch : the life and times of Josh Gibson and Satchel Paige / John B. Holway.</t>
        </is>
      </c>
      <c r="F1564" t="inlineStr">
        <is>
          <t>No</t>
        </is>
      </c>
      <c r="G1564" t="inlineStr">
        <is>
          <t>1</t>
        </is>
      </c>
      <c r="H1564" t="inlineStr">
        <is>
          <t>No</t>
        </is>
      </c>
      <c r="I1564" t="inlineStr">
        <is>
          <t>No</t>
        </is>
      </c>
      <c r="J1564" t="inlineStr">
        <is>
          <t>0</t>
        </is>
      </c>
      <c r="K1564" t="inlineStr">
        <is>
          <t>Holway, John.</t>
        </is>
      </c>
      <c r="L1564" t="inlineStr">
        <is>
          <t>Westport, CT : Meckler, c1991.</t>
        </is>
      </c>
      <c r="M1564" t="inlineStr">
        <is>
          <t>1991</t>
        </is>
      </c>
      <c r="N1564" t="inlineStr">
        <is>
          <t>1st ed.</t>
        </is>
      </c>
      <c r="O1564" t="inlineStr">
        <is>
          <t>eng</t>
        </is>
      </c>
      <c r="P1564" t="inlineStr">
        <is>
          <t>ctu</t>
        </is>
      </c>
      <c r="Q1564" t="inlineStr">
        <is>
          <t>Baseball and American society</t>
        </is>
      </c>
      <c r="R1564" t="inlineStr">
        <is>
          <t xml:space="preserve">GV </t>
        </is>
      </c>
      <c r="S1564" t="n">
        <v>1</v>
      </c>
      <c r="T1564" t="n">
        <v>1</v>
      </c>
      <c r="U1564" t="inlineStr">
        <is>
          <t>2003-08-20</t>
        </is>
      </c>
      <c r="V1564" t="inlineStr">
        <is>
          <t>2003-08-20</t>
        </is>
      </c>
      <c r="W1564" t="inlineStr">
        <is>
          <t>1992-02-13</t>
        </is>
      </c>
      <c r="X1564" t="inlineStr">
        <is>
          <t>1992-02-13</t>
        </is>
      </c>
      <c r="Y1564" t="n">
        <v>227</v>
      </c>
      <c r="Z1564" t="n">
        <v>217</v>
      </c>
      <c r="AA1564" t="n">
        <v>286</v>
      </c>
      <c r="AB1564" t="n">
        <v>2</v>
      </c>
      <c r="AC1564" t="n">
        <v>2</v>
      </c>
      <c r="AD1564" t="n">
        <v>3</v>
      </c>
      <c r="AE1564" t="n">
        <v>3</v>
      </c>
      <c r="AF1564" t="n">
        <v>0</v>
      </c>
      <c r="AG1564" t="n">
        <v>0</v>
      </c>
      <c r="AH1564" t="n">
        <v>1</v>
      </c>
      <c r="AI1564" t="n">
        <v>1</v>
      </c>
      <c r="AJ1564" t="n">
        <v>2</v>
      </c>
      <c r="AK1564" t="n">
        <v>2</v>
      </c>
      <c r="AL1564" t="n">
        <v>1</v>
      </c>
      <c r="AM1564" t="n">
        <v>1</v>
      </c>
      <c r="AN1564" t="n">
        <v>0</v>
      </c>
      <c r="AO1564" t="n">
        <v>0</v>
      </c>
      <c r="AP1564" t="inlineStr">
        <is>
          <t>No</t>
        </is>
      </c>
      <c r="AQ1564" t="inlineStr">
        <is>
          <t>No</t>
        </is>
      </c>
      <c r="AS1564">
        <f>HYPERLINK("https://creighton-primo.hosted.exlibrisgroup.com/primo-explore/search?tab=default_tab&amp;search_scope=EVERYTHING&amp;vid=01CRU&amp;lang=en_US&amp;offset=0&amp;query=any,contains,991001862969702656","Catalog Record")</f>
        <v/>
      </c>
      <c r="AT1564">
        <f>HYPERLINK("http://www.worldcat.org/oclc/23386612","WorldCat Record")</f>
        <v/>
      </c>
      <c r="AU1564" t="inlineStr">
        <is>
          <t>25467629:eng</t>
        </is>
      </c>
      <c r="AV1564" t="inlineStr">
        <is>
          <t>23386612</t>
        </is>
      </c>
      <c r="AW1564" t="inlineStr">
        <is>
          <t>991001862969702656</t>
        </is>
      </c>
      <c r="AX1564" t="inlineStr">
        <is>
          <t>991001862969702656</t>
        </is>
      </c>
      <c r="AY1564" t="inlineStr">
        <is>
          <t>2264663400002656</t>
        </is>
      </c>
      <c r="AZ1564" t="inlineStr">
        <is>
          <t>BOOK</t>
        </is>
      </c>
      <c r="BB1564" t="inlineStr">
        <is>
          <t>9780887363337</t>
        </is>
      </c>
      <c r="BC1564" t="inlineStr">
        <is>
          <t>32285000935477</t>
        </is>
      </c>
      <c r="BD1564" t="inlineStr">
        <is>
          <t>893414556</t>
        </is>
      </c>
    </row>
    <row r="1565">
      <c r="A1565" t="inlineStr">
        <is>
          <t>No</t>
        </is>
      </c>
      <c r="B1565" t="inlineStr">
        <is>
          <t>GV865.J32 A8 1981</t>
        </is>
      </c>
      <c r="C1565" t="inlineStr">
        <is>
          <t>0                      GV 0865000J  32                 A  8           1981</t>
        </is>
      </c>
      <c r="D1565" t="inlineStr">
        <is>
          <t>Mr. October : The Reggie Jackson story / by Maury Allen.</t>
        </is>
      </c>
      <c r="F1565" t="inlineStr">
        <is>
          <t>No</t>
        </is>
      </c>
      <c r="G1565" t="inlineStr">
        <is>
          <t>1</t>
        </is>
      </c>
      <c r="H1565" t="inlineStr">
        <is>
          <t>No</t>
        </is>
      </c>
      <c r="I1565" t="inlineStr">
        <is>
          <t>No</t>
        </is>
      </c>
      <c r="J1565" t="inlineStr">
        <is>
          <t>0</t>
        </is>
      </c>
      <c r="K1565" t="inlineStr">
        <is>
          <t>Allen, Maury, 1932-2010.</t>
        </is>
      </c>
      <c r="L1565" t="inlineStr">
        <is>
          <t>New York, N.Y. : Times Books, c1981.</t>
        </is>
      </c>
      <c r="M1565" t="inlineStr">
        <is>
          <t>1981</t>
        </is>
      </c>
      <c r="O1565" t="inlineStr">
        <is>
          <t>eng</t>
        </is>
      </c>
      <c r="P1565" t="inlineStr">
        <is>
          <t>nyu</t>
        </is>
      </c>
      <c r="R1565" t="inlineStr">
        <is>
          <t xml:space="preserve">GV </t>
        </is>
      </c>
      <c r="S1565" t="n">
        <v>1</v>
      </c>
      <c r="T1565" t="n">
        <v>1</v>
      </c>
      <c r="U1565" t="inlineStr">
        <is>
          <t>2003-03-20</t>
        </is>
      </c>
      <c r="V1565" t="inlineStr">
        <is>
          <t>2003-03-20</t>
        </is>
      </c>
      <c r="W1565" t="inlineStr">
        <is>
          <t>1992-11-12</t>
        </is>
      </c>
      <c r="X1565" t="inlineStr">
        <is>
          <t>1992-11-12</t>
        </is>
      </c>
      <c r="Y1565" t="n">
        <v>472</v>
      </c>
      <c r="Z1565" t="n">
        <v>468</v>
      </c>
      <c r="AA1565" t="n">
        <v>498</v>
      </c>
      <c r="AB1565" t="n">
        <v>1</v>
      </c>
      <c r="AC1565" t="n">
        <v>1</v>
      </c>
      <c r="AD1565" t="n">
        <v>0</v>
      </c>
      <c r="AE1565" t="n">
        <v>0</v>
      </c>
      <c r="AF1565" t="n">
        <v>0</v>
      </c>
      <c r="AG1565" t="n">
        <v>0</v>
      </c>
      <c r="AH1565" t="n">
        <v>0</v>
      </c>
      <c r="AI1565" t="n">
        <v>0</v>
      </c>
      <c r="AJ1565" t="n">
        <v>0</v>
      </c>
      <c r="AK1565" t="n">
        <v>0</v>
      </c>
      <c r="AL1565" t="n">
        <v>0</v>
      </c>
      <c r="AM1565" t="n">
        <v>0</v>
      </c>
      <c r="AN1565" t="n">
        <v>0</v>
      </c>
      <c r="AO1565" t="n">
        <v>0</v>
      </c>
      <c r="AP1565" t="inlineStr">
        <is>
          <t>No</t>
        </is>
      </c>
      <c r="AQ1565" t="inlineStr">
        <is>
          <t>No</t>
        </is>
      </c>
      <c r="AS1565">
        <f>HYPERLINK("https://creighton-primo.hosted.exlibrisgroup.com/primo-explore/search?tab=default_tab&amp;search_scope=EVERYTHING&amp;vid=01CRU&amp;lang=en_US&amp;offset=0&amp;query=any,contains,991005080639702656","Catalog Record")</f>
        <v/>
      </c>
      <c r="AT1565">
        <f>HYPERLINK("http://www.worldcat.org/oclc/7171368","WorldCat Record")</f>
        <v/>
      </c>
      <c r="AU1565" t="inlineStr">
        <is>
          <t>473505:eng</t>
        </is>
      </c>
      <c r="AV1565" t="inlineStr">
        <is>
          <t>7171368</t>
        </is>
      </c>
      <c r="AW1565" t="inlineStr">
        <is>
          <t>991005080639702656</t>
        </is>
      </c>
      <c r="AX1565" t="inlineStr">
        <is>
          <t>991005080639702656</t>
        </is>
      </c>
      <c r="AY1565" t="inlineStr">
        <is>
          <t>2255099500002656</t>
        </is>
      </c>
      <c r="AZ1565" t="inlineStr">
        <is>
          <t>BOOK</t>
        </is>
      </c>
      <c r="BB1565" t="inlineStr">
        <is>
          <t>9780812909647</t>
        </is>
      </c>
      <c r="BC1565" t="inlineStr">
        <is>
          <t>32285001361632</t>
        </is>
      </c>
      <c r="BD1565" t="inlineStr">
        <is>
          <t>893424512</t>
        </is>
      </c>
    </row>
    <row r="1566">
      <c r="A1566" t="inlineStr">
        <is>
          <t>No</t>
        </is>
      </c>
      <c r="B1566" t="inlineStr">
        <is>
          <t>GV865.J67 A3 2000</t>
        </is>
      </c>
      <c r="C1566" t="inlineStr">
        <is>
          <t>0                      GV 0865000J  67                 A  3           2000</t>
        </is>
      </c>
      <c r="D1566" t="inlineStr">
        <is>
          <t>A nice Tuesday : a memoir / Pat Jordan.</t>
        </is>
      </c>
      <c r="F1566" t="inlineStr">
        <is>
          <t>No</t>
        </is>
      </c>
      <c r="G1566" t="inlineStr">
        <is>
          <t>1</t>
        </is>
      </c>
      <c r="H1566" t="inlineStr">
        <is>
          <t>No</t>
        </is>
      </c>
      <c r="I1566" t="inlineStr">
        <is>
          <t>No</t>
        </is>
      </c>
      <c r="J1566" t="inlineStr">
        <is>
          <t>0</t>
        </is>
      </c>
      <c r="K1566" t="inlineStr">
        <is>
          <t>Jordan, Pat.</t>
        </is>
      </c>
      <c r="L1566" t="inlineStr">
        <is>
          <t>New York : St. Martin's Griffin, 2000.</t>
        </is>
      </c>
      <c r="M1566" t="inlineStr">
        <is>
          <t>2000</t>
        </is>
      </c>
      <c r="N1566" t="inlineStr">
        <is>
          <t>1st St. Martin's Griffin ed.</t>
        </is>
      </c>
      <c r="O1566" t="inlineStr">
        <is>
          <t>eng</t>
        </is>
      </c>
      <c r="P1566" t="inlineStr">
        <is>
          <t>nyu</t>
        </is>
      </c>
      <c r="R1566" t="inlineStr">
        <is>
          <t xml:space="preserve">GV </t>
        </is>
      </c>
      <c r="S1566" t="n">
        <v>1</v>
      </c>
      <c r="T1566" t="n">
        <v>1</v>
      </c>
      <c r="U1566" t="inlineStr">
        <is>
          <t>2010-07-15</t>
        </is>
      </c>
      <c r="V1566" t="inlineStr">
        <is>
          <t>2010-07-15</t>
        </is>
      </c>
      <c r="W1566" t="inlineStr">
        <is>
          <t>2010-07-15</t>
        </is>
      </c>
      <c r="X1566" t="inlineStr">
        <is>
          <t>2010-07-15</t>
        </is>
      </c>
      <c r="Y1566" t="n">
        <v>13</v>
      </c>
      <c r="Z1566" t="n">
        <v>13</v>
      </c>
      <c r="AA1566" t="n">
        <v>198</v>
      </c>
      <c r="AB1566" t="n">
        <v>1</v>
      </c>
      <c r="AC1566" t="n">
        <v>4</v>
      </c>
      <c r="AD1566" t="n">
        <v>0</v>
      </c>
      <c r="AE1566" t="n">
        <v>6</v>
      </c>
      <c r="AF1566" t="n">
        <v>0</v>
      </c>
      <c r="AG1566" t="n">
        <v>4</v>
      </c>
      <c r="AH1566" t="n">
        <v>0</v>
      </c>
      <c r="AI1566" t="n">
        <v>1</v>
      </c>
      <c r="AJ1566" t="n">
        <v>0</v>
      </c>
      <c r="AK1566" t="n">
        <v>0</v>
      </c>
      <c r="AL1566" t="n">
        <v>0</v>
      </c>
      <c r="AM1566" t="n">
        <v>2</v>
      </c>
      <c r="AN1566" t="n">
        <v>0</v>
      </c>
      <c r="AO1566" t="n">
        <v>0</v>
      </c>
      <c r="AP1566" t="inlineStr">
        <is>
          <t>No</t>
        </is>
      </c>
      <c r="AQ1566" t="inlineStr">
        <is>
          <t>No</t>
        </is>
      </c>
      <c r="AS1566">
        <f>HYPERLINK("https://creighton-primo.hosted.exlibrisgroup.com/primo-explore/search?tab=default_tab&amp;search_scope=EVERYTHING&amp;vid=01CRU&amp;lang=en_US&amp;offset=0&amp;query=any,contains,991000028569702656","Catalog Record")</f>
        <v/>
      </c>
      <c r="AT1566">
        <f>HYPERLINK("http://www.worldcat.org/oclc/44596687","WorldCat Record")</f>
        <v/>
      </c>
      <c r="AU1566" t="inlineStr">
        <is>
          <t>25571271:eng</t>
        </is>
      </c>
      <c r="AV1566" t="inlineStr">
        <is>
          <t>44596687</t>
        </is>
      </c>
      <c r="AW1566" t="inlineStr">
        <is>
          <t>991000028569702656</t>
        </is>
      </c>
      <c r="AX1566" t="inlineStr">
        <is>
          <t>991000028569702656</t>
        </is>
      </c>
      <c r="AY1566" t="inlineStr">
        <is>
          <t>2272552340002656</t>
        </is>
      </c>
      <c r="AZ1566" t="inlineStr">
        <is>
          <t>BOOK</t>
        </is>
      </c>
      <c r="BB1566" t="inlineStr">
        <is>
          <t>9780312263621</t>
        </is>
      </c>
      <c r="BC1566" t="inlineStr">
        <is>
          <t>32285005590335</t>
        </is>
      </c>
      <c r="BD1566" t="inlineStr">
        <is>
          <t>893802423</t>
        </is>
      </c>
    </row>
    <row r="1567">
      <c r="A1567" t="inlineStr">
        <is>
          <t>No</t>
        </is>
      </c>
      <c r="B1567" t="inlineStr">
        <is>
          <t>GV865.M33 F35 1995</t>
        </is>
      </c>
      <c r="C1567" t="inlineStr">
        <is>
          <t>0                      GV 0865000M  33                 F  35          1995</t>
        </is>
      </c>
      <c r="D1567" t="inlineStr">
        <is>
          <t>The last hero : the life of Mickey Mantle / David Falkner.</t>
        </is>
      </c>
      <c r="F1567" t="inlineStr">
        <is>
          <t>No</t>
        </is>
      </c>
      <c r="G1567" t="inlineStr">
        <is>
          <t>1</t>
        </is>
      </c>
      <c r="H1567" t="inlineStr">
        <is>
          <t>No</t>
        </is>
      </c>
      <c r="I1567" t="inlineStr">
        <is>
          <t>No</t>
        </is>
      </c>
      <c r="J1567" t="inlineStr">
        <is>
          <t>0</t>
        </is>
      </c>
      <c r="K1567" t="inlineStr">
        <is>
          <t>Falkner, David.</t>
        </is>
      </c>
      <c r="L1567" t="inlineStr">
        <is>
          <t>New York : Simon &amp; Schuster, c1995.</t>
        </is>
      </c>
      <c r="M1567" t="inlineStr">
        <is>
          <t>1995</t>
        </is>
      </c>
      <c r="O1567" t="inlineStr">
        <is>
          <t>eng</t>
        </is>
      </c>
      <c r="P1567" t="inlineStr">
        <is>
          <t>nyu</t>
        </is>
      </c>
      <c r="R1567" t="inlineStr">
        <is>
          <t xml:space="preserve">GV </t>
        </is>
      </c>
      <c r="S1567" t="n">
        <v>7</v>
      </c>
      <c r="T1567" t="n">
        <v>7</v>
      </c>
      <c r="U1567" t="inlineStr">
        <is>
          <t>2003-03-22</t>
        </is>
      </c>
      <c r="V1567" t="inlineStr">
        <is>
          <t>2003-03-22</t>
        </is>
      </c>
      <c r="W1567" t="inlineStr">
        <is>
          <t>1996-05-21</t>
        </is>
      </c>
      <c r="X1567" t="inlineStr">
        <is>
          <t>1996-05-21</t>
        </is>
      </c>
      <c r="Y1567" t="n">
        <v>799</v>
      </c>
      <c r="Z1567" t="n">
        <v>778</v>
      </c>
      <c r="AA1567" t="n">
        <v>786</v>
      </c>
      <c r="AB1567" t="n">
        <v>6</v>
      </c>
      <c r="AC1567" t="n">
        <v>6</v>
      </c>
      <c r="AD1567" t="n">
        <v>7</v>
      </c>
      <c r="AE1567" t="n">
        <v>7</v>
      </c>
      <c r="AF1567" t="n">
        <v>2</v>
      </c>
      <c r="AG1567" t="n">
        <v>2</v>
      </c>
      <c r="AH1567" t="n">
        <v>1</v>
      </c>
      <c r="AI1567" t="n">
        <v>1</v>
      </c>
      <c r="AJ1567" t="n">
        <v>3</v>
      </c>
      <c r="AK1567" t="n">
        <v>3</v>
      </c>
      <c r="AL1567" t="n">
        <v>1</v>
      </c>
      <c r="AM1567" t="n">
        <v>1</v>
      </c>
      <c r="AN1567" t="n">
        <v>0</v>
      </c>
      <c r="AO1567" t="n">
        <v>0</v>
      </c>
      <c r="AP1567" t="inlineStr">
        <is>
          <t>No</t>
        </is>
      </c>
      <c r="AQ1567" t="inlineStr">
        <is>
          <t>Yes</t>
        </is>
      </c>
      <c r="AR1567">
        <f>HYPERLINK("http://catalog.hathitrust.org/Record/003049589","HathiTrust Record")</f>
        <v/>
      </c>
      <c r="AS1567">
        <f>HYPERLINK("https://creighton-primo.hosted.exlibrisgroup.com/primo-explore/search?tab=default_tab&amp;search_scope=EVERYTHING&amp;vid=01CRU&amp;lang=en_US&amp;offset=0&amp;query=any,contains,991002577679702656","Catalog Record")</f>
        <v/>
      </c>
      <c r="AT1567">
        <f>HYPERLINK("http://www.worldcat.org/oclc/33666357","WorldCat Record")</f>
        <v/>
      </c>
      <c r="AU1567" t="inlineStr">
        <is>
          <t>35489663:eng</t>
        </is>
      </c>
      <c r="AV1567" t="inlineStr">
        <is>
          <t>33666357</t>
        </is>
      </c>
      <c r="AW1567" t="inlineStr">
        <is>
          <t>991002577679702656</t>
        </is>
      </c>
      <c r="AX1567" t="inlineStr">
        <is>
          <t>991002577679702656</t>
        </is>
      </c>
      <c r="AY1567" t="inlineStr">
        <is>
          <t>2257574520002656</t>
        </is>
      </c>
      <c r="AZ1567" t="inlineStr">
        <is>
          <t>BOOK</t>
        </is>
      </c>
      <c r="BB1567" t="inlineStr">
        <is>
          <t>9780684814247</t>
        </is>
      </c>
      <c r="BC1567" t="inlineStr">
        <is>
          <t>32285002175957</t>
        </is>
      </c>
      <c r="BD1567" t="inlineStr">
        <is>
          <t>893627199</t>
        </is>
      </c>
    </row>
    <row r="1568">
      <c r="A1568" t="inlineStr">
        <is>
          <t>No</t>
        </is>
      </c>
      <c r="B1568" t="inlineStr">
        <is>
          <t>GV865.M33 H46 1996</t>
        </is>
      </c>
      <c r="C1568" t="inlineStr">
        <is>
          <t>0                      GV 0865000M  33                 H  46          1996</t>
        </is>
      </c>
      <c r="D1568" t="inlineStr">
        <is>
          <t>A Hero all his life : a memoir by the Mantle family / Merlyn Mantle ... [et al.] with Mickey Herskowitz.</t>
        </is>
      </c>
      <c r="F1568" t="inlineStr">
        <is>
          <t>No</t>
        </is>
      </c>
      <c r="G1568" t="inlineStr">
        <is>
          <t>1</t>
        </is>
      </c>
      <c r="H1568" t="inlineStr">
        <is>
          <t>No</t>
        </is>
      </c>
      <c r="I1568" t="inlineStr">
        <is>
          <t>No</t>
        </is>
      </c>
      <c r="J1568" t="inlineStr">
        <is>
          <t>0</t>
        </is>
      </c>
      <c r="L1568" t="inlineStr">
        <is>
          <t>New York : HarperCollinsPublishers, c1996.</t>
        </is>
      </c>
      <c r="M1568" t="inlineStr">
        <is>
          <t>1996</t>
        </is>
      </c>
      <c r="N1568" t="inlineStr">
        <is>
          <t>1st ed.</t>
        </is>
      </c>
      <c r="O1568" t="inlineStr">
        <is>
          <t>eng</t>
        </is>
      </c>
      <c r="P1568" t="inlineStr">
        <is>
          <t>nyu</t>
        </is>
      </c>
      <c r="R1568" t="inlineStr">
        <is>
          <t xml:space="preserve">GV </t>
        </is>
      </c>
      <c r="S1568" t="n">
        <v>4</v>
      </c>
      <c r="T1568" t="n">
        <v>4</v>
      </c>
      <c r="U1568" t="inlineStr">
        <is>
          <t>2000-02-09</t>
        </is>
      </c>
      <c r="V1568" t="inlineStr">
        <is>
          <t>2000-02-09</t>
        </is>
      </c>
      <c r="W1568" t="inlineStr">
        <is>
          <t>1996-10-11</t>
        </is>
      </c>
      <c r="X1568" t="inlineStr">
        <is>
          <t>1996-10-11</t>
        </is>
      </c>
      <c r="Y1568" t="n">
        <v>613</v>
      </c>
      <c r="Z1568" t="n">
        <v>603</v>
      </c>
      <c r="AA1568" t="n">
        <v>633</v>
      </c>
      <c r="AB1568" t="n">
        <v>6</v>
      </c>
      <c r="AC1568" t="n">
        <v>6</v>
      </c>
      <c r="AD1568" t="n">
        <v>2</v>
      </c>
      <c r="AE1568" t="n">
        <v>2</v>
      </c>
      <c r="AF1568" t="n">
        <v>1</v>
      </c>
      <c r="AG1568" t="n">
        <v>1</v>
      </c>
      <c r="AH1568" t="n">
        <v>0</v>
      </c>
      <c r="AI1568" t="n">
        <v>0</v>
      </c>
      <c r="AJ1568" t="n">
        <v>2</v>
      </c>
      <c r="AK1568" t="n">
        <v>2</v>
      </c>
      <c r="AL1568" t="n">
        <v>0</v>
      </c>
      <c r="AM1568" t="n">
        <v>0</v>
      </c>
      <c r="AN1568" t="n">
        <v>0</v>
      </c>
      <c r="AO1568" t="n">
        <v>0</v>
      </c>
      <c r="AP1568" t="inlineStr">
        <is>
          <t>No</t>
        </is>
      </c>
      <c r="AQ1568" t="inlineStr">
        <is>
          <t>Yes</t>
        </is>
      </c>
      <c r="AR1568">
        <f>HYPERLINK("http://catalog.hathitrust.org/Record/009821996","HathiTrust Record")</f>
        <v/>
      </c>
      <c r="AS1568">
        <f>HYPERLINK("https://creighton-primo.hosted.exlibrisgroup.com/primo-explore/search?tab=default_tab&amp;search_scope=EVERYTHING&amp;vid=01CRU&amp;lang=en_US&amp;offset=0&amp;query=any,contains,991002668429702656","Catalog Record")</f>
        <v/>
      </c>
      <c r="AT1568">
        <f>HYPERLINK("http://www.worldcat.org/oclc/34906135","WorldCat Record")</f>
        <v/>
      </c>
      <c r="AU1568" t="inlineStr">
        <is>
          <t>56077393:eng</t>
        </is>
      </c>
      <c r="AV1568" t="inlineStr">
        <is>
          <t>34906135</t>
        </is>
      </c>
      <c r="AW1568" t="inlineStr">
        <is>
          <t>991002668429702656</t>
        </is>
      </c>
      <c r="AX1568" t="inlineStr">
        <is>
          <t>991002668429702656</t>
        </is>
      </c>
      <c r="AY1568" t="inlineStr">
        <is>
          <t>2262002530002656</t>
        </is>
      </c>
      <c r="AZ1568" t="inlineStr">
        <is>
          <t>BOOK</t>
        </is>
      </c>
      <c r="BB1568" t="inlineStr">
        <is>
          <t>9780060183639</t>
        </is>
      </c>
      <c r="BC1568" t="inlineStr">
        <is>
          <t>32285002365517</t>
        </is>
      </c>
      <c r="BD1568" t="inlineStr">
        <is>
          <t>893880248</t>
        </is>
      </c>
    </row>
    <row r="1569">
      <c r="A1569" t="inlineStr">
        <is>
          <t>No</t>
        </is>
      </c>
      <c r="B1569" t="inlineStr">
        <is>
          <t>GV865.M35 D46 2001</t>
        </is>
      </c>
      <c r="C1569" t="inlineStr">
        <is>
          <t>0                      GV 0865000M  35                 D  46          2001</t>
        </is>
      </c>
      <c r="D1569" t="inlineStr">
        <is>
          <t>Dugout days : untold tales and leadership lessons from the extraordinary career of Billy Martin / Michael DeMarco.</t>
        </is>
      </c>
      <c r="F1569" t="inlineStr">
        <is>
          <t>No</t>
        </is>
      </c>
      <c r="G1569" t="inlineStr">
        <is>
          <t>1</t>
        </is>
      </c>
      <c r="H1569" t="inlineStr">
        <is>
          <t>No</t>
        </is>
      </c>
      <c r="I1569" t="inlineStr">
        <is>
          <t>No</t>
        </is>
      </c>
      <c r="J1569" t="inlineStr">
        <is>
          <t>0</t>
        </is>
      </c>
      <c r="K1569" t="inlineStr">
        <is>
          <t>DeMarco, Michael.</t>
        </is>
      </c>
      <c r="L1569" t="inlineStr">
        <is>
          <t>New York : AMACOM, c2001.</t>
        </is>
      </c>
      <c r="M1569" t="inlineStr">
        <is>
          <t>2001</t>
        </is>
      </c>
      <c r="O1569" t="inlineStr">
        <is>
          <t>eng</t>
        </is>
      </c>
      <c r="P1569" t="inlineStr">
        <is>
          <t>nyu</t>
        </is>
      </c>
      <c r="R1569" t="inlineStr">
        <is>
          <t xml:space="preserve">GV </t>
        </is>
      </c>
      <c r="S1569" t="n">
        <v>2</v>
      </c>
      <c r="T1569" t="n">
        <v>2</v>
      </c>
      <c r="U1569" t="inlineStr">
        <is>
          <t>2001-05-16</t>
        </is>
      </c>
      <c r="V1569" t="inlineStr">
        <is>
          <t>2001-05-16</t>
        </is>
      </c>
      <c r="W1569" t="inlineStr">
        <is>
          <t>2001-04-24</t>
        </is>
      </c>
      <c r="X1569" t="inlineStr">
        <is>
          <t>2001-04-24</t>
        </is>
      </c>
      <c r="Y1569" t="n">
        <v>210</v>
      </c>
      <c r="Z1569" t="n">
        <v>202</v>
      </c>
      <c r="AA1569" t="n">
        <v>207</v>
      </c>
      <c r="AB1569" t="n">
        <v>3</v>
      </c>
      <c r="AC1569" t="n">
        <v>3</v>
      </c>
      <c r="AD1569" t="n">
        <v>4</v>
      </c>
      <c r="AE1569" t="n">
        <v>4</v>
      </c>
      <c r="AF1569" t="n">
        <v>1</v>
      </c>
      <c r="AG1569" t="n">
        <v>1</v>
      </c>
      <c r="AH1569" t="n">
        <v>1</v>
      </c>
      <c r="AI1569" t="n">
        <v>1</v>
      </c>
      <c r="AJ1569" t="n">
        <v>1</v>
      </c>
      <c r="AK1569" t="n">
        <v>1</v>
      </c>
      <c r="AL1569" t="n">
        <v>2</v>
      </c>
      <c r="AM1569" t="n">
        <v>2</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HYPERLINK("https://creighton-primo.hosted.exlibrisgroup.com/primo-explore/search?tab=default_tab&amp;search_scope=EVERYTHING&amp;vid=01CRU&amp;lang=en_US&amp;offset=0&amp;query=any,contains,991003526159702656","Catalog Record")</f>
        <v/>
      </c>
      <c r="AT1569">
        <f>HYPERLINK("http://www.worldcat.org/oclc/45669148","WorldCat Record")</f>
        <v/>
      </c>
      <c r="AU1569" t="inlineStr">
        <is>
          <t>35455102:eng</t>
        </is>
      </c>
      <c r="AV1569" t="inlineStr">
        <is>
          <t>45669148</t>
        </is>
      </c>
      <c r="AW1569" t="inlineStr">
        <is>
          <t>991003526159702656</t>
        </is>
      </c>
      <c r="AX1569" t="inlineStr">
        <is>
          <t>991003526159702656</t>
        </is>
      </c>
      <c r="AY1569" t="inlineStr">
        <is>
          <t>2272703710002656</t>
        </is>
      </c>
      <c r="AZ1569" t="inlineStr">
        <is>
          <t>BOOK</t>
        </is>
      </c>
      <c r="BB1569" t="inlineStr">
        <is>
          <t>9780814405611</t>
        </is>
      </c>
      <c r="BC1569" t="inlineStr">
        <is>
          <t>32285004314638</t>
        </is>
      </c>
      <c r="BD1569" t="inlineStr">
        <is>
          <t>893336579</t>
        </is>
      </c>
    </row>
    <row r="1570">
      <c r="A1570" t="inlineStr">
        <is>
          <t>No</t>
        </is>
      </c>
      <c r="B1570" t="inlineStr">
        <is>
          <t>GV865.M353 G65 1994</t>
        </is>
      </c>
      <c r="C1570" t="inlineStr">
        <is>
          <t>0                      GV 0865000M  353                G  65          1994</t>
        </is>
      </c>
      <c r="D1570" t="inlineStr">
        <is>
          <t>Wild, high and tight : the life and death of Billy Martin / Peter Golenbock.</t>
        </is>
      </c>
      <c r="F1570" t="inlineStr">
        <is>
          <t>No</t>
        </is>
      </c>
      <c r="G1570" t="inlineStr">
        <is>
          <t>1</t>
        </is>
      </c>
      <c r="H1570" t="inlineStr">
        <is>
          <t>No</t>
        </is>
      </c>
      <c r="I1570" t="inlineStr">
        <is>
          <t>No</t>
        </is>
      </c>
      <c r="J1570" t="inlineStr">
        <is>
          <t>0</t>
        </is>
      </c>
      <c r="K1570" t="inlineStr">
        <is>
          <t>Golenbock, Peter, 1946-</t>
        </is>
      </c>
      <c r="L1570" t="inlineStr">
        <is>
          <t>New York : St. Martin's Press, 1994.</t>
        </is>
      </c>
      <c r="M1570" t="inlineStr">
        <is>
          <t>1994</t>
        </is>
      </c>
      <c r="O1570" t="inlineStr">
        <is>
          <t>eng</t>
        </is>
      </c>
      <c r="P1570" t="inlineStr">
        <is>
          <t>nyu</t>
        </is>
      </c>
      <c r="R1570" t="inlineStr">
        <is>
          <t xml:space="preserve">GV </t>
        </is>
      </c>
      <c r="S1570" t="n">
        <v>1</v>
      </c>
      <c r="T1570" t="n">
        <v>1</v>
      </c>
      <c r="U1570" t="inlineStr">
        <is>
          <t>2005-10-13</t>
        </is>
      </c>
      <c r="V1570" t="inlineStr">
        <is>
          <t>2005-10-13</t>
        </is>
      </c>
      <c r="W1570" t="inlineStr">
        <is>
          <t>2005-10-13</t>
        </is>
      </c>
      <c r="X1570" t="inlineStr">
        <is>
          <t>2005-10-13</t>
        </is>
      </c>
      <c r="Y1570" t="n">
        <v>420</v>
      </c>
      <c r="Z1570" t="n">
        <v>411</v>
      </c>
      <c r="AA1570" t="n">
        <v>417</v>
      </c>
      <c r="AB1570" t="n">
        <v>2</v>
      </c>
      <c r="AC1570" t="n">
        <v>2</v>
      </c>
      <c r="AD1570" t="n">
        <v>4</v>
      </c>
      <c r="AE1570" t="n">
        <v>4</v>
      </c>
      <c r="AF1570" t="n">
        <v>2</v>
      </c>
      <c r="AG1570" t="n">
        <v>2</v>
      </c>
      <c r="AH1570" t="n">
        <v>0</v>
      </c>
      <c r="AI1570" t="n">
        <v>0</v>
      </c>
      <c r="AJ1570" t="n">
        <v>3</v>
      </c>
      <c r="AK1570" t="n">
        <v>3</v>
      </c>
      <c r="AL1570" t="n">
        <v>0</v>
      </c>
      <c r="AM1570" t="n">
        <v>0</v>
      </c>
      <c r="AN1570" t="n">
        <v>0</v>
      </c>
      <c r="AO1570" t="n">
        <v>0</v>
      </c>
      <c r="AP1570" t="inlineStr">
        <is>
          <t>No</t>
        </is>
      </c>
      <c r="AQ1570" t="inlineStr">
        <is>
          <t>No</t>
        </is>
      </c>
      <c r="AS1570">
        <f>HYPERLINK("https://creighton-primo.hosted.exlibrisgroup.com/primo-explore/search?tab=default_tab&amp;search_scope=EVERYTHING&amp;vid=01CRU&amp;lang=en_US&amp;offset=0&amp;query=any,contains,991004678479702656","Catalog Record")</f>
        <v/>
      </c>
      <c r="AT1570">
        <f>HYPERLINK("http://www.worldcat.org/oclc/29357789","WorldCat Record")</f>
        <v/>
      </c>
      <c r="AU1570" t="inlineStr">
        <is>
          <t>31222269:eng</t>
        </is>
      </c>
      <c r="AV1570" t="inlineStr">
        <is>
          <t>29357789</t>
        </is>
      </c>
      <c r="AW1570" t="inlineStr">
        <is>
          <t>991004678479702656</t>
        </is>
      </c>
      <c r="AX1570" t="inlineStr">
        <is>
          <t>991004678479702656</t>
        </is>
      </c>
      <c r="AY1570" t="inlineStr">
        <is>
          <t>2265718220002656</t>
        </is>
      </c>
      <c r="AZ1570" t="inlineStr">
        <is>
          <t>BOOK</t>
        </is>
      </c>
      <c r="BB1570" t="inlineStr">
        <is>
          <t>9780312105754</t>
        </is>
      </c>
      <c r="BC1570" t="inlineStr">
        <is>
          <t>32285005089767</t>
        </is>
      </c>
      <c r="BD1570" t="inlineStr">
        <is>
          <t>893344124</t>
        </is>
      </c>
    </row>
    <row r="1571">
      <c r="A1571" t="inlineStr">
        <is>
          <t>No</t>
        </is>
      </c>
      <c r="B1571" t="inlineStr">
        <is>
          <t>GV865.M355 O9 2000</t>
        </is>
      </c>
      <c r="C1571" t="inlineStr">
        <is>
          <t>0                      GV 0865000M  355                O  9           2000</t>
        </is>
      </c>
      <c r="D1571" t="inlineStr">
        <is>
          <t>Pedro, a exceso de velocidad! / Marcelino Ozuna.</t>
        </is>
      </c>
      <c r="F1571" t="inlineStr">
        <is>
          <t>No</t>
        </is>
      </c>
      <c r="G1571" t="inlineStr">
        <is>
          <t>1</t>
        </is>
      </c>
      <c r="H1571" t="inlineStr">
        <is>
          <t>No</t>
        </is>
      </c>
      <c r="I1571" t="inlineStr">
        <is>
          <t>No</t>
        </is>
      </c>
      <c r="J1571" t="inlineStr">
        <is>
          <t>0</t>
        </is>
      </c>
      <c r="K1571" t="inlineStr">
        <is>
          <t>Ozuna, Marcelino, 1965-</t>
        </is>
      </c>
      <c r="L1571" t="inlineStr">
        <is>
          <t>Salem, N.H. : Grupo Editorial Jumas, [2000]</t>
        </is>
      </c>
      <c r="M1571" t="inlineStr">
        <is>
          <t>2000</t>
        </is>
      </c>
      <c r="N1571" t="inlineStr">
        <is>
          <t>1. ed.</t>
        </is>
      </c>
      <c r="O1571" t="inlineStr">
        <is>
          <t>spa</t>
        </is>
      </c>
      <c r="P1571" t="inlineStr">
        <is>
          <t xml:space="preserve">dr </t>
        </is>
      </c>
      <c r="Q1571" t="inlineStr">
        <is>
          <t>Biografía</t>
        </is>
      </c>
      <c r="R1571" t="inlineStr">
        <is>
          <t xml:space="preserve">GV </t>
        </is>
      </c>
      <c r="S1571" t="n">
        <v>2</v>
      </c>
      <c r="T1571" t="n">
        <v>2</v>
      </c>
      <c r="U1571" t="inlineStr">
        <is>
          <t>2001-06-19</t>
        </is>
      </c>
      <c r="V1571" t="inlineStr">
        <is>
          <t>2001-06-19</t>
        </is>
      </c>
      <c r="W1571" t="inlineStr">
        <is>
          <t>2001-06-18</t>
        </is>
      </c>
      <c r="X1571" t="inlineStr">
        <is>
          <t>2001-06-18</t>
        </is>
      </c>
      <c r="Y1571" t="n">
        <v>11</v>
      </c>
      <c r="Z1571" t="n">
        <v>11</v>
      </c>
      <c r="AA1571" t="n">
        <v>12</v>
      </c>
      <c r="AB1571" t="n">
        <v>1</v>
      </c>
      <c r="AC1571" t="n">
        <v>1</v>
      </c>
      <c r="AD1571" t="n">
        <v>0</v>
      </c>
      <c r="AE1571" t="n">
        <v>0</v>
      </c>
      <c r="AF1571" t="n">
        <v>0</v>
      </c>
      <c r="AG1571" t="n">
        <v>0</v>
      </c>
      <c r="AH1571" t="n">
        <v>0</v>
      </c>
      <c r="AI1571" t="n">
        <v>0</v>
      </c>
      <c r="AJ1571" t="n">
        <v>0</v>
      </c>
      <c r="AK1571" t="n">
        <v>0</v>
      </c>
      <c r="AL1571" t="n">
        <v>0</v>
      </c>
      <c r="AM1571" t="n">
        <v>0</v>
      </c>
      <c r="AN1571" t="n">
        <v>0</v>
      </c>
      <c r="AO1571" t="n">
        <v>0</v>
      </c>
      <c r="AP1571" t="inlineStr">
        <is>
          <t>No</t>
        </is>
      </c>
      <c r="AQ1571" t="inlineStr">
        <is>
          <t>No</t>
        </is>
      </c>
      <c r="AS1571">
        <f>HYPERLINK("https://creighton-primo.hosted.exlibrisgroup.com/primo-explore/search?tab=default_tab&amp;search_scope=EVERYTHING&amp;vid=01CRU&amp;lang=en_US&amp;offset=0&amp;query=any,contains,991003560369702656","Catalog Record")</f>
        <v/>
      </c>
      <c r="AT1571">
        <f>HYPERLINK("http://www.worldcat.org/oclc/46811928","WorldCat Record")</f>
        <v/>
      </c>
      <c r="AU1571" t="inlineStr">
        <is>
          <t>35776244:spa</t>
        </is>
      </c>
      <c r="AV1571" t="inlineStr">
        <is>
          <t>46811928</t>
        </is>
      </c>
      <c r="AW1571" t="inlineStr">
        <is>
          <t>991003560369702656</t>
        </is>
      </c>
      <c r="AX1571" t="inlineStr">
        <is>
          <t>991003560369702656</t>
        </is>
      </c>
      <c r="AY1571" t="inlineStr">
        <is>
          <t>2260110830002656</t>
        </is>
      </c>
      <c r="AZ1571" t="inlineStr">
        <is>
          <t>BOOK</t>
        </is>
      </c>
      <c r="BB1571" t="inlineStr">
        <is>
          <t>9780970101020</t>
        </is>
      </c>
      <c r="BC1571" t="inlineStr">
        <is>
          <t>32285004328273</t>
        </is>
      </c>
      <c r="BD1571" t="inlineStr">
        <is>
          <t>893318098</t>
        </is>
      </c>
    </row>
    <row r="1572">
      <c r="A1572" t="inlineStr">
        <is>
          <t>No</t>
        </is>
      </c>
      <c r="B1572" t="inlineStr">
        <is>
          <t>GV865.P3 A3 1993</t>
        </is>
      </c>
      <c r="C1572" t="inlineStr">
        <is>
          <t>0                      GV 0865000P  3                  A  3           1993</t>
        </is>
      </c>
      <c r="D1572" t="inlineStr">
        <is>
          <t>Maybe I'll pitch forever : a great baseball player tells the hilarious story behind the legend / by Leroy (Satchel) Paige, as told to David Lipman ; introduction by John B. Holway ; afterword by David Lipman.</t>
        </is>
      </c>
      <c r="F1572" t="inlineStr">
        <is>
          <t>No</t>
        </is>
      </c>
      <c r="G1572" t="inlineStr">
        <is>
          <t>1</t>
        </is>
      </c>
      <c r="H1572" t="inlineStr">
        <is>
          <t>No</t>
        </is>
      </c>
      <c r="I1572" t="inlineStr">
        <is>
          <t>No</t>
        </is>
      </c>
      <c r="J1572" t="inlineStr">
        <is>
          <t>0</t>
        </is>
      </c>
      <c r="K1572" t="inlineStr">
        <is>
          <t>Paige, Satchel, 1906-1982.</t>
        </is>
      </c>
      <c r="L1572" t="inlineStr">
        <is>
          <t>Lincoln : University of Nebraska Press, c1993.</t>
        </is>
      </c>
      <c r="M1572" t="inlineStr">
        <is>
          <t>1993</t>
        </is>
      </c>
      <c r="O1572" t="inlineStr">
        <is>
          <t>eng</t>
        </is>
      </c>
      <c r="P1572" t="inlineStr">
        <is>
          <t>nbu</t>
        </is>
      </c>
      <c r="R1572" t="inlineStr">
        <is>
          <t xml:space="preserve">GV </t>
        </is>
      </c>
      <c r="S1572" t="n">
        <v>1</v>
      </c>
      <c r="T1572" t="n">
        <v>1</v>
      </c>
      <c r="U1572" t="inlineStr">
        <is>
          <t>2006-11-28</t>
        </is>
      </c>
      <c r="V1572" t="inlineStr">
        <is>
          <t>2006-11-28</t>
        </is>
      </c>
      <c r="W1572" t="inlineStr">
        <is>
          <t>2006-11-28</t>
        </is>
      </c>
      <c r="X1572" t="inlineStr">
        <is>
          <t>2006-11-28</t>
        </is>
      </c>
      <c r="Y1572" t="n">
        <v>246</v>
      </c>
      <c r="Z1572" t="n">
        <v>240</v>
      </c>
      <c r="AA1572" t="n">
        <v>639</v>
      </c>
      <c r="AB1572" t="n">
        <v>6</v>
      </c>
      <c r="AC1572" t="n">
        <v>8</v>
      </c>
      <c r="AD1572" t="n">
        <v>5</v>
      </c>
      <c r="AE1572" t="n">
        <v>11</v>
      </c>
      <c r="AF1572" t="n">
        <v>2</v>
      </c>
      <c r="AG1572" t="n">
        <v>5</v>
      </c>
      <c r="AH1572" t="n">
        <v>1</v>
      </c>
      <c r="AI1572" t="n">
        <v>2</v>
      </c>
      <c r="AJ1572" t="n">
        <v>1</v>
      </c>
      <c r="AK1572" t="n">
        <v>4</v>
      </c>
      <c r="AL1572" t="n">
        <v>2</v>
      </c>
      <c r="AM1572" t="n">
        <v>2</v>
      </c>
      <c r="AN1572" t="n">
        <v>0</v>
      </c>
      <c r="AO1572" t="n">
        <v>0</v>
      </c>
      <c r="AP1572" t="inlineStr">
        <is>
          <t>No</t>
        </is>
      </c>
      <c r="AQ1572" t="inlineStr">
        <is>
          <t>Yes</t>
        </is>
      </c>
      <c r="AR1572">
        <f>HYPERLINK("http://catalog.hathitrust.org/Record/004526802","HathiTrust Record")</f>
        <v/>
      </c>
      <c r="AS1572">
        <f>HYPERLINK("https://creighton-primo.hosted.exlibrisgroup.com/primo-explore/search?tab=default_tab&amp;search_scope=EVERYTHING&amp;vid=01CRU&amp;lang=en_US&amp;offset=0&amp;query=any,contains,991004988429702656","Catalog Record")</f>
        <v/>
      </c>
      <c r="AT1572">
        <f>HYPERLINK("http://www.worldcat.org/oclc/26852880","WorldCat Record")</f>
        <v/>
      </c>
      <c r="AU1572" t="inlineStr">
        <is>
          <t>1481557:eng</t>
        </is>
      </c>
      <c r="AV1572" t="inlineStr">
        <is>
          <t>26852880</t>
        </is>
      </c>
      <c r="AW1572" t="inlineStr">
        <is>
          <t>991004988429702656</t>
        </is>
      </c>
      <c r="AX1572" t="inlineStr">
        <is>
          <t>991004988429702656</t>
        </is>
      </c>
      <c r="AY1572" t="inlineStr">
        <is>
          <t>2264919480002656</t>
        </is>
      </c>
      <c r="AZ1572" t="inlineStr">
        <is>
          <t>BOOK</t>
        </is>
      </c>
      <c r="BB1572" t="inlineStr">
        <is>
          <t>9780803237025</t>
        </is>
      </c>
      <c r="BC1572" t="inlineStr">
        <is>
          <t>32285005262612</t>
        </is>
      </c>
      <c r="BD1572" t="inlineStr">
        <is>
          <t>893883185</t>
        </is>
      </c>
    </row>
    <row r="1573">
      <c r="A1573" t="inlineStr">
        <is>
          <t>No</t>
        </is>
      </c>
      <c r="B1573" t="inlineStr">
        <is>
          <t>GV865.R5 H57 1993</t>
        </is>
      </c>
      <c r="C1573" t="inlineStr">
        <is>
          <t>0                      GV 0865000R  5                  H  57          1993</t>
        </is>
      </c>
      <c r="D1573" t="inlineStr">
        <is>
          <t>Phil Rizzuto : a Yankee tradition. / Dan Hirshberg.</t>
        </is>
      </c>
      <c r="F1573" t="inlineStr">
        <is>
          <t>No</t>
        </is>
      </c>
      <c r="G1573" t="inlineStr">
        <is>
          <t>1</t>
        </is>
      </c>
      <c r="H1573" t="inlineStr">
        <is>
          <t>No</t>
        </is>
      </c>
      <c r="I1573" t="inlineStr">
        <is>
          <t>No</t>
        </is>
      </c>
      <c r="J1573" t="inlineStr">
        <is>
          <t>0</t>
        </is>
      </c>
      <c r="K1573" t="inlineStr">
        <is>
          <t>Hirshberg, Dan.</t>
        </is>
      </c>
      <c r="L1573" t="inlineStr">
        <is>
          <t>Champaign, IL : Sagamore Publishing, 1993.</t>
        </is>
      </c>
      <c r="M1573" t="inlineStr">
        <is>
          <t>1993</t>
        </is>
      </c>
      <c r="O1573" t="inlineStr">
        <is>
          <t>eng</t>
        </is>
      </c>
      <c r="P1573" t="inlineStr">
        <is>
          <t>ilu</t>
        </is>
      </c>
      <c r="R1573" t="inlineStr">
        <is>
          <t xml:space="preserve">GV </t>
        </is>
      </c>
      <c r="S1573" t="n">
        <v>1</v>
      </c>
      <c r="T1573" t="n">
        <v>1</v>
      </c>
      <c r="U1573" t="inlineStr">
        <is>
          <t>2004-03-25</t>
        </is>
      </c>
      <c r="V1573" t="inlineStr">
        <is>
          <t>2004-03-25</t>
        </is>
      </c>
      <c r="W1573" t="inlineStr">
        <is>
          <t>1999-01-25</t>
        </is>
      </c>
      <c r="X1573" t="inlineStr">
        <is>
          <t>1999-01-25</t>
        </is>
      </c>
      <c r="Y1573" t="n">
        <v>48</v>
      </c>
      <c r="Z1573" t="n">
        <v>48</v>
      </c>
      <c r="AA1573" t="n">
        <v>48</v>
      </c>
      <c r="AB1573" t="n">
        <v>1</v>
      </c>
      <c r="AC1573" t="n">
        <v>1</v>
      </c>
      <c r="AD1573" t="n">
        <v>1</v>
      </c>
      <c r="AE1573" t="n">
        <v>1</v>
      </c>
      <c r="AF1573" t="n">
        <v>1</v>
      </c>
      <c r="AG1573" t="n">
        <v>1</v>
      </c>
      <c r="AH1573" t="n">
        <v>0</v>
      </c>
      <c r="AI1573" t="n">
        <v>0</v>
      </c>
      <c r="AJ1573" t="n">
        <v>1</v>
      </c>
      <c r="AK1573" t="n">
        <v>1</v>
      </c>
      <c r="AL1573" t="n">
        <v>0</v>
      </c>
      <c r="AM1573" t="n">
        <v>0</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HYPERLINK("https://creighton-primo.hosted.exlibrisgroup.com/primo-explore/search?tab=default_tab&amp;search_scope=EVERYTHING&amp;vid=01CRU&amp;lang=en_US&amp;offset=0&amp;query=any,contains,991002221619702656","Catalog Record")</f>
        <v/>
      </c>
      <c r="AT1573">
        <f>HYPERLINK("http://www.worldcat.org/oclc/28629167","WorldCat Record")</f>
        <v/>
      </c>
      <c r="AU1573" t="inlineStr">
        <is>
          <t>381186:eng</t>
        </is>
      </c>
      <c r="AV1573" t="inlineStr">
        <is>
          <t>28629167</t>
        </is>
      </c>
      <c r="AW1573" t="inlineStr">
        <is>
          <t>991002221619702656</t>
        </is>
      </c>
      <c r="AX1573" t="inlineStr">
        <is>
          <t>991002221619702656</t>
        </is>
      </c>
      <c r="AY1573" t="inlineStr">
        <is>
          <t>2263098760002656</t>
        </is>
      </c>
      <c r="AZ1573" t="inlineStr">
        <is>
          <t>BOOK</t>
        </is>
      </c>
      <c r="BB1573" t="inlineStr">
        <is>
          <t>9780915611713</t>
        </is>
      </c>
      <c r="BC1573" t="inlineStr">
        <is>
          <t>32285003515847</t>
        </is>
      </c>
      <c r="BD1573" t="inlineStr">
        <is>
          <t>893347254</t>
        </is>
      </c>
    </row>
    <row r="1574">
      <c r="A1574" t="inlineStr">
        <is>
          <t>No</t>
        </is>
      </c>
      <c r="B1574" t="inlineStr">
        <is>
          <t>GV865.R6 D38 1996</t>
        </is>
      </c>
      <c r="C1574" t="inlineStr">
        <is>
          <t>0                      GV 0865000R  6                  D  38          1996</t>
        </is>
      </c>
      <c r="D1574" t="inlineStr">
        <is>
          <t>The story of Jackie Robinson, bravest man in baseball / by Margaret Davidson ; illustrated by Floyd Cooper.</t>
        </is>
      </c>
      <c r="F1574" t="inlineStr">
        <is>
          <t>No</t>
        </is>
      </c>
      <c r="G1574" t="inlineStr">
        <is>
          <t>1</t>
        </is>
      </c>
      <c r="H1574" t="inlineStr">
        <is>
          <t>No</t>
        </is>
      </c>
      <c r="I1574" t="inlineStr">
        <is>
          <t>No</t>
        </is>
      </c>
      <c r="J1574" t="inlineStr">
        <is>
          <t>0</t>
        </is>
      </c>
      <c r="K1574" t="inlineStr">
        <is>
          <t>Davidson, Margaret, 1936-</t>
        </is>
      </c>
      <c r="L1574" t="inlineStr">
        <is>
          <t>Milwaukee, Wis. : Gareth Stevens, 1996.</t>
        </is>
      </c>
      <c r="M1574" t="inlineStr">
        <is>
          <t>1996</t>
        </is>
      </c>
      <c r="O1574" t="inlineStr">
        <is>
          <t>eng</t>
        </is>
      </c>
      <c r="P1574" t="inlineStr">
        <is>
          <t>wiu</t>
        </is>
      </c>
      <c r="Q1574" t="inlineStr">
        <is>
          <t>Famous lives</t>
        </is>
      </c>
      <c r="R1574" t="inlineStr">
        <is>
          <t xml:space="preserve">GV </t>
        </is>
      </c>
      <c r="S1574" t="n">
        <v>6</v>
      </c>
      <c r="T1574" t="n">
        <v>6</v>
      </c>
      <c r="U1574" t="inlineStr">
        <is>
          <t>1998-10-07</t>
        </is>
      </c>
      <c r="V1574" t="inlineStr">
        <is>
          <t>1998-10-07</t>
        </is>
      </c>
      <c r="W1574" t="inlineStr">
        <is>
          <t>1996-10-09</t>
        </is>
      </c>
      <c r="X1574" t="inlineStr">
        <is>
          <t>1996-10-09</t>
        </is>
      </c>
      <c r="Y1574" t="n">
        <v>241</v>
      </c>
      <c r="Z1574" t="n">
        <v>240</v>
      </c>
      <c r="AA1574" t="n">
        <v>494</v>
      </c>
      <c r="AB1574" t="n">
        <v>4</v>
      </c>
      <c r="AC1574" t="n">
        <v>5</v>
      </c>
      <c r="AD1574" t="n">
        <v>0</v>
      </c>
      <c r="AE1574" t="n">
        <v>1</v>
      </c>
      <c r="AF1574" t="n">
        <v>0</v>
      </c>
      <c r="AG1574" t="n">
        <v>0</v>
      </c>
      <c r="AH1574" t="n">
        <v>0</v>
      </c>
      <c r="AI1574" t="n">
        <v>0</v>
      </c>
      <c r="AJ1574" t="n">
        <v>0</v>
      </c>
      <c r="AK1574" t="n">
        <v>0</v>
      </c>
      <c r="AL1574" t="n">
        <v>0</v>
      </c>
      <c r="AM1574" t="n">
        <v>1</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HYPERLINK("https://creighton-primo.hosted.exlibrisgroup.com/primo-explore/search?tab=default_tab&amp;search_scope=EVERYTHING&amp;vid=01CRU&amp;lang=en_US&amp;offset=0&amp;query=any,contains,991004598089702656","Catalog Record")</f>
        <v/>
      </c>
      <c r="AT1574">
        <f>HYPERLINK("http://www.worldcat.org/oclc/53002294","WorldCat Record")</f>
        <v/>
      </c>
      <c r="AU1574" t="inlineStr">
        <is>
          <t>10274279:eng</t>
        </is>
      </c>
      <c r="AV1574" t="inlineStr">
        <is>
          <t>53002294</t>
        </is>
      </c>
      <c r="AW1574" t="inlineStr">
        <is>
          <t>991004598089702656</t>
        </is>
      </c>
      <c r="AX1574" t="inlineStr">
        <is>
          <t>991004598089702656</t>
        </is>
      </c>
      <c r="AY1574" t="inlineStr">
        <is>
          <t>2269670940002656</t>
        </is>
      </c>
      <c r="AZ1574" t="inlineStr">
        <is>
          <t>BOOK</t>
        </is>
      </c>
      <c r="BB1574" t="inlineStr">
        <is>
          <t>9780836814705</t>
        </is>
      </c>
      <c r="BC1574" t="inlineStr">
        <is>
          <t>32285002324605</t>
        </is>
      </c>
      <c r="BD1574" t="inlineStr">
        <is>
          <t>893679570</t>
        </is>
      </c>
    </row>
    <row r="1575">
      <c r="A1575" t="inlineStr">
        <is>
          <t>No</t>
        </is>
      </c>
      <c r="B1575" t="inlineStr">
        <is>
          <t>GV865.R6 F35 1996</t>
        </is>
      </c>
      <c r="C1575" t="inlineStr">
        <is>
          <t>0                      GV 0865000R  6                  F  35          1996</t>
        </is>
      </c>
      <c r="D1575" t="inlineStr">
        <is>
          <t>Great time coming : the life of Jackie Robinson, from baseball to Birmingham / David Falkner.</t>
        </is>
      </c>
      <c r="F1575" t="inlineStr">
        <is>
          <t>No</t>
        </is>
      </c>
      <c r="G1575" t="inlineStr">
        <is>
          <t>1</t>
        </is>
      </c>
      <c r="H1575" t="inlineStr">
        <is>
          <t>No</t>
        </is>
      </c>
      <c r="I1575" t="inlineStr">
        <is>
          <t>No</t>
        </is>
      </c>
      <c r="J1575" t="inlineStr">
        <is>
          <t>0</t>
        </is>
      </c>
      <c r="K1575" t="inlineStr">
        <is>
          <t>Falkner, David.</t>
        </is>
      </c>
      <c r="L1575" t="inlineStr">
        <is>
          <t>New York : Simon &amp; Schuster, 1996, c1995.</t>
        </is>
      </c>
      <c r="M1575" t="inlineStr">
        <is>
          <t>1996</t>
        </is>
      </c>
      <c r="N1575" t="inlineStr">
        <is>
          <t>1st Touchstone ed.</t>
        </is>
      </c>
      <c r="O1575" t="inlineStr">
        <is>
          <t>eng</t>
        </is>
      </c>
      <c r="P1575" t="inlineStr">
        <is>
          <t>nyu</t>
        </is>
      </c>
      <c r="R1575" t="inlineStr">
        <is>
          <t xml:space="preserve">GV </t>
        </is>
      </c>
      <c r="S1575" t="n">
        <v>1</v>
      </c>
      <c r="T1575" t="n">
        <v>1</v>
      </c>
      <c r="U1575" t="inlineStr">
        <is>
          <t>2009-04-23</t>
        </is>
      </c>
      <c r="V1575" t="inlineStr">
        <is>
          <t>2009-04-23</t>
        </is>
      </c>
      <c r="W1575" t="inlineStr">
        <is>
          <t>2009-04-23</t>
        </is>
      </c>
      <c r="X1575" t="inlineStr">
        <is>
          <t>2009-04-23</t>
        </is>
      </c>
      <c r="Y1575" t="n">
        <v>123</v>
      </c>
      <c r="Z1575" t="n">
        <v>121</v>
      </c>
      <c r="AA1575" t="n">
        <v>1358</v>
      </c>
      <c r="AB1575" t="n">
        <v>2</v>
      </c>
      <c r="AC1575" t="n">
        <v>10</v>
      </c>
      <c r="AD1575" t="n">
        <v>4</v>
      </c>
      <c r="AE1575" t="n">
        <v>28</v>
      </c>
      <c r="AF1575" t="n">
        <v>3</v>
      </c>
      <c r="AG1575" t="n">
        <v>12</v>
      </c>
      <c r="AH1575" t="n">
        <v>0</v>
      </c>
      <c r="AI1575" t="n">
        <v>7</v>
      </c>
      <c r="AJ1575" t="n">
        <v>3</v>
      </c>
      <c r="AK1575" t="n">
        <v>14</v>
      </c>
      <c r="AL1575" t="n">
        <v>0</v>
      </c>
      <c r="AM1575" t="n">
        <v>2</v>
      </c>
      <c r="AN1575" t="n">
        <v>0</v>
      </c>
      <c r="AO1575" t="n">
        <v>0</v>
      </c>
      <c r="AP1575" t="inlineStr">
        <is>
          <t>No</t>
        </is>
      </c>
      <c r="AQ1575" t="inlineStr">
        <is>
          <t>No</t>
        </is>
      </c>
      <c r="AS1575">
        <f>HYPERLINK("https://creighton-primo.hosted.exlibrisgroup.com/primo-explore/search?tab=default_tab&amp;search_scope=EVERYTHING&amp;vid=01CRU&amp;lang=en_US&amp;offset=0&amp;query=any,contains,991005312629702656","Catalog Record")</f>
        <v/>
      </c>
      <c r="AT1575">
        <f>HYPERLINK("http://www.worldcat.org/oclc/34074154","WorldCat Record")</f>
        <v/>
      </c>
      <c r="AU1575" t="inlineStr">
        <is>
          <t>33341927:eng</t>
        </is>
      </c>
      <c r="AV1575" t="inlineStr">
        <is>
          <t>34074154</t>
        </is>
      </c>
      <c r="AW1575" t="inlineStr">
        <is>
          <t>991005312629702656</t>
        </is>
      </c>
      <c r="AX1575" t="inlineStr">
        <is>
          <t>991005312629702656</t>
        </is>
      </c>
      <c r="AY1575" t="inlineStr">
        <is>
          <t>2272669620002656</t>
        </is>
      </c>
      <c r="AZ1575" t="inlineStr">
        <is>
          <t>BOOK</t>
        </is>
      </c>
      <c r="BB1575" t="inlineStr">
        <is>
          <t>9780684823485</t>
        </is>
      </c>
      <c r="BC1575" t="inlineStr">
        <is>
          <t>32285005518260</t>
        </is>
      </c>
      <c r="BD1575" t="inlineStr">
        <is>
          <t>893808180</t>
        </is>
      </c>
    </row>
    <row r="1576">
      <c r="A1576" t="inlineStr">
        <is>
          <t>No</t>
        </is>
      </c>
      <c r="B1576" t="inlineStr">
        <is>
          <t>GV865.R65 A297 2004</t>
        </is>
      </c>
      <c r="C1576" t="inlineStr">
        <is>
          <t>0                      GV 0865000R  65                 A  297         2004</t>
        </is>
      </c>
      <c r="D1576" t="inlineStr">
        <is>
          <t>My prison without bars / Pete Rose with Rick Hill.</t>
        </is>
      </c>
      <c r="F1576" t="inlineStr">
        <is>
          <t>No</t>
        </is>
      </c>
      <c r="G1576" t="inlineStr">
        <is>
          <t>1</t>
        </is>
      </c>
      <c r="H1576" t="inlineStr">
        <is>
          <t>No</t>
        </is>
      </c>
      <c r="I1576" t="inlineStr">
        <is>
          <t>No</t>
        </is>
      </c>
      <c r="J1576" t="inlineStr">
        <is>
          <t>0</t>
        </is>
      </c>
      <c r="K1576" t="inlineStr">
        <is>
          <t>Rose, Pete, 1941-</t>
        </is>
      </c>
      <c r="L1576" t="inlineStr">
        <is>
          <t>[Emmaus Pa.] : Rodale : Distributed to the book trade by St. Martin's Press, c2004.</t>
        </is>
      </c>
      <c r="M1576" t="inlineStr">
        <is>
          <t>2004</t>
        </is>
      </c>
      <c r="O1576" t="inlineStr">
        <is>
          <t>eng</t>
        </is>
      </c>
      <c r="P1576" t="inlineStr">
        <is>
          <t>pau</t>
        </is>
      </c>
      <c r="R1576" t="inlineStr">
        <is>
          <t xml:space="preserve">GV </t>
        </is>
      </c>
      <c r="S1576" t="n">
        <v>4</v>
      </c>
      <c r="T1576" t="n">
        <v>4</v>
      </c>
      <c r="U1576" t="inlineStr">
        <is>
          <t>2005-06-29</t>
        </is>
      </c>
      <c r="V1576" t="inlineStr">
        <is>
          <t>2005-06-29</t>
        </is>
      </c>
      <c r="W1576" t="inlineStr">
        <is>
          <t>2004-02-16</t>
        </is>
      </c>
      <c r="X1576" t="inlineStr">
        <is>
          <t>2004-02-16</t>
        </is>
      </c>
      <c r="Y1576" t="n">
        <v>1515</v>
      </c>
      <c r="Z1576" t="n">
        <v>1480</v>
      </c>
      <c r="AA1576" t="n">
        <v>1568</v>
      </c>
      <c r="AB1576" t="n">
        <v>16</v>
      </c>
      <c r="AC1576" t="n">
        <v>16</v>
      </c>
      <c r="AD1576" t="n">
        <v>16</v>
      </c>
      <c r="AE1576" t="n">
        <v>16</v>
      </c>
      <c r="AF1576" t="n">
        <v>7</v>
      </c>
      <c r="AG1576" t="n">
        <v>7</v>
      </c>
      <c r="AH1576" t="n">
        <v>2</v>
      </c>
      <c r="AI1576" t="n">
        <v>2</v>
      </c>
      <c r="AJ1576" t="n">
        <v>4</v>
      </c>
      <c r="AK1576" t="n">
        <v>4</v>
      </c>
      <c r="AL1576" t="n">
        <v>4</v>
      </c>
      <c r="AM1576" t="n">
        <v>4</v>
      </c>
      <c r="AN1576" t="n">
        <v>1</v>
      </c>
      <c r="AO1576" t="n">
        <v>1</v>
      </c>
      <c r="AP1576" t="inlineStr">
        <is>
          <t>No</t>
        </is>
      </c>
      <c r="AQ1576" t="inlineStr">
        <is>
          <t>Yes</t>
        </is>
      </c>
      <c r="AR1576">
        <f>HYPERLINK("http://catalog.hathitrust.org/Record/004357757","HathiTrust Record")</f>
        <v/>
      </c>
      <c r="AS1576">
        <f>HYPERLINK("https://creighton-primo.hosted.exlibrisgroup.com/primo-explore/search?tab=default_tab&amp;search_scope=EVERYTHING&amp;vid=01CRU&amp;lang=en_US&amp;offset=0&amp;query=any,contains,991004238899702656","Catalog Record")</f>
        <v/>
      </c>
      <c r="AT1576">
        <f>HYPERLINK("http://www.worldcat.org/oclc/53442978","WorldCat Record")</f>
        <v/>
      </c>
      <c r="AU1576" t="inlineStr">
        <is>
          <t>788838:eng</t>
        </is>
      </c>
      <c r="AV1576" t="inlineStr">
        <is>
          <t>53442978</t>
        </is>
      </c>
      <c r="AW1576" t="inlineStr">
        <is>
          <t>991004238899702656</t>
        </is>
      </c>
      <c r="AX1576" t="inlineStr">
        <is>
          <t>991004238899702656</t>
        </is>
      </c>
      <c r="AY1576" t="inlineStr">
        <is>
          <t>2272372430002656</t>
        </is>
      </c>
      <c r="AZ1576" t="inlineStr">
        <is>
          <t>BOOK</t>
        </is>
      </c>
      <c r="BB1576" t="inlineStr">
        <is>
          <t>9781579549275</t>
        </is>
      </c>
      <c r="BC1576" t="inlineStr">
        <is>
          <t>32285004639158</t>
        </is>
      </c>
      <c r="BD1576" t="inlineStr">
        <is>
          <t>893775798</t>
        </is>
      </c>
    </row>
    <row r="1577">
      <c r="A1577" t="inlineStr">
        <is>
          <t>No</t>
        </is>
      </c>
      <c r="B1577" t="inlineStr">
        <is>
          <t>GV865.R8 C73 1992</t>
        </is>
      </c>
      <c r="C1577" t="inlineStr">
        <is>
          <t>0                      GV 0865000R  8                  C  73          1992</t>
        </is>
      </c>
      <c r="D1577" t="inlineStr">
        <is>
          <t>Babe : the legend comes to life / Robert W. Creamer.</t>
        </is>
      </c>
      <c r="F1577" t="inlineStr">
        <is>
          <t>No</t>
        </is>
      </c>
      <c r="G1577" t="inlineStr">
        <is>
          <t>1</t>
        </is>
      </c>
      <c r="H1577" t="inlineStr">
        <is>
          <t>No</t>
        </is>
      </c>
      <c r="I1577" t="inlineStr">
        <is>
          <t>No</t>
        </is>
      </c>
      <c r="J1577" t="inlineStr">
        <is>
          <t>0</t>
        </is>
      </c>
      <c r="K1577" t="inlineStr">
        <is>
          <t>Creamer, Robert W.</t>
        </is>
      </c>
      <c r="L1577" t="inlineStr">
        <is>
          <t>New York : Simon &amp; Schuster, 1992.</t>
        </is>
      </c>
      <c r="M1577" t="inlineStr">
        <is>
          <t>1992</t>
        </is>
      </c>
      <c r="N1577" t="inlineStr">
        <is>
          <t>1st Fireside ed.</t>
        </is>
      </c>
      <c r="O1577" t="inlineStr">
        <is>
          <t>eng</t>
        </is>
      </c>
      <c r="P1577" t="inlineStr">
        <is>
          <t>nyu</t>
        </is>
      </c>
      <c r="Q1577" t="inlineStr">
        <is>
          <t>Fireside sports classic</t>
        </is>
      </c>
      <c r="R1577" t="inlineStr">
        <is>
          <t xml:space="preserve">GV </t>
        </is>
      </c>
      <c r="S1577" t="n">
        <v>7</v>
      </c>
      <c r="T1577" t="n">
        <v>7</v>
      </c>
      <c r="U1577" t="inlineStr">
        <is>
          <t>2007-05-03</t>
        </is>
      </c>
      <c r="V1577" t="inlineStr">
        <is>
          <t>2007-05-03</t>
        </is>
      </c>
      <c r="W1577" t="inlineStr">
        <is>
          <t>2003-02-20</t>
        </is>
      </c>
      <c r="X1577" t="inlineStr">
        <is>
          <t>2003-02-20</t>
        </is>
      </c>
      <c r="Y1577" t="n">
        <v>348</v>
      </c>
      <c r="Z1577" t="n">
        <v>338</v>
      </c>
      <c r="AA1577" t="n">
        <v>1796</v>
      </c>
      <c r="AB1577" t="n">
        <v>2</v>
      </c>
      <c r="AC1577" t="n">
        <v>15</v>
      </c>
      <c r="AD1577" t="n">
        <v>4</v>
      </c>
      <c r="AE1577" t="n">
        <v>29</v>
      </c>
      <c r="AF1577" t="n">
        <v>3</v>
      </c>
      <c r="AG1577" t="n">
        <v>14</v>
      </c>
      <c r="AH1577" t="n">
        <v>0</v>
      </c>
      <c r="AI1577" t="n">
        <v>6</v>
      </c>
      <c r="AJ1577" t="n">
        <v>2</v>
      </c>
      <c r="AK1577" t="n">
        <v>11</v>
      </c>
      <c r="AL1577" t="n">
        <v>1</v>
      </c>
      <c r="AM1577" t="n">
        <v>5</v>
      </c>
      <c r="AN1577" t="n">
        <v>0</v>
      </c>
      <c r="AO1577" t="n">
        <v>0</v>
      </c>
      <c r="AP1577" t="inlineStr">
        <is>
          <t>No</t>
        </is>
      </c>
      <c r="AQ1577" t="inlineStr">
        <is>
          <t>No</t>
        </is>
      </c>
      <c r="AS1577">
        <f>HYPERLINK("https://creighton-primo.hosted.exlibrisgroup.com/primo-explore/search?tab=default_tab&amp;search_scope=EVERYTHING&amp;vid=01CRU&amp;lang=en_US&amp;offset=0&amp;query=any,contains,991003987439702656","Catalog Record")</f>
        <v/>
      </c>
      <c r="AT1577">
        <f>HYPERLINK("http://www.worldcat.org/oclc/24667104","WorldCat Record")</f>
        <v/>
      </c>
      <c r="AU1577" t="inlineStr">
        <is>
          <t>516694:eng</t>
        </is>
      </c>
      <c r="AV1577" t="inlineStr">
        <is>
          <t>24667104</t>
        </is>
      </c>
      <c r="AW1577" t="inlineStr">
        <is>
          <t>991003987439702656</t>
        </is>
      </c>
      <c r="AX1577" t="inlineStr">
        <is>
          <t>991003987439702656</t>
        </is>
      </c>
      <c r="AY1577" t="inlineStr">
        <is>
          <t>2255807460002656</t>
        </is>
      </c>
      <c r="AZ1577" t="inlineStr">
        <is>
          <t>BOOK</t>
        </is>
      </c>
      <c r="BB1577" t="inlineStr">
        <is>
          <t>9780671760700</t>
        </is>
      </c>
      <c r="BC1577" t="inlineStr">
        <is>
          <t>32285004699905</t>
        </is>
      </c>
      <c r="BD1577" t="inlineStr">
        <is>
          <t>893775467</t>
        </is>
      </c>
    </row>
    <row r="1578">
      <c r="A1578" t="inlineStr">
        <is>
          <t>No</t>
        </is>
      </c>
      <c r="B1578" t="inlineStr">
        <is>
          <t>GV865.R8 M56 2006</t>
        </is>
      </c>
      <c r="C1578" t="inlineStr">
        <is>
          <t>0                      GV 0865000R  8                  M  56          2006</t>
        </is>
      </c>
      <c r="D1578" t="inlineStr">
        <is>
          <t>The Big Bam : the life and times of Babe Ruth / Leigh Montville.</t>
        </is>
      </c>
      <c r="F1578" t="inlineStr">
        <is>
          <t>No</t>
        </is>
      </c>
      <c r="G1578" t="inlineStr">
        <is>
          <t>1</t>
        </is>
      </c>
      <c r="H1578" t="inlineStr">
        <is>
          <t>No</t>
        </is>
      </c>
      <c r="I1578" t="inlineStr">
        <is>
          <t>No</t>
        </is>
      </c>
      <c r="J1578" t="inlineStr">
        <is>
          <t>0</t>
        </is>
      </c>
      <c r="K1578" t="inlineStr">
        <is>
          <t>Montville, Leigh.</t>
        </is>
      </c>
      <c r="L1578" t="inlineStr">
        <is>
          <t>New York : Doubleday, c2006.</t>
        </is>
      </c>
      <c r="M1578" t="inlineStr">
        <is>
          <t>2006</t>
        </is>
      </c>
      <c r="N1578" t="inlineStr">
        <is>
          <t>1st ed.</t>
        </is>
      </c>
      <c r="O1578" t="inlineStr">
        <is>
          <t>eng</t>
        </is>
      </c>
      <c r="P1578" t="inlineStr">
        <is>
          <t>nyu</t>
        </is>
      </c>
      <c r="R1578" t="inlineStr">
        <is>
          <t xml:space="preserve">GV </t>
        </is>
      </c>
      <c r="S1578" t="n">
        <v>4</v>
      </c>
      <c r="T1578" t="n">
        <v>4</v>
      </c>
      <c r="U1578" t="inlineStr">
        <is>
          <t>2010-12-09</t>
        </is>
      </c>
      <c r="V1578" t="inlineStr">
        <is>
          <t>2010-12-09</t>
        </is>
      </c>
      <c r="W1578" t="inlineStr">
        <is>
          <t>2006-05-11</t>
        </is>
      </c>
      <c r="X1578" t="inlineStr">
        <is>
          <t>2006-05-11</t>
        </is>
      </c>
      <c r="Y1578" t="n">
        <v>1536</v>
      </c>
      <c r="Z1578" t="n">
        <v>1498</v>
      </c>
      <c r="AA1578" t="n">
        <v>1716</v>
      </c>
      <c r="AB1578" t="n">
        <v>20</v>
      </c>
      <c r="AC1578" t="n">
        <v>25</v>
      </c>
      <c r="AD1578" t="n">
        <v>15</v>
      </c>
      <c r="AE1578" t="n">
        <v>18</v>
      </c>
      <c r="AF1578" t="n">
        <v>8</v>
      </c>
      <c r="AG1578" t="n">
        <v>9</v>
      </c>
      <c r="AH1578" t="n">
        <v>3</v>
      </c>
      <c r="AI1578" t="n">
        <v>3</v>
      </c>
      <c r="AJ1578" t="n">
        <v>5</v>
      </c>
      <c r="AK1578" t="n">
        <v>6</v>
      </c>
      <c r="AL1578" t="n">
        <v>3</v>
      </c>
      <c r="AM1578" t="n">
        <v>5</v>
      </c>
      <c r="AN1578" t="n">
        <v>0</v>
      </c>
      <c r="AO1578" t="n">
        <v>0</v>
      </c>
      <c r="AP1578" t="inlineStr">
        <is>
          <t>No</t>
        </is>
      </c>
      <c r="AQ1578" t="inlineStr">
        <is>
          <t>Yes</t>
        </is>
      </c>
      <c r="AR1578">
        <f>HYPERLINK("http://catalog.hathitrust.org/Record/007146776","HathiTrust Record")</f>
        <v/>
      </c>
      <c r="AS1578">
        <f>HYPERLINK("https://creighton-primo.hosted.exlibrisgroup.com/primo-explore/search?tab=default_tab&amp;search_scope=EVERYTHING&amp;vid=01CRU&amp;lang=en_US&amp;offset=0&amp;query=any,contains,991004813969702656","Catalog Record")</f>
        <v/>
      </c>
      <c r="AT1578">
        <f>HYPERLINK("http://www.worldcat.org/oclc/63705901","WorldCat Record")</f>
        <v/>
      </c>
      <c r="AU1578" t="inlineStr">
        <is>
          <t>47815875:eng</t>
        </is>
      </c>
      <c r="AV1578" t="inlineStr">
        <is>
          <t>63705901</t>
        </is>
      </c>
      <c r="AW1578" t="inlineStr">
        <is>
          <t>991004813969702656</t>
        </is>
      </c>
      <c r="AX1578" t="inlineStr">
        <is>
          <t>991004813969702656</t>
        </is>
      </c>
      <c r="AY1578" t="inlineStr">
        <is>
          <t>2256077500002656</t>
        </is>
      </c>
      <c r="AZ1578" t="inlineStr">
        <is>
          <t>BOOK</t>
        </is>
      </c>
      <c r="BB1578" t="inlineStr">
        <is>
          <t>9780385514378</t>
        </is>
      </c>
      <c r="BC1578" t="inlineStr">
        <is>
          <t>32285005187090</t>
        </is>
      </c>
      <c r="BD1578" t="inlineStr">
        <is>
          <t>893789130</t>
        </is>
      </c>
    </row>
    <row r="1579">
      <c r="A1579" t="inlineStr">
        <is>
          <t>No</t>
        </is>
      </c>
      <c r="B1579" t="inlineStr">
        <is>
          <t>GV865.R8 W3 1992</t>
        </is>
      </c>
      <c r="C1579" t="inlineStr">
        <is>
          <t>0                      GV 0865000R  8                  W  3           1992</t>
        </is>
      </c>
      <c r="D1579" t="inlineStr">
        <is>
          <t>Babe Ruth : his life and legend / Kal Wagenheim.</t>
        </is>
      </c>
      <c r="F1579" t="inlineStr">
        <is>
          <t>No</t>
        </is>
      </c>
      <c r="G1579" t="inlineStr">
        <is>
          <t>1</t>
        </is>
      </c>
      <c r="H1579" t="inlineStr">
        <is>
          <t>No</t>
        </is>
      </c>
      <c r="I1579" t="inlineStr">
        <is>
          <t>No</t>
        </is>
      </c>
      <c r="J1579" t="inlineStr">
        <is>
          <t>0</t>
        </is>
      </c>
      <c r="K1579" t="inlineStr">
        <is>
          <t>Wagenheim, Kal.</t>
        </is>
      </c>
      <c r="L1579" t="inlineStr">
        <is>
          <t>New York : H. Holt, 1992.</t>
        </is>
      </c>
      <c r="M1579" t="inlineStr">
        <is>
          <t>1992</t>
        </is>
      </c>
      <c r="N1579" t="inlineStr">
        <is>
          <t>1st Owl book ed.</t>
        </is>
      </c>
      <c r="O1579" t="inlineStr">
        <is>
          <t>eng</t>
        </is>
      </c>
      <c r="P1579" t="inlineStr">
        <is>
          <t>nyu</t>
        </is>
      </c>
      <c r="R1579" t="inlineStr">
        <is>
          <t xml:space="preserve">GV </t>
        </is>
      </c>
      <c r="S1579" t="n">
        <v>2</v>
      </c>
      <c r="T1579" t="n">
        <v>2</v>
      </c>
      <c r="U1579" t="inlineStr">
        <is>
          <t>2010-08-23</t>
        </is>
      </c>
      <c r="V1579" t="inlineStr">
        <is>
          <t>2010-08-23</t>
        </is>
      </c>
      <c r="W1579" t="inlineStr">
        <is>
          <t>2009-04-21</t>
        </is>
      </c>
      <c r="X1579" t="inlineStr">
        <is>
          <t>2009-04-21</t>
        </is>
      </c>
      <c r="Y1579" t="n">
        <v>89</v>
      </c>
      <c r="Z1579" t="n">
        <v>85</v>
      </c>
      <c r="AA1579" t="n">
        <v>1006</v>
      </c>
      <c r="AB1579" t="n">
        <v>1</v>
      </c>
      <c r="AC1579" t="n">
        <v>31</v>
      </c>
      <c r="AD1579" t="n">
        <v>2</v>
      </c>
      <c r="AE1579" t="n">
        <v>30</v>
      </c>
      <c r="AF1579" t="n">
        <v>1</v>
      </c>
      <c r="AG1579" t="n">
        <v>9</v>
      </c>
      <c r="AH1579" t="n">
        <v>0</v>
      </c>
      <c r="AI1579" t="n">
        <v>5</v>
      </c>
      <c r="AJ1579" t="n">
        <v>1</v>
      </c>
      <c r="AK1579" t="n">
        <v>8</v>
      </c>
      <c r="AL1579" t="n">
        <v>0</v>
      </c>
      <c r="AM1579" t="n">
        <v>14</v>
      </c>
      <c r="AN1579" t="n">
        <v>0</v>
      </c>
      <c r="AO1579" t="n">
        <v>0</v>
      </c>
      <c r="AP1579" t="inlineStr">
        <is>
          <t>No</t>
        </is>
      </c>
      <c r="AQ1579" t="inlineStr">
        <is>
          <t>No</t>
        </is>
      </c>
      <c r="AS1579">
        <f>HYPERLINK("https://creighton-primo.hosted.exlibrisgroup.com/primo-explore/search?tab=default_tab&amp;search_scope=EVERYTHING&amp;vid=01CRU&amp;lang=en_US&amp;offset=0&amp;query=any,contains,991005312219702656","Catalog Record")</f>
        <v/>
      </c>
      <c r="AT1579">
        <f>HYPERLINK("http://www.worldcat.org/oclc/24909312","WorldCat Record")</f>
        <v/>
      </c>
      <c r="AU1579" t="inlineStr">
        <is>
          <t>753063:eng</t>
        </is>
      </c>
      <c r="AV1579" t="inlineStr">
        <is>
          <t>24909312</t>
        </is>
      </c>
      <c r="AW1579" t="inlineStr">
        <is>
          <t>991005312219702656</t>
        </is>
      </c>
      <c r="AX1579" t="inlineStr">
        <is>
          <t>991005312219702656</t>
        </is>
      </c>
      <c r="AY1579" t="inlineStr">
        <is>
          <t>2271252590002656</t>
        </is>
      </c>
      <c r="AZ1579" t="inlineStr">
        <is>
          <t>BOOK</t>
        </is>
      </c>
      <c r="BB1579" t="inlineStr">
        <is>
          <t>9780805020991</t>
        </is>
      </c>
      <c r="BC1579" t="inlineStr">
        <is>
          <t>32285005517122</t>
        </is>
      </c>
      <c r="BD1579" t="inlineStr">
        <is>
          <t>893688940</t>
        </is>
      </c>
    </row>
    <row r="1580">
      <c r="A1580" t="inlineStr">
        <is>
          <t>No</t>
        </is>
      </c>
      <c r="B1580" t="inlineStr">
        <is>
          <t>GV865.S455 A3 1993</t>
        </is>
      </c>
      <c r="C1580" t="inlineStr">
        <is>
          <t>0                      GV 0865000S  455                A  3           1993</t>
        </is>
      </c>
      <c r="D1580" t="inlineStr">
        <is>
          <t>My life as a fan / Wilfrid Sheed.</t>
        </is>
      </c>
      <c r="F1580" t="inlineStr">
        <is>
          <t>No</t>
        </is>
      </c>
      <c r="G1580" t="inlineStr">
        <is>
          <t>1</t>
        </is>
      </c>
      <c r="H1580" t="inlineStr">
        <is>
          <t>No</t>
        </is>
      </c>
      <c r="I1580" t="inlineStr">
        <is>
          <t>No</t>
        </is>
      </c>
      <c r="J1580" t="inlineStr">
        <is>
          <t>0</t>
        </is>
      </c>
      <c r="K1580" t="inlineStr">
        <is>
          <t>Sheed, Wilfrid.</t>
        </is>
      </c>
      <c r="L1580" t="inlineStr">
        <is>
          <t>New York : Simon &amp; Schuster, c1993.</t>
        </is>
      </c>
      <c r="M1580" t="inlineStr">
        <is>
          <t>1993</t>
        </is>
      </c>
      <c r="O1580" t="inlineStr">
        <is>
          <t>eng</t>
        </is>
      </c>
      <c r="P1580" t="inlineStr">
        <is>
          <t>nyu</t>
        </is>
      </c>
      <c r="R1580" t="inlineStr">
        <is>
          <t xml:space="preserve">GV </t>
        </is>
      </c>
      <c r="S1580" t="n">
        <v>1</v>
      </c>
      <c r="T1580" t="n">
        <v>1</v>
      </c>
      <c r="U1580" t="inlineStr">
        <is>
          <t>2009-04-23</t>
        </is>
      </c>
      <c r="V1580" t="inlineStr">
        <is>
          <t>2009-04-23</t>
        </is>
      </c>
      <c r="W1580" t="inlineStr">
        <is>
          <t>2009-04-23</t>
        </is>
      </c>
      <c r="X1580" t="inlineStr">
        <is>
          <t>2009-04-23</t>
        </is>
      </c>
      <c r="Y1580" t="n">
        <v>265</v>
      </c>
      <c r="Z1580" t="n">
        <v>255</v>
      </c>
      <c r="AA1580" t="n">
        <v>257</v>
      </c>
      <c r="AB1580" t="n">
        <v>1</v>
      </c>
      <c r="AC1580" t="n">
        <v>1</v>
      </c>
      <c r="AD1580" t="n">
        <v>9</v>
      </c>
      <c r="AE1580" t="n">
        <v>9</v>
      </c>
      <c r="AF1580" t="n">
        <v>3</v>
      </c>
      <c r="AG1580" t="n">
        <v>3</v>
      </c>
      <c r="AH1580" t="n">
        <v>3</v>
      </c>
      <c r="AI1580" t="n">
        <v>3</v>
      </c>
      <c r="AJ1580" t="n">
        <v>7</v>
      </c>
      <c r="AK1580" t="n">
        <v>7</v>
      </c>
      <c r="AL1580" t="n">
        <v>0</v>
      </c>
      <c r="AM1580" t="n">
        <v>0</v>
      </c>
      <c r="AN1580" t="n">
        <v>0</v>
      </c>
      <c r="AO1580" t="n">
        <v>0</v>
      </c>
      <c r="AP1580" t="inlineStr">
        <is>
          <t>No</t>
        </is>
      </c>
      <c r="AQ1580" t="inlineStr">
        <is>
          <t>Yes</t>
        </is>
      </c>
      <c r="AR1580">
        <f>HYPERLINK("http://catalog.hathitrust.org/Record/002868646","HathiTrust Record")</f>
        <v/>
      </c>
      <c r="AS1580">
        <f>HYPERLINK("https://creighton-primo.hosted.exlibrisgroup.com/primo-explore/search?tab=default_tab&amp;search_scope=EVERYTHING&amp;vid=01CRU&amp;lang=en_US&amp;offset=0&amp;query=any,contains,991005312739702656","Catalog Record")</f>
        <v/>
      </c>
      <c r="AT1580">
        <f>HYPERLINK("http://www.worldcat.org/oclc/26930488","WorldCat Record")</f>
        <v/>
      </c>
      <c r="AU1580" t="inlineStr">
        <is>
          <t>345833:eng</t>
        </is>
      </c>
      <c r="AV1580" t="inlineStr">
        <is>
          <t>26930488</t>
        </is>
      </c>
      <c r="AW1580" t="inlineStr">
        <is>
          <t>991005312739702656</t>
        </is>
      </c>
      <c r="AX1580" t="inlineStr">
        <is>
          <t>991005312739702656</t>
        </is>
      </c>
      <c r="AY1580" t="inlineStr">
        <is>
          <t>2258345800002656</t>
        </is>
      </c>
      <c r="AZ1580" t="inlineStr">
        <is>
          <t>BOOK</t>
        </is>
      </c>
      <c r="BB1580" t="inlineStr">
        <is>
          <t>9780671767105</t>
        </is>
      </c>
      <c r="BC1580" t="inlineStr">
        <is>
          <t>32285005518104</t>
        </is>
      </c>
      <c r="BD1580" t="inlineStr">
        <is>
          <t>893242532</t>
        </is>
      </c>
    </row>
    <row r="1581">
      <c r="A1581" t="inlineStr">
        <is>
          <t>No</t>
        </is>
      </c>
      <c r="B1581" t="inlineStr">
        <is>
          <t>GV865.S7 L48 1985</t>
        </is>
      </c>
      <c r="C1581" t="inlineStr">
        <is>
          <t>0                      GV 0865000S  7                  L  48          1985</t>
        </is>
      </c>
      <c r="D1581" t="inlineStr">
        <is>
          <t>A.G. Spalding and the rise of baseball : the promise of American sport / Peter Levine.</t>
        </is>
      </c>
      <c r="F1581" t="inlineStr">
        <is>
          <t>No</t>
        </is>
      </c>
      <c r="G1581" t="inlineStr">
        <is>
          <t>1</t>
        </is>
      </c>
      <c r="H1581" t="inlineStr">
        <is>
          <t>No</t>
        </is>
      </c>
      <c r="I1581" t="inlineStr">
        <is>
          <t>No</t>
        </is>
      </c>
      <c r="J1581" t="inlineStr">
        <is>
          <t>0</t>
        </is>
      </c>
      <c r="K1581" t="inlineStr">
        <is>
          <t>Levine, Peter.</t>
        </is>
      </c>
      <c r="L1581" t="inlineStr">
        <is>
          <t>New York : Oxford University Press, 1985.</t>
        </is>
      </c>
      <c r="M1581" t="inlineStr">
        <is>
          <t>1985</t>
        </is>
      </c>
      <c r="O1581" t="inlineStr">
        <is>
          <t>eng</t>
        </is>
      </c>
      <c r="P1581" t="inlineStr">
        <is>
          <t>nyu</t>
        </is>
      </c>
      <c r="R1581" t="inlineStr">
        <is>
          <t xml:space="preserve">GV </t>
        </is>
      </c>
      <c r="S1581" t="n">
        <v>8</v>
      </c>
      <c r="T1581" t="n">
        <v>8</v>
      </c>
      <c r="U1581" t="inlineStr">
        <is>
          <t>2004-11-14</t>
        </is>
      </c>
      <c r="V1581" t="inlineStr">
        <is>
          <t>2004-11-14</t>
        </is>
      </c>
      <c r="W1581" t="inlineStr">
        <is>
          <t>1992-06-09</t>
        </is>
      </c>
      <c r="X1581" t="inlineStr">
        <is>
          <t>1992-06-09</t>
        </is>
      </c>
      <c r="Y1581" t="n">
        <v>671</v>
      </c>
      <c r="Z1581" t="n">
        <v>633</v>
      </c>
      <c r="AA1581" t="n">
        <v>677</v>
      </c>
      <c r="AB1581" t="n">
        <v>3</v>
      </c>
      <c r="AC1581" t="n">
        <v>3</v>
      </c>
      <c r="AD1581" t="n">
        <v>24</v>
      </c>
      <c r="AE1581" t="n">
        <v>24</v>
      </c>
      <c r="AF1581" t="n">
        <v>11</v>
      </c>
      <c r="AG1581" t="n">
        <v>11</v>
      </c>
      <c r="AH1581" t="n">
        <v>6</v>
      </c>
      <c r="AI1581" t="n">
        <v>6</v>
      </c>
      <c r="AJ1581" t="n">
        <v>13</v>
      </c>
      <c r="AK1581" t="n">
        <v>13</v>
      </c>
      <c r="AL1581" t="n">
        <v>2</v>
      </c>
      <c r="AM1581" t="n">
        <v>2</v>
      </c>
      <c r="AN1581" t="n">
        <v>1</v>
      </c>
      <c r="AO1581" t="n">
        <v>1</v>
      </c>
      <c r="AP1581" t="inlineStr">
        <is>
          <t>No</t>
        </is>
      </c>
      <c r="AQ1581" t="inlineStr">
        <is>
          <t>No</t>
        </is>
      </c>
      <c r="AS1581">
        <f>HYPERLINK("https://creighton-primo.hosted.exlibrisgroup.com/primo-explore/search?tab=default_tab&amp;search_scope=EVERYTHING&amp;vid=01CRU&amp;lang=en_US&amp;offset=0&amp;query=any,contains,991000505999702656","Catalog Record")</f>
        <v/>
      </c>
      <c r="AT1581">
        <f>HYPERLINK("http://www.worldcat.org/oclc/11211199","WorldCat Record")</f>
        <v/>
      </c>
      <c r="AU1581" t="inlineStr">
        <is>
          <t>196084445:eng</t>
        </is>
      </c>
      <c r="AV1581" t="inlineStr">
        <is>
          <t>11211199</t>
        </is>
      </c>
      <c r="AW1581" t="inlineStr">
        <is>
          <t>991000505999702656</t>
        </is>
      </c>
      <c r="AX1581" t="inlineStr">
        <is>
          <t>991000505999702656</t>
        </is>
      </c>
      <c r="AY1581" t="inlineStr">
        <is>
          <t>2255454350002656</t>
        </is>
      </c>
      <c r="AZ1581" t="inlineStr">
        <is>
          <t>BOOK</t>
        </is>
      </c>
      <c r="BB1581" t="inlineStr">
        <is>
          <t>9780195035520</t>
        </is>
      </c>
      <c r="BC1581" t="inlineStr">
        <is>
          <t>32285001075224</t>
        </is>
      </c>
      <c r="BD1581" t="inlineStr">
        <is>
          <t>893896936</t>
        </is>
      </c>
    </row>
    <row r="1582">
      <c r="A1582" t="inlineStr">
        <is>
          <t>No</t>
        </is>
      </c>
      <c r="B1582" t="inlineStr">
        <is>
          <t>GV865.S87 S65 2004</t>
        </is>
      </c>
      <c r="C1582" t="inlineStr">
        <is>
          <t>0                      GV 0865000S  87                 S  65          2004</t>
        </is>
      </c>
      <c r="D1582" t="inlineStr">
        <is>
          <t>The ticket out : Darryl Strawberry and the boys of Crenshaw / Michael Sokolove.</t>
        </is>
      </c>
      <c r="F1582" t="inlineStr">
        <is>
          <t>No</t>
        </is>
      </c>
      <c r="G1582" t="inlineStr">
        <is>
          <t>1</t>
        </is>
      </c>
      <c r="H1582" t="inlineStr">
        <is>
          <t>No</t>
        </is>
      </c>
      <c r="I1582" t="inlineStr">
        <is>
          <t>No</t>
        </is>
      </c>
      <c r="J1582" t="inlineStr">
        <is>
          <t>0</t>
        </is>
      </c>
      <c r="K1582" t="inlineStr">
        <is>
          <t>Sokolove, Michael Y.</t>
        </is>
      </c>
      <c r="L1582" t="inlineStr">
        <is>
          <t>New York : Simon &amp; Schuster, c2004.</t>
        </is>
      </c>
      <c r="M1582" t="inlineStr">
        <is>
          <t>2004</t>
        </is>
      </c>
      <c r="O1582" t="inlineStr">
        <is>
          <t>eng</t>
        </is>
      </c>
      <c r="P1582" t="inlineStr">
        <is>
          <t>nyu</t>
        </is>
      </c>
      <c r="R1582" t="inlineStr">
        <is>
          <t xml:space="preserve">GV </t>
        </is>
      </c>
      <c r="S1582" t="n">
        <v>3</v>
      </c>
      <c r="T1582" t="n">
        <v>3</v>
      </c>
      <c r="U1582" t="inlineStr">
        <is>
          <t>2008-01-04</t>
        </is>
      </c>
      <c r="V1582" t="inlineStr">
        <is>
          <t>2008-01-04</t>
        </is>
      </c>
      <c r="W1582" t="inlineStr">
        <is>
          <t>2005-03-22</t>
        </is>
      </c>
      <c r="X1582" t="inlineStr">
        <is>
          <t>2005-03-22</t>
        </is>
      </c>
      <c r="Y1582" t="n">
        <v>507</v>
      </c>
      <c r="Z1582" t="n">
        <v>500</v>
      </c>
      <c r="AA1582" t="n">
        <v>539</v>
      </c>
      <c r="AB1582" t="n">
        <v>4</v>
      </c>
      <c r="AC1582" t="n">
        <v>4</v>
      </c>
      <c r="AD1582" t="n">
        <v>11</v>
      </c>
      <c r="AE1582" t="n">
        <v>11</v>
      </c>
      <c r="AF1582" t="n">
        <v>5</v>
      </c>
      <c r="AG1582" t="n">
        <v>5</v>
      </c>
      <c r="AH1582" t="n">
        <v>4</v>
      </c>
      <c r="AI1582" t="n">
        <v>4</v>
      </c>
      <c r="AJ1582" t="n">
        <v>4</v>
      </c>
      <c r="AK1582" t="n">
        <v>4</v>
      </c>
      <c r="AL1582" t="n">
        <v>1</v>
      </c>
      <c r="AM1582" t="n">
        <v>1</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HYPERLINK("https://creighton-primo.hosted.exlibrisgroup.com/primo-explore/search?tab=default_tab&amp;search_scope=EVERYTHING&amp;vid=01CRU&amp;lang=en_US&amp;offset=0&amp;query=any,contains,991004507039702656","Catalog Record")</f>
        <v/>
      </c>
      <c r="AT1582">
        <f>HYPERLINK("http://www.worldcat.org/oclc/54096911","WorldCat Record")</f>
        <v/>
      </c>
      <c r="AU1582" t="inlineStr">
        <is>
          <t>4161824239:eng</t>
        </is>
      </c>
      <c r="AV1582" t="inlineStr">
        <is>
          <t>54096911</t>
        </is>
      </c>
      <c r="AW1582" t="inlineStr">
        <is>
          <t>991004507039702656</t>
        </is>
      </c>
      <c r="AX1582" t="inlineStr">
        <is>
          <t>991004507039702656</t>
        </is>
      </c>
      <c r="AY1582" t="inlineStr">
        <is>
          <t>2257854180002656</t>
        </is>
      </c>
      <c r="AZ1582" t="inlineStr">
        <is>
          <t>BOOK</t>
        </is>
      </c>
      <c r="BB1582" t="inlineStr">
        <is>
          <t>9780743226738</t>
        </is>
      </c>
      <c r="BC1582" t="inlineStr">
        <is>
          <t>32285005044366</t>
        </is>
      </c>
      <c r="BD1582" t="inlineStr">
        <is>
          <t>893331687</t>
        </is>
      </c>
    </row>
    <row r="1583">
      <c r="A1583" t="inlineStr">
        <is>
          <t>No</t>
        </is>
      </c>
      <c r="B1583" t="inlineStr">
        <is>
          <t>GV865.T35 B74 1999</t>
        </is>
      </c>
      <c r="C1583" t="inlineStr">
        <is>
          <t>0                      GV 0865000T  35                 B  74          1999</t>
        </is>
      </c>
      <c r="D1583" t="inlineStr">
        <is>
          <t>Away games : the life and times of a Latin baseball player / Marcos Bretón and José Luis Villegas.</t>
        </is>
      </c>
      <c r="F1583" t="inlineStr">
        <is>
          <t>No</t>
        </is>
      </c>
      <c r="G1583" t="inlineStr">
        <is>
          <t>1</t>
        </is>
      </c>
      <c r="H1583" t="inlineStr">
        <is>
          <t>No</t>
        </is>
      </c>
      <c r="I1583" t="inlineStr">
        <is>
          <t>No</t>
        </is>
      </c>
      <c r="J1583" t="inlineStr">
        <is>
          <t>0</t>
        </is>
      </c>
      <c r="K1583" t="inlineStr">
        <is>
          <t>Bretón, Marcos.</t>
        </is>
      </c>
      <c r="L1583" t="inlineStr">
        <is>
          <t>New York : Simon &amp; Schuster, c1999.</t>
        </is>
      </c>
      <c r="M1583" t="inlineStr">
        <is>
          <t>1999</t>
        </is>
      </c>
      <c r="O1583" t="inlineStr">
        <is>
          <t>eng</t>
        </is>
      </c>
      <c r="P1583" t="inlineStr">
        <is>
          <t>nyu</t>
        </is>
      </c>
      <c r="R1583" t="inlineStr">
        <is>
          <t xml:space="preserve">GV </t>
        </is>
      </c>
      <c r="S1583" t="n">
        <v>3</v>
      </c>
      <c r="T1583" t="n">
        <v>3</v>
      </c>
      <c r="U1583" t="inlineStr">
        <is>
          <t>2005-03-01</t>
        </is>
      </c>
      <c r="V1583" t="inlineStr">
        <is>
          <t>2005-03-01</t>
        </is>
      </c>
      <c r="W1583" t="inlineStr">
        <is>
          <t>2001-03-20</t>
        </is>
      </c>
      <c r="X1583" t="inlineStr">
        <is>
          <t>2001-03-20</t>
        </is>
      </c>
      <c r="Y1583" t="n">
        <v>225</v>
      </c>
      <c r="Z1583" t="n">
        <v>220</v>
      </c>
      <c r="AA1583" t="n">
        <v>276</v>
      </c>
      <c r="AB1583" t="n">
        <v>1</v>
      </c>
      <c r="AC1583" t="n">
        <v>1</v>
      </c>
      <c r="AD1583" t="n">
        <v>5</v>
      </c>
      <c r="AE1583" t="n">
        <v>6</v>
      </c>
      <c r="AF1583" t="n">
        <v>2</v>
      </c>
      <c r="AG1583" t="n">
        <v>2</v>
      </c>
      <c r="AH1583" t="n">
        <v>0</v>
      </c>
      <c r="AI1583" t="n">
        <v>1</v>
      </c>
      <c r="AJ1583" t="n">
        <v>4</v>
      </c>
      <c r="AK1583" t="n">
        <v>5</v>
      </c>
      <c r="AL1583" t="n">
        <v>0</v>
      </c>
      <c r="AM1583" t="n">
        <v>0</v>
      </c>
      <c r="AN1583" t="n">
        <v>0</v>
      </c>
      <c r="AO1583" t="n">
        <v>0</v>
      </c>
      <c r="AP1583" t="inlineStr">
        <is>
          <t>No</t>
        </is>
      </c>
      <c r="AQ1583" t="inlineStr">
        <is>
          <t>Yes</t>
        </is>
      </c>
      <c r="AR1583">
        <f>HYPERLINK("http://catalog.hathitrust.org/Record/101183859","HathiTrust Record")</f>
        <v/>
      </c>
      <c r="AS1583">
        <f>HYPERLINK("https://creighton-primo.hosted.exlibrisgroup.com/primo-explore/search?tab=default_tab&amp;search_scope=EVERYTHING&amp;vid=01CRU&amp;lang=en_US&amp;offset=0&amp;query=any,contains,991003515929702656","Catalog Record")</f>
        <v/>
      </c>
      <c r="AT1583">
        <f>HYPERLINK("http://www.worldcat.org/oclc/40632426","WorldCat Record")</f>
        <v/>
      </c>
      <c r="AU1583" t="inlineStr">
        <is>
          <t>25859268:eng</t>
        </is>
      </c>
      <c r="AV1583" t="inlineStr">
        <is>
          <t>40632426</t>
        </is>
      </c>
      <c r="AW1583" t="inlineStr">
        <is>
          <t>991003515929702656</t>
        </is>
      </c>
      <c r="AX1583" t="inlineStr">
        <is>
          <t>991003515929702656</t>
        </is>
      </c>
      <c r="AY1583" t="inlineStr">
        <is>
          <t>2268346080002656</t>
        </is>
      </c>
      <c r="AZ1583" t="inlineStr">
        <is>
          <t>BOOK</t>
        </is>
      </c>
      <c r="BB1583" t="inlineStr">
        <is>
          <t>9780684849911</t>
        </is>
      </c>
      <c r="BC1583" t="inlineStr">
        <is>
          <t>32285004306204</t>
        </is>
      </c>
      <c r="BD1583" t="inlineStr">
        <is>
          <t>893234248</t>
        </is>
      </c>
    </row>
    <row r="1584">
      <c r="A1584" t="inlineStr">
        <is>
          <t>No</t>
        </is>
      </c>
      <c r="B1584" t="inlineStr">
        <is>
          <t>GV865.V4 E86 1988</t>
        </is>
      </c>
      <c r="C1584" t="inlineStr">
        <is>
          <t>0                      GV 0865000V  4                  E  86          1988</t>
        </is>
      </c>
      <c r="D1584" t="inlineStr">
        <is>
          <t>Bill Veeck : a baseball legend / Gerald Eskenazi.</t>
        </is>
      </c>
      <c r="F1584" t="inlineStr">
        <is>
          <t>No</t>
        </is>
      </c>
      <c r="G1584" t="inlineStr">
        <is>
          <t>1</t>
        </is>
      </c>
      <c r="H1584" t="inlineStr">
        <is>
          <t>No</t>
        </is>
      </c>
      <c r="I1584" t="inlineStr">
        <is>
          <t>No</t>
        </is>
      </c>
      <c r="J1584" t="inlineStr">
        <is>
          <t>0</t>
        </is>
      </c>
      <c r="K1584" t="inlineStr">
        <is>
          <t>Eskenazi, Gerald.</t>
        </is>
      </c>
      <c r="L1584" t="inlineStr">
        <is>
          <t>New York : McGraw-Hill, c1988.</t>
        </is>
      </c>
      <c r="M1584" t="inlineStr">
        <is>
          <t>1988</t>
        </is>
      </c>
      <c r="O1584" t="inlineStr">
        <is>
          <t>eng</t>
        </is>
      </c>
      <c r="P1584" t="inlineStr">
        <is>
          <t>nyu</t>
        </is>
      </c>
      <c r="R1584" t="inlineStr">
        <is>
          <t xml:space="preserve">GV </t>
        </is>
      </c>
      <c r="S1584" t="n">
        <v>1</v>
      </c>
      <c r="T1584" t="n">
        <v>1</v>
      </c>
      <c r="U1584" t="inlineStr">
        <is>
          <t>2005-06-01</t>
        </is>
      </c>
      <c r="V1584" t="inlineStr">
        <is>
          <t>2005-06-01</t>
        </is>
      </c>
      <c r="W1584" t="inlineStr">
        <is>
          <t>2005-06-01</t>
        </is>
      </c>
      <c r="X1584" t="inlineStr">
        <is>
          <t>2005-06-01</t>
        </is>
      </c>
      <c r="Y1584" t="n">
        <v>329</v>
      </c>
      <c r="Z1584" t="n">
        <v>325</v>
      </c>
      <c r="AA1584" t="n">
        <v>333</v>
      </c>
      <c r="AB1584" t="n">
        <v>5</v>
      </c>
      <c r="AC1584" t="n">
        <v>5</v>
      </c>
      <c r="AD1584" t="n">
        <v>2</v>
      </c>
      <c r="AE1584" t="n">
        <v>2</v>
      </c>
      <c r="AF1584" t="n">
        <v>1</v>
      </c>
      <c r="AG1584" t="n">
        <v>1</v>
      </c>
      <c r="AH1584" t="n">
        <v>0</v>
      </c>
      <c r="AI1584" t="n">
        <v>0</v>
      </c>
      <c r="AJ1584" t="n">
        <v>1</v>
      </c>
      <c r="AK1584" t="n">
        <v>1</v>
      </c>
      <c r="AL1584" t="n">
        <v>0</v>
      </c>
      <c r="AM1584" t="n">
        <v>0</v>
      </c>
      <c r="AN1584" t="n">
        <v>0</v>
      </c>
      <c r="AO1584" t="n">
        <v>0</v>
      </c>
      <c r="AP1584" t="inlineStr">
        <is>
          <t>No</t>
        </is>
      </c>
      <c r="AQ1584" t="inlineStr">
        <is>
          <t>No</t>
        </is>
      </c>
      <c r="AS1584">
        <f>HYPERLINK("https://creighton-primo.hosted.exlibrisgroup.com/primo-explore/search?tab=default_tab&amp;search_scope=EVERYTHING&amp;vid=01CRU&amp;lang=en_US&amp;offset=0&amp;query=any,contains,991004556579702656","Catalog Record")</f>
        <v/>
      </c>
      <c r="AT1584">
        <f>HYPERLINK("http://www.worldcat.org/oclc/15282721","WorldCat Record")</f>
        <v/>
      </c>
      <c r="AU1584" t="inlineStr">
        <is>
          <t>10448954:eng</t>
        </is>
      </c>
      <c r="AV1584" t="inlineStr">
        <is>
          <t>15282721</t>
        </is>
      </c>
      <c r="AW1584" t="inlineStr">
        <is>
          <t>991004556579702656</t>
        </is>
      </c>
      <c r="AX1584" t="inlineStr">
        <is>
          <t>991004556579702656</t>
        </is>
      </c>
      <c r="AY1584" t="inlineStr">
        <is>
          <t>2266000090002656</t>
        </is>
      </c>
      <c r="AZ1584" t="inlineStr">
        <is>
          <t>BOOK</t>
        </is>
      </c>
      <c r="BB1584" t="inlineStr">
        <is>
          <t>9780070195998</t>
        </is>
      </c>
      <c r="BC1584" t="inlineStr">
        <is>
          <t>32285005091870</t>
        </is>
      </c>
      <c r="BD1584" t="inlineStr">
        <is>
          <t>893599977</t>
        </is>
      </c>
    </row>
    <row r="1585">
      <c r="A1585" t="inlineStr">
        <is>
          <t>No</t>
        </is>
      </c>
      <c r="B1585" t="inlineStr">
        <is>
          <t>GV865.W33 H58 1996</t>
        </is>
      </c>
      <c r="C1585" t="inlineStr">
        <is>
          <t>0                      GV 0865000W  33                 H  58          1996</t>
        </is>
      </c>
      <c r="D1585" t="inlineStr">
        <is>
          <t>Honus Wagner : the life of baseball's "Flying Dutchman" / by Arthur D. Hittner.</t>
        </is>
      </c>
      <c r="F1585" t="inlineStr">
        <is>
          <t>No</t>
        </is>
      </c>
      <c r="G1585" t="inlineStr">
        <is>
          <t>1</t>
        </is>
      </c>
      <c r="H1585" t="inlineStr">
        <is>
          <t>No</t>
        </is>
      </c>
      <c r="I1585" t="inlineStr">
        <is>
          <t>No</t>
        </is>
      </c>
      <c r="J1585" t="inlineStr">
        <is>
          <t>0</t>
        </is>
      </c>
      <c r="K1585" t="inlineStr">
        <is>
          <t>Hittner, Arthur D., 1949-</t>
        </is>
      </c>
      <c r="L1585" t="inlineStr">
        <is>
          <t>Jefferson, N.C. : McFarland, c1996.</t>
        </is>
      </c>
      <c r="M1585" t="inlineStr">
        <is>
          <t>1996</t>
        </is>
      </c>
      <c r="O1585" t="inlineStr">
        <is>
          <t>eng</t>
        </is>
      </c>
      <c r="P1585" t="inlineStr">
        <is>
          <t>ncu</t>
        </is>
      </c>
      <c r="R1585" t="inlineStr">
        <is>
          <t xml:space="preserve">GV </t>
        </is>
      </c>
      <c r="S1585" t="n">
        <v>3</v>
      </c>
      <c r="T1585" t="n">
        <v>3</v>
      </c>
      <c r="U1585" t="inlineStr">
        <is>
          <t>2009-03-13</t>
        </is>
      </c>
      <c r="V1585" t="inlineStr">
        <is>
          <t>2009-03-13</t>
        </is>
      </c>
      <c r="W1585" t="inlineStr">
        <is>
          <t>2004-03-24</t>
        </is>
      </c>
      <c r="X1585" t="inlineStr">
        <is>
          <t>2004-03-24</t>
        </is>
      </c>
      <c r="Y1585" t="n">
        <v>189</v>
      </c>
      <c r="Z1585" t="n">
        <v>179</v>
      </c>
      <c r="AA1585" t="n">
        <v>188</v>
      </c>
      <c r="AB1585" t="n">
        <v>2</v>
      </c>
      <c r="AC1585" t="n">
        <v>2</v>
      </c>
      <c r="AD1585" t="n">
        <v>4</v>
      </c>
      <c r="AE1585" t="n">
        <v>4</v>
      </c>
      <c r="AF1585" t="n">
        <v>1</v>
      </c>
      <c r="AG1585" t="n">
        <v>1</v>
      </c>
      <c r="AH1585" t="n">
        <v>0</v>
      </c>
      <c r="AI1585" t="n">
        <v>0</v>
      </c>
      <c r="AJ1585" t="n">
        <v>3</v>
      </c>
      <c r="AK1585" t="n">
        <v>3</v>
      </c>
      <c r="AL1585" t="n">
        <v>1</v>
      </c>
      <c r="AM1585" t="n">
        <v>1</v>
      </c>
      <c r="AN1585" t="n">
        <v>0</v>
      </c>
      <c r="AO1585" t="n">
        <v>0</v>
      </c>
      <c r="AP1585" t="inlineStr">
        <is>
          <t>No</t>
        </is>
      </c>
      <c r="AQ1585" t="inlineStr">
        <is>
          <t>Yes</t>
        </is>
      </c>
      <c r="AR1585">
        <f>HYPERLINK("http://catalog.hathitrust.org/Record/003126346","HathiTrust Record")</f>
        <v/>
      </c>
      <c r="AS1585">
        <f>HYPERLINK("https://creighton-primo.hosted.exlibrisgroup.com/primo-explore/search?tab=default_tab&amp;search_scope=EVERYTHING&amp;vid=01CRU&amp;lang=en_US&amp;offset=0&amp;query=any,contains,991003988009702656","Catalog Record")</f>
        <v/>
      </c>
      <c r="AT1585">
        <f>HYPERLINK("http://www.worldcat.org/oclc/34742496","WorldCat Record")</f>
        <v/>
      </c>
      <c r="AU1585" t="inlineStr">
        <is>
          <t>40837482:eng</t>
        </is>
      </c>
      <c r="AV1585" t="inlineStr">
        <is>
          <t>34742496</t>
        </is>
      </c>
      <c r="AW1585" t="inlineStr">
        <is>
          <t>991003988009702656</t>
        </is>
      </c>
      <c r="AX1585" t="inlineStr">
        <is>
          <t>991003988009702656</t>
        </is>
      </c>
      <c r="AY1585" t="inlineStr">
        <is>
          <t>2270247860002656</t>
        </is>
      </c>
      <c r="AZ1585" t="inlineStr">
        <is>
          <t>BOOK</t>
        </is>
      </c>
      <c r="BB1585" t="inlineStr">
        <is>
          <t>9780786402250</t>
        </is>
      </c>
      <c r="BC1585" t="inlineStr">
        <is>
          <t>32285004896451</t>
        </is>
      </c>
      <c r="BD1585" t="inlineStr">
        <is>
          <t>893699679</t>
        </is>
      </c>
    </row>
    <row r="1586">
      <c r="A1586" t="inlineStr">
        <is>
          <t>No</t>
        </is>
      </c>
      <c r="B1586" t="inlineStr">
        <is>
          <t>GV865.W5 A3 1988</t>
        </is>
      </c>
      <c r="C1586" t="inlineStr">
        <is>
          <t>0                      GV 0865000W  5                  A  3           1988</t>
        </is>
      </c>
      <c r="D1586" t="inlineStr">
        <is>
          <t>My turn at bat : the story of my life / by Ted Williams with John Underwood.</t>
        </is>
      </c>
      <c r="F1586" t="inlineStr">
        <is>
          <t>No</t>
        </is>
      </c>
      <c r="G1586" t="inlineStr">
        <is>
          <t>1</t>
        </is>
      </c>
      <c r="H1586" t="inlineStr">
        <is>
          <t>No</t>
        </is>
      </c>
      <c r="I1586" t="inlineStr">
        <is>
          <t>No</t>
        </is>
      </c>
      <c r="J1586" t="inlineStr">
        <is>
          <t>0</t>
        </is>
      </c>
      <c r="K1586" t="inlineStr">
        <is>
          <t>Williams, Ted, 1918-2002.</t>
        </is>
      </c>
      <c r="L1586" t="inlineStr">
        <is>
          <t>New York : Simon &amp; Schuster, 1988.</t>
        </is>
      </c>
      <c r="M1586" t="inlineStr">
        <is>
          <t>1988</t>
        </is>
      </c>
      <c r="N1586" t="inlineStr">
        <is>
          <t>1st Fireside ed.</t>
        </is>
      </c>
      <c r="O1586" t="inlineStr">
        <is>
          <t>eng</t>
        </is>
      </c>
      <c r="P1586" t="inlineStr">
        <is>
          <t>nyu</t>
        </is>
      </c>
      <c r="Q1586" t="inlineStr">
        <is>
          <t>Fireside sports classic</t>
        </is>
      </c>
      <c r="R1586" t="inlineStr">
        <is>
          <t xml:space="preserve">GV </t>
        </is>
      </c>
      <c r="S1586" t="n">
        <v>2</v>
      </c>
      <c r="T1586" t="n">
        <v>2</v>
      </c>
      <c r="U1586" t="inlineStr">
        <is>
          <t>2009-06-23</t>
        </is>
      </c>
      <c r="V1586" t="inlineStr">
        <is>
          <t>2009-06-23</t>
        </is>
      </c>
      <c r="W1586" t="inlineStr">
        <is>
          <t>2009-04-21</t>
        </is>
      </c>
      <c r="X1586" t="inlineStr">
        <is>
          <t>2009-04-21</t>
        </is>
      </c>
      <c r="Y1586" t="n">
        <v>215</v>
      </c>
      <c r="Z1586" t="n">
        <v>209</v>
      </c>
      <c r="AA1586" t="n">
        <v>1020</v>
      </c>
      <c r="AB1586" t="n">
        <v>2</v>
      </c>
      <c r="AC1586" t="n">
        <v>13</v>
      </c>
      <c r="AD1586" t="n">
        <v>2</v>
      </c>
      <c r="AE1586" t="n">
        <v>14</v>
      </c>
      <c r="AF1586" t="n">
        <v>1</v>
      </c>
      <c r="AG1586" t="n">
        <v>5</v>
      </c>
      <c r="AH1586" t="n">
        <v>0</v>
      </c>
      <c r="AI1586" t="n">
        <v>1</v>
      </c>
      <c r="AJ1586" t="n">
        <v>1</v>
      </c>
      <c r="AK1586" t="n">
        <v>6</v>
      </c>
      <c r="AL1586" t="n">
        <v>0</v>
      </c>
      <c r="AM1586" t="n">
        <v>5</v>
      </c>
      <c r="AN1586" t="n">
        <v>0</v>
      </c>
      <c r="AO1586" t="n">
        <v>0</v>
      </c>
      <c r="AP1586" t="inlineStr">
        <is>
          <t>No</t>
        </is>
      </c>
      <c r="AQ1586" t="inlineStr">
        <is>
          <t>No</t>
        </is>
      </c>
      <c r="AS1586">
        <f>HYPERLINK("https://creighton-primo.hosted.exlibrisgroup.com/primo-explore/search?tab=default_tab&amp;search_scope=EVERYTHING&amp;vid=01CRU&amp;lang=en_US&amp;offset=0&amp;query=any,contains,991005312249702656","Catalog Record")</f>
        <v/>
      </c>
      <c r="AT1586">
        <f>HYPERLINK("http://www.worldcat.org/oclc/16805540","WorldCat Record")</f>
        <v/>
      </c>
      <c r="AU1586" t="inlineStr">
        <is>
          <t>49286252:eng</t>
        </is>
      </c>
      <c r="AV1586" t="inlineStr">
        <is>
          <t>16805540</t>
        </is>
      </c>
      <c r="AW1586" t="inlineStr">
        <is>
          <t>991005312249702656</t>
        </is>
      </c>
      <c r="AX1586" t="inlineStr">
        <is>
          <t>991005312249702656</t>
        </is>
      </c>
      <c r="AY1586" t="inlineStr">
        <is>
          <t>2269980740002656</t>
        </is>
      </c>
      <c r="AZ1586" t="inlineStr">
        <is>
          <t>BOOK</t>
        </is>
      </c>
      <c r="BB1586" t="inlineStr">
        <is>
          <t>9780671634230</t>
        </is>
      </c>
      <c r="BC1586" t="inlineStr">
        <is>
          <t>32285005517148</t>
        </is>
      </c>
      <c r="BD1586" t="inlineStr">
        <is>
          <t>893248707</t>
        </is>
      </c>
    </row>
    <row r="1587">
      <c r="A1587" t="inlineStr">
        <is>
          <t>No</t>
        </is>
      </c>
      <c r="B1587" t="inlineStr">
        <is>
          <t>GV865.W5 L48 1994</t>
        </is>
      </c>
      <c r="C1587" t="inlineStr">
        <is>
          <t>0                      GV 0865000W  5                  L  48          1994</t>
        </is>
      </c>
      <c r="D1587" t="inlineStr">
        <is>
          <t>Hitter : the life and turmoils of Ted Williams / Ed Linn.</t>
        </is>
      </c>
      <c r="F1587" t="inlineStr">
        <is>
          <t>No</t>
        </is>
      </c>
      <c r="G1587" t="inlineStr">
        <is>
          <t>1</t>
        </is>
      </c>
      <c r="H1587" t="inlineStr">
        <is>
          <t>No</t>
        </is>
      </c>
      <c r="I1587" t="inlineStr">
        <is>
          <t>No</t>
        </is>
      </c>
      <c r="J1587" t="inlineStr">
        <is>
          <t>0</t>
        </is>
      </c>
      <c r="K1587" t="inlineStr">
        <is>
          <t>Linn, Edward.</t>
        </is>
      </c>
      <c r="L1587" t="inlineStr">
        <is>
          <t>San Diego : Harcourt Brace, 1994.</t>
        </is>
      </c>
      <c r="M1587" t="inlineStr">
        <is>
          <t>1994</t>
        </is>
      </c>
      <c r="N1587" t="inlineStr">
        <is>
          <t>1st Harvest ed.</t>
        </is>
      </c>
      <c r="O1587" t="inlineStr">
        <is>
          <t>eng</t>
        </is>
      </c>
      <c r="P1587" t="inlineStr">
        <is>
          <t>cau</t>
        </is>
      </c>
      <c r="Q1587" t="inlineStr">
        <is>
          <t>A Harvest book</t>
        </is>
      </c>
      <c r="R1587" t="inlineStr">
        <is>
          <t xml:space="preserve">GV </t>
        </is>
      </c>
      <c r="S1587" t="n">
        <v>1</v>
      </c>
      <c r="T1587" t="n">
        <v>1</v>
      </c>
      <c r="U1587" t="inlineStr">
        <is>
          <t>2009-04-21</t>
        </is>
      </c>
      <c r="V1587" t="inlineStr">
        <is>
          <t>2009-04-21</t>
        </is>
      </c>
      <c r="W1587" t="inlineStr">
        <is>
          <t>2009-04-21</t>
        </is>
      </c>
      <c r="X1587" t="inlineStr">
        <is>
          <t>2009-04-21</t>
        </is>
      </c>
      <c r="Y1587" t="n">
        <v>34</v>
      </c>
      <c r="Z1587" t="n">
        <v>32</v>
      </c>
      <c r="AA1587" t="n">
        <v>545</v>
      </c>
      <c r="AB1587" t="n">
        <v>1</v>
      </c>
      <c r="AC1587" t="n">
        <v>5</v>
      </c>
      <c r="AD1587" t="n">
        <v>0</v>
      </c>
      <c r="AE1587" t="n">
        <v>6</v>
      </c>
      <c r="AF1587" t="n">
        <v>0</v>
      </c>
      <c r="AG1587" t="n">
        <v>3</v>
      </c>
      <c r="AH1587" t="n">
        <v>0</v>
      </c>
      <c r="AI1587" t="n">
        <v>1</v>
      </c>
      <c r="AJ1587" t="n">
        <v>0</v>
      </c>
      <c r="AK1587" t="n">
        <v>1</v>
      </c>
      <c r="AL1587" t="n">
        <v>0</v>
      </c>
      <c r="AM1587" t="n">
        <v>1</v>
      </c>
      <c r="AN1587" t="n">
        <v>0</v>
      </c>
      <c r="AO1587" t="n">
        <v>0</v>
      </c>
      <c r="AP1587" t="inlineStr">
        <is>
          <t>No</t>
        </is>
      </c>
      <c r="AQ1587" t="inlineStr">
        <is>
          <t>No</t>
        </is>
      </c>
      <c r="AS1587">
        <f>HYPERLINK("https://creighton-primo.hosted.exlibrisgroup.com/primo-explore/search?tab=default_tab&amp;search_scope=EVERYTHING&amp;vid=01CRU&amp;lang=en_US&amp;offset=0&amp;query=any,contains,991005312239702656","Catalog Record")</f>
        <v/>
      </c>
      <c r="AT1587">
        <f>HYPERLINK("http://www.worldcat.org/oclc/29389981","WorldCat Record")</f>
        <v/>
      </c>
      <c r="AU1587" t="inlineStr">
        <is>
          <t>327578:eng</t>
        </is>
      </c>
      <c r="AV1587" t="inlineStr">
        <is>
          <t>29389981</t>
        </is>
      </c>
      <c r="AW1587" t="inlineStr">
        <is>
          <t>991005312239702656</t>
        </is>
      </c>
      <c r="AX1587" t="inlineStr">
        <is>
          <t>991005312239702656</t>
        </is>
      </c>
      <c r="AY1587" t="inlineStr">
        <is>
          <t>2258771860002656</t>
        </is>
      </c>
      <c r="AZ1587" t="inlineStr">
        <is>
          <t>BOOK</t>
        </is>
      </c>
      <c r="BB1587" t="inlineStr">
        <is>
          <t>9780156000918</t>
        </is>
      </c>
      <c r="BC1587" t="inlineStr">
        <is>
          <t>32285005517155</t>
        </is>
      </c>
      <c r="BD1587" t="inlineStr">
        <is>
          <t>893351085</t>
        </is>
      </c>
    </row>
    <row r="1588">
      <c r="A1588" t="inlineStr">
        <is>
          <t>No</t>
        </is>
      </c>
      <c r="B1588" t="inlineStr">
        <is>
          <t>GV865.W5 M66 2004</t>
        </is>
      </c>
      <c r="C1588" t="inlineStr">
        <is>
          <t>0                      GV 0865000W  5                  M  66          2004</t>
        </is>
      </c>
      <c r="D1588" t="inlineStr">
        <is>
          <t>Ted Williams : the biography of an American hero / Leigh Montville.</t>
        </is>
      </c>
      <c r="F1588" t="inlineStr">
        <is>
          <t>No</t>
        </is>
      </c>
      <c r="G1588" t="inlineStr">
        <is>
          <t>1</t>
        </is>
      </c>
      <c r="H1588" t="inlineStr">
        <is>
          <t>No</t>
        </is>
      </c>
      <c r="I1588" t="inlineStr">
        <is>
          <t>No</t>
        </is>
      </c>
      <c r="J1588" t="inlineStr">
        <is>
          <t>0</t>
        </is>
      </c>
      <c r="K1588" t="inlineStr">
        <is>
          <t>Montville, Leigh.</t>
        </is>
      </c>
      <c r="L1588" t="inlineStr">
        <is>
          <t>New York : Doubleday, 2004.</t>
        </is>
      </c>
      <c r="M1588" t="inlineStr">
        <is>
          <t>2004</t>
        </is>
      </c>
      <c r="N1588" t="inlineStr">
        <is>
          <t>1st ed.</t>
        </is>
      </c>
      <c r="O1588" t="inlineStr">
        <is>
          <t>eng</t>
        </is>
      </c>
      <c r="P1588" t="inlineStr">
        <is>
          <t>nyu</t>
        </is>
      </c>
      <c r="R1588" t="inlineStr">
        <is>
          <t xml:space="preserve">GV </t>
        </is>
      </c>
      <c r="S1588" t="n">
        <v>2</v>
      </c>
      <c r="T1588" t="n">
        <v>2</v>
      </c>
      <c r="U1588" t="inlineStr">
        <is>
          <t>2009-02-27</t>
        </is>
      </c>
      <c r="V1588" t="inlineStr">
        <is>
          <t>2009-02-27</t>
        </is>
      </c>
      <c r="W1588" t="inlineStr">
        <is>
          <t>2004-05-18</t>
        </is>
      </c>
      <c r="X1588" t="inlineStr">
        <is>
          <t>2004-05-18</t>
        </is>
      </c>
      <c r="Y1588" t="n">
        <v>1217</v>
      </c>
      <c r="Z1588" t="n">
        <v>1192</v>
      </c>
      <c r="AA1588" t="n">
        <v>1354</v>
      </c>
      <c r="AB1588" t="n">
        <v>11</v>
      </c>
      <c r="AC1588" t="n">
        <v>13</v>
      </c>
      <c r="AD1588" t="n">
        <v>19</v>
      </c>
      <c r="AE1588" t="n">
        <v>20</v>
      </c>
      <c r="AF1588" t="n">
        <v>9</v>
      </c>
      <c r="AG1588" t="n">
        <v>10</v>
      </c>
      <c r="AH1588" t="n">
        <v>2</v>
      </c>
      <c r="AI1588" t="n">
        <v>2</v>
      </c>
      <c r="AJ1588" t="n">
        <v>7</v>
      </c>
      <c r="AK1588" t="n">
        <v>7</v>
      </c>
      <c r="AL1588" t="n">
        <v>4</v>
      </c>
      <c r="AM1588" t="n">
        <v>4</v>
      </c>
      <c r="AN1588" t="n">
        <v>0</v>
      </c>
      <c r="AO1588" t="n">
        <v>0</v>
      </c>
      <c r="AP1588" t="inlineStr">
        <is>
          <t>No</t>
        </is>
      </c>
      <c r="AQ1588" t="inlineStr">
        <is>
          <t>Yes</t>
        </is>
      </c>
      <c r="AR1588">
        <f>HYPERLINK("http://catalog.hathitrust.org/Record/007144036","HathiTrust Record")</f>
        <v/>
      </c>
      <c r="AS1588">
        <f>HYPERLINK("https://creighton-primo.hosted.exlibrisgroup.com/primo-explore/search?tab=default_tab&amp;search_scope=EVERYTHING&amp;vid=01CRU&amp;lang=en_US&amp;offset=0&amp;query=any,contains,991004301629702656","Catalog Record")</f>
        <v/>
      </c>
      <c r="AT1588">
        <f>HYPERLINK("http://www.worldcat.org/oclc/54503627","WorldCat Record")</f>
        <v/>
      </c>
      <c r="AU1588" t="inlineStr">
        <is>
          <t>687248:eng</t>
        </is>
      </c>
      <c r="AV1588" t="inlineStr">
        <is>
          <t>54503627</t>
        </is>
      </c>
      <c r="AW1588" t="inlineStr">
        <is>
          <t>991004301629702656</t>
        </is>
      </c>
      <c r="AX1588" t="inlineStr">
        <is>
          <t>991004301629702656</t>
        </is>
      </c>
      <c r="AY1588" t="inlineStr">
        <is>
          <t>2266131400002656</t>
        </is>
      </c>
      <c r="AZ1588" t="inlineStr">
        <is>
          <t>BOOK</t>
        </is>
      </c>
      <c r="BB1588" t="inlineStr">
        <is>
          <t>9780385507486</t>
        </is>
      </c>
      <c r="BC1588" t="inlineStr">
        <is>
          <t>32285004906136</t>
        </is>
      </c>
      <c r="BD1588" t="inlineStr">
        <is>
          <t>893882311</t>
        </is>
      </c>
    </row>
    <row r="1589">
      <c r="A1589" t="inlineStr">
        <is>
          <t>No</t>
        </is>
      </c>
      <c r="B1589" t="inlineStr">
        <is>
          <t>GV865.W5 S44 1991</t>
        </is>
      </c>
      <c r="C1589" t="inlineStr">
        <is>
          <t>0                      GV 0865000W  5                  S  44          1991</t>
        </is>
      </c>
      <c r="D1589" t="inlineStr">
        <is>
          <t>Ted Williams : a baseball life / Michael Seidel.</t>
        </is>
      </c>
      <c r="F1589" t="inlineStr">
        <is>
          <t>No</t>
        </is>
      </c>
      <c r="G1589" t="inlineStr">
        <is>
          <t>1</t>
        </is>
      </c>
      <c r="H1589" t="inlineStr">
        <is>
          <t>No</t>
        </is>
      </c>
      <c r="I1589" t="inlineStr">
        <is>
          <t>No</t>
        </is>
      </c>
      <c r="J1589" t="inlineStr">
        <is>
          <t>0</t>
        </is>
      </c>
      <c r="K1589" t="inlineStr">
        <is>
          <t>Seidel, Michael, 1943-</t>
        </is>
      </c>
      <c r="L1589" t="inlineStr">
        <is>
          <t>Chicago : Contemporary Books, c1991.</t>
        </is>
      </c>
      <c r="M1589" t="inlineStr">
        <is>
          <t>1991</t>
        </is>
      </c>
      <c r="O1589" t="inlineStr">
        <is>
          <t>eng</t>
        </is>
      </c>
      <c r="P1589" t="inlineStr">
        <is>
          <t>ilu</t>
        </is>
      </c>
      <c r="R1589" t="inlineStr">
        <is>
          <t xml:space="preserve">GV </t>
        </is>
      </c>
      <c r="S1589" t="n">
        <v>1</v>
      </c>
      <c r="T1589" t="n">
        <v>1</v>
      </c>
      <c r="U1589" t="inlineStr">
        <is>
          <t>2009-05-19</t>
        </is>
      </c>
      <c r="V1589" t="inlineStr">
        <is>
          <t>2009-05-19</t>
        </is>
      </c>
      <c r="W1589" t="inlineStr">
        <is>
          <t>2009-05-19</t>
        </is>
      </c>
      <c r="X1589" t="inlineStr">
        <is>
          <t>2009-05-19</t>
        </is>
      </c>
      <c r="Y1589" t="n">
        <v>350</v>
      </c>
      <c r="Z1589" t="n">
        <v>343</v>
      </c>
      <c r="AA1589" t="n">
        <v>432</v>
      </c>
      <c r="AB1589" t="n">
        <v>2</v>
      </c>
      <c r="AC1589" t="n">
        <v>6</v>
      </c>
      <c r="AD1589" t="n">
        <v>3</v>
      </c>
      <c r="AE1589" t="n">
        <v>5</v>
      </c>
      <c r="AF1589" t="n">
        <v>1</v>
      </c>
      <c r="AG1589" t="n">
        <v>1</v>
      </c>
      <c r="AH1589" t="n">
        <v>1</v>
      </c>
      <c r="AI1589" t="n">
        <v>1</v>
      </c>
      <c r="AJ1589" t="n">
        <v>1</v>
      </c>
      <c r="AK1589" t="n">
        <v>1</v>
      </c>
      <c r="AL1589" t="n">
        <v>0</v>
      </c>
      <c r="AM1589" t="n">
        <v>2</v>
      </c>
      <c r="AN1589" t="n">
        <v>0</v>
      </c>
      <c r="AO1589" t="n">
        <v>0</v>
      </c>
      <c r="AP1589" t="inlineStr">
        <is>
          <t>No</t>
        </is>
      </c>
      <c r="AQ1589" t="inlineStr">
        <is>
          <t>Yes</t>
        </is>
      </c>
      <c r="AR1589">
        <f>HYPERLINK("http://catalog.hathitrust.org/Record/004513295","HathiTrust Record")</f>
        <v/>
      </c>
      <c r="AS1589">
        <f>HYPERLINK("https://creighton-primo.hosted.exlibrisgroup.com/primo-explore/search?tab=default_tab&amp;search_scope=EVERYTHING&amp;vid=01CRU&amp;lang=en_US&amp;offset=0&amp;query=any,contains,991005316619702656","Catalog Record")</f>
        <v/>
      </c>
      <c r="AT1589">
        <f>HYPERLINK("http://www.worldcat.org/oclc/22765967","WorldCat Record")</f>
        <v/>
      </c>
      <c r="AU1589" t="inlineStr">
        <is>
          <t>782622:eng</t>
        </is>
      </c>
      <c r="AV1589" t="inlineStr">
        <is>
          <t>22765967</t>
        </is>
      </c>
      <c r="AW1589" t="inlineStr">
        <is>
          <t>991005316619702656</t>
        </is>
      </c>
      <c r="AX1589" t="inlineStr">
        <is>
          <t>991005316619702656</t>
        </is>
      </c>
      <c r="AY1589" t="inlineStr">
        <is>
          <t>2260199150002656</t>
        </is>
      </c>
      <c r="AZ1589" t="inlineStr">
        <is>
          <t>BOOK</t>
        </is>
      </c>
      <c r="BB1589" t="inlineStr">
        <is>
          <t>9780809239313</t>
        </is>
      </c>
      <c r="BC1589" t="inlineStr">
        <is>
          <t>32285005532303</t>
        </is>
      </c>
      <c r="BD1589" t="inlineStr">
        <is>
          <t>893514435</t>
        </is>
      </c>
    </row>
    <row r="1590">
      <c r="A1590" t="inlineStr">
        <is>
          <t>No</t>
        </is>
      </c>
      <c r="B1590" t="inlineStr">
        <is>
          <t>GV867 .A44</t>
        </is>
      </c>
      <c r="C1590" t="inlineStr">
        <is>
          <t>0                      GV 0867000A  44</t>
        </is>
      </c>
      <c r="D1590" t="inlineStr">
        <is>
          <t>The complete baseball handbook; strategies and techniques for winning [by] Walter Alston and Don Weiskopf.</t>
        </is>
      </c>
      <c r="F1590" t="inlineStr">
        <is>
          <t>No</t>
        </is>
      </c>
      <c r="G1590" t="inlineStr">
        <is>
          <t>1</t>
        </is>
      </c>
      <c r="H1590" t="inlineStr">
        <is>
          <t>No</t>
        </is>
      </c>
      <c r="I1590" t="inlineStr">
        <is>
          <t>No</t>
        </is>
      </c>
      <c r="J1590" t="inlineStr">
        <is>
          <t>0</t>
        </is>
      </c>
      <c r="K1590" t="inlineStr">
        <is>
          <t>Alston, Walter, 1911-1984.</t>
        </is>
      </c>
      <c r="L1590" t="inlineStr">
        <is>
          <t>Boston, Allyn and Bacon [1972]</t>
        </is>
      </c>
      <c r="M1590" t="inlineStr">
        <is>
          <t>1972</t>
        </is>
      </c>
      <c r="O1590" t="inlineStr">
        <is>
          <t>eng</t>
        </is>
      </c>
      <c r="P1590" t="inlineStr">
        <is>
          <t>mau</t>
        </is>
      </c>
      <c r="R1590" t="inlineStr">
        <is>
          <t xml:space="preserve">GV </t>
        </is>
      </c>
      <c r="S1590" t="n">
        <v>22</v>
      </c>
      <c r="T1590" t="n">
        <v>22</v>
      </c>
      <c r="U1590" t="inlineStr">
        <is>
          <t>2000-03-11</t>
        </is>
      </c>
      <c r="V1590" t="inlineStr">
        <is>
          <t>2000-03-11</t>
        </is>
      </c>
      <c r="W1590" t="inlineStr">
        <is>
          <t>1992-03-24</t>
        </is>
      </c>
      <c r="X1590" t="inlineStr">
        <is>
          <t>1992-03-24</t>
        </is>
      </c>
      <c r="Y1590" t="n">
        <v>431</v>
      </c>
      <c r="Z1590" t="n">
        <v>408</v>
      </c>
      <c r="AA1590" t="n">
        <v>589</v>
      </c>
      <c r="AB1590" t="n">
        <v>4</v>
      </c>
      <c r="AC1590" t="n">
        <v>6</v>
      </c>
      <c r="AD1590" t="n">
        <v>10</v>
      </c>
      <c r="AE1590" t="n">
        <v>13</v>
      </c>
      <c r="AF1590" t="n">
        <v>4</v>
      </c>
      <c r="AG1590" t="n">
        <v>6</v>
      </c>
      <c r="AH1590" t="n">
        <v>1</v>
      </c>
      <c r="AI1590" t="n">
        <v>1</v>
      </c>
      <c r="AJ1590" t="n">
        <v>3</v>
      </c>
      <c r="AK1590" t="n">
        <v>3</v>
      </c>
      <c r="AL1590" t="n">
        <v>3</v>
      </c>
      <c r="AM1590" t="n">
        <v>4</v>
      </c>
      <c r="AN1590" t="n">
        <v>0</v>
      </c>
      <c r="AO1590" t="n">
        <v>0</v>
      </c>
      <c r="AP1590" t="inlineStr">
        <is>
          <t>No</t>
        </is>
      </c>
      <c r="AQ1590" t="inlineStr">
        <is>
          <t>No</t>
        </is>
      </c>
      <c r="AS1590">
        <f>HYPERLINK("https://creighton-primo.hosted.exlibrisgroup.com/primo-explore/search?tab=default_tab&amp;search_scope=EVERYTHING&amp;vid=01CRU&amp;lang=en_US&amp;offset=0&amp;query=any,contains,991002657399702656","Catalog Record")</f>
        <v/>
      </c>
      <c r="AT1590">
        <f>HYPERLINK("http://www.worldcat.org/oclc/389931","WorldCat Record")</f>
        <v/>
      </c>
      <c r="AU1590" t="inlineStr">
        <is>
          <t>288021324:eng</t>
        </is>
      </c>
      <c r="AV1590" t="inlineStr">
        <is>
          <t>389931</t>
        </is>
      </c>
      <c r="AW1590" t="inlineStr">
        <is>
          <t>991002657399702656</t>
        </is>
      </c>
      <c r="AX1590" t="inlineStr">
        <is>
          <t>991002657399702656</t>
        </is>
      </c>
      <c r="AY1590" t="inlineStr">
        <is>
          <t>2256525370002656</t>
        </is>
      </c>
      <c r="AZ1590" t="inlineStr">
        <is>
          <t>BOOK</t>
        </is>
      </c>
      <c r="BC1590" t="inlineStr">
        <is>
          <t>32285001003879</t>
        </is>
      </c>
      <c r="BD1590" t="inlineStr">
        <is>
          <t>893873803</t>
        </is>
      </c>
    </row>
    <row r="1591">
      <c r="A1591" t="inlineStr">
        <is>
          <t>No</t>
        </is>
      </c>
      <c r="B1591" t="inlineStr">
        <is>
          <t>GV867 .B65 1985</t>
        </is>
      </c>
      <c r="C1591" t="inlineStr">
        <is>
          <t>0                      GV 0867000B  65          1985</t>
        </is>
      </c>
      <c r="D1591" t="inlineStr">
        <is>
          <t>Why time begins on opening day / Thomas Boswell.</t>
        </is>
      </c>
      <c r="F1591" t="inlineStr">
        <is>
          <t>No</t>
        </is>
      </c>
      <c r="G1591" t="inlineStr">
        <is>
          <t>1</t>
        </is>
      </c>
      <c r="H1591" t="inlineStr">
        <is>
          <t>No</t>
        </is>
      </c>
      <c r="I1591" t="inlineStr">
        <is>
          <t>No</t>
        </is>
      </c>
      <c r="J1591" t="inlineStr">
        <is>
          <t>0</t>
        </is>
      </c>
      <c r="K1591" t="inlineStr">
        <is>
          <t>Boswell, Thomas, 1948-</t>
        </is>
      </c>
      <c r="L1591" t="inlineStr">
        <is>
          <t>New York, N.Y. : Penguin Books, 1985, c1984.</t>
        </is>
      </c>
      <c r="M1591" t="inlineStr">
        <is>
          <t>1985</t>
        </is>
      </c>
      <c r="O1591" t="inlineStr">
        <is>
          <t>eng</t>
        </is>
      </c>
      <c r="P1591" t="inlineStr">
        <is>
          <t>nyu</t>
        </is>
      </c>
      <c r="Q1591" t="inlineStr">
        <is>
          <t>The Penguin sports library</t>
        </is>
      </c>
      <c r="R1591" t="inlineStr">
        <is>
          <t xml:space="preserve">GV </t>
        </is>
      </c>
      <c r="S1591" t="n">
        <v>11</v>
      </c>
      <c r="T1591" t="n">
        <v>11</v>
      </c>
      <c r="U1591" t="inlineStr">
        <is>
          <t>2004-04-12</t>
        </is>
      </c>
      <c r="V1591" t="inlineStr">
        <is>
          <t>2004-04-12</t>
        </is>
      </c>
      <c r="W1591" t="inlineStr">
        <is>
          <t>1991-09-06</t>
        </is>
      </c>
      <c r="X1591" t="inlineStr">
        <is>
          <t>1991-09-06</t>
        </is>
      </c>
      <c r="Y1591" t="n">
        <v>73</v>
      </c>
      <c r="Z1591" t="n">
        <v>71</v>
      </c>
      <c r="AA1591" t="n">
        <v>407</v>
      </c>
      <c r="AB1591" t="n">
        <v>2</v>
      </c>
      <c r="AC1591" t="n">
        <v>2</v>
      </c>
      <c r="AD1591" t="n">
        <v>1</v>
      </c>
      <c r="AE1591" t="n">
        <v>7</v>
      </c>
      <c r="AF1591" t="n">
        <v>0</v>
      </c>
      <c r="AG1591" t="n">
        <v>5</v>
      </c>
      <c r="AH1591" t="n">
        <v>0</v>
      </c>
      <c r="AI1591" t="n">
        <v>0</v>
      </c>
      <c r="AJ1591" t="n">
        <v>0</v>
      </c>
      <c r="AK1591" t="n">
        <v>3</v>
      </c>
      <c r="AL1591" t="n">
        <v>1</v>
      </c>
      <c r="AM1591" t="n">
        <v>1</v>
      </c>
      <c r="AN1591" t="n">
        <v>0</v>
      </c>
      <c r="AO1591" t="n">
        <v>0</v>
      </c>
      <c r="AP1591" t="inlineStr">
        <is>
          <t>No</t>
        </is>
      </c>
      <c r="AQ1591" t="inlineStr">
        <is>
          <t>No</t>
        </is>
      </c>
      <c r="AS1591">
        <f>HYPERLINK("https://creighton-primo.hosted.exlibrisgroup.com/primo-explore/search?tab=default_tab&amp;search_scope=EVERYTHING&amp;vid=01CRU&amp;lang=en_US&amp;offset=0&amp;query=any,contains,991000549469702656","Catalog Record")</f>
        <v/>
      </c>
      <c r="AT1591">
        <f>HYPERLINK("http://www.worldcat.org/oclc/11532288","WorldCat Record")</f>
        <v/>
      </c>
      <c r="AU1591" t="inlineStr">
        <is>
          <t>3261109:eng</t>
        </is>
      </c>
      <c r="AV1591" t="inlineStr">
        <is>
          <t>11532288</t>
        </is>
      </c>
      <c r="AW1591" t="inlineStr">
        <is>
          <t>991000549469702656</t>
        </is>
      </c>
      <c r="AX1591" t="inlineStr">
        <is>
          <t>991000549469702656</t>
        </is>
      </c>
      <c r="AY1591" t="inlineStr">
        <is>
          <t>2261425320002656</t>
        </is>
      </c>
      <c r="AZ1591" t="inlineStr">
        <is>
          <t>BOOK</t>
        </is>
      </c>
      <c r="BB1591" t="inlineStr">
        <is>
          <t>9780140076615</t>
        </is>
      </c>
      <c r="BC1591" t="inlineStr">
        <is>
          <t>32285000740281</t>
        </is>
      </c>
      <c r="BD1591" t="inlineStr">
        <is>
          <t>893496335</t>
        </is>
      </c>
    </row>
    <row r="1592">
      <c r="A1592" t="inlineStr">
        <is>
          <t>No</t>
        </is>
      </c>
      <c r="B1592" t="inlineStr">
        <is>
          <t>GV867 .H3 1985</t>
        </is>
      </c>
      <c r="C1592" t="inlineStr">
        <is>
          <t>0                      GV 0867000H  3           1985</t>
        </is>
      </c>
      <c r="D1592" t="inlineStr">
        <is>
          <t>Fathers playing catch with sons : essays on sport (mostly baseball) / by Donald Hall.</t>
        </is>
      </c>
      <c r="F1592" t="inlineStr">
        <is>
          <t>No</t>
        </is>
      </c>
      <c r="G1592" t="inlineStr">
        <is>
          <t>1</t>
        </is>
      </c>
      <c r="H1592" t="inlineStr">
        <is>
          <t>No</t>
        </is>
      </c>
      <c r="I1592" t="inlineStr">
        <is>
          <t>No</t>
        </is>
      </c>
      <c r="J1592" t="inlineStr">
        <is>
          <t>0</t>
        </is>
      </c>
      <c r="K1592" t="inlineStr">
        <is>
          <t>Hall, Donald, 1928-2018.</t>
        </is>
      </c>
      <c r="L1592" t="inlineStr">
        <is>
          <t>San Francisco : North Point Press, 1985.</t>
        </is>
      </c>
      <c r="M1592" t="inlineStr">
        <is>
          <t>1985</t>
        </is>
      </c>
      <c r="O1592" t="inlineStr">
        <is>
          <t>eng</t>
        </is>
      </c>
      <c r="P1592" t="inlineStr">
        <is>
          <t>cau</t>
        </is>
      </c>
      <c r="R1592" t="inlineStr">
        <is>
          <t xml:space="preserve">GV </t>
        </is>
      </c>
      <c r="S1592" t="n">
        <v>19</v>
      </c>
      <c r="T1592" t="n">
        <v>19</v>
      </c>
      <c r="U1592" t="inlineStr">
        <is>
          <t>2010-08-16</t>
        </is>
      </c>
      <c r="V1592" t="inlineStr">
        <is>
          <t>2010-08-16</t>
        </is>
      </c>
      <c r="W1592" t="inlineStr">
        <is>
          <t>1990-10-24</t>
        </is>
      </c>
      <c r="X1592" t="inlineStr">
        <is>
          <t>1990-10-24</t>
        </is>
      </c>
      <c r="Y1592" t="n">
        <v>462</v>
      </c>
      <c r="Z1592" t="n">
        <v>439</v>
      </c>
      <c r="AA1592" t="n">
        <v>458</v>
      </c>
      <c r="AB1592" t="n">
        <v>3</v>
      </c>
      <c r="AC1592" t="n">
        <v>3</v>
      </c>
      <c r="AD1592" t="n">
        <v>8</v>
      </c>
      <c r="AE1592" t="n">
        <v>8</v>
      </c>
      <c r="AF1592" t="n">
        <v>2</v>
      </c>
      <c r="AG1592" t="n">
        <v>2</v>
      </c>
      <c r="AH1592" t="n">
        <v>2</v>
      </c>
      <c r="AI1592" t="n">
        <v>2</v>
      </c>
      <c r="AJ1592" t="n">
        <v>4</v>
      </c>
      <c r="AK1592" t="n">
        <v>4</v>
      </c>
      <c r="AL1592" t="n">
        <v>1</v>
      </c>
      <c r="AM1592" t="n">
        <v>1</v>
      </c>
      <c r="AN1592" t="n">
        <v>0</v>
      </c>
      <c r="AO1592" t="n">
        <v>0</v>
      </c>
      <c r="AP1592" t="inlineStr">
        <is>
          <t>No</t>
        </is>
      </c>
      <c r="AQ1592" t="inlineStr">
        <is>
          <t>No</t>
        </is>
      </c>
      <c r="AS1592">
        <f>HYPERLINK("https://creighton-primo.hosted.exlibrisgroup.com/primo-explore/search?tab=default_tab&amp;search_scope=EVERYTHING&amp;vid=01CRU&amp;lang=en_US&amp;offset=0&amp;query=any,contains,991000576789702656","Catalog Record")</f>
        <v/>
      </c>
      <c r="AT1592">
        <f>HYPERLINK("http://www.worldcat.org/oclc/11694798","WorldCat Record")</f>
        <v/>
      </c>
      <c r="AU1592" t="inlineStr">
        <is>
          <t>4710124:eng</t>
        </is>
      </c>
      <c r="AV1592" t="inlineStr">
        <is>
          <t>11694798</t>
        </is>
      </c>
      <c r="AW1592" t="inlineStr">
        <is>
          <t>991000576789702656</t>
        </is>
      </c>
      <c r="AX1592" t="inlineStr">
        <is>
          <t>991000576789702656</t>
        </is>
      </c>
      <c r="AY1592" t="inlineStr">
        <is>
          <t>2262003200002656</t>
        </is>
      </c>
      <c r="AZ1592" t="inlineStr">
        <is>
          <t>BOOK</t>
        </is>
      </c>
      <c r="BB1592" t="inlineStr">
        <is>
          <t>9780865471689</t>
        </is>
      </c>
      <c r="BC1592" t="inlineStr">
        <is>
          <t>32285000344142</t>
        </is>
      </c>
      <c r="BD1592" t="inlineStr">
        <is>
          <t>893790650</t>
        </is>
      </c>
    </row>
    <row r="1593">
      <c r="A1593" t="inlineStr">
        <is>
          <t>No</t>
        </is>
      </c>
      <c r="B1593" t="inlineStr">
        <is>
          <t>GV867 .K56 1988</t>
        </is>
      </c>
      <c r="C1593" t="inlineStr">
        <is>
          <t>0                      GV 0867000K  56          1988</t>
        </is>
      </c>
      <c r="D1593" t="inlineStr">
        <is>
          <t>Sports illustrated baseball : play the winning way / by Jerry Kindall ; photography by Heinz Kluetmeier ; illustrations by Don Tonry.</t>
        </is>
      </c>
      <c r="F1593" t="inlineStr">
        <is>
          <t>No</t>
        </is>
      </c>
      <c r="G1593" t="inlineStr">
        <is>
          <t>1</t>
        </is>
      </c>
      <c r="H1593" t="inlineStr">
        <is>
          <t>No</t>
        </is>
      </c>
      <c r="I1593" t="inlineStr">
        <is>
          <t>No</t>
        </is>
      </c>
      <c r="J1593" t="inlineStr">
        <is>
          <t>0</t>
        </is>
      </c>
      <c r="K1593" t="inlineStr">
        <is>
          <t>Kindall, Jerry.</t>
        </is>
      </c>
      <c r="L1593" t="inlineStr">
        <is>
          <t>New York : Sports Illustrated : [Distributed by] Plume, c1988.</t>
        </is>
      </c>
      <c r="M1593" t="inlineStr">
        <is>
          <t>1988</t>
        </is>
      </c>
      <c r="O1593" t="inlineStr">
        <is>
          <t>eng</t>
        </is>
      </c>
      <c r="P1593" t="inlineStr">
        <is>
          <t>nyu</t>
        </is>
      </c>
      <c r="Q1593" t="inlineStr">
        <is>
          <t>Sports illustrated winner's circle books</t>
        </is>
      </c>
      <c r="R1593" t="inlineStr">
        <is>
          <t xml:space="preserve">GV </t>
        </is>
      </c>
      <c r="S1593" t="n">
        <v>13</v>
      </c>
      <c r="T1593" t="n">
        <v>13</v>
      </c>
      <c r="U1593" t="inlineStr">
        <is>
          <t>2000-12-03</t>
        </is>
      </c>
      <c r="V1593" t="inlineStr">
        <is>
          <t>2000-12-03</t>
        </is>
      </c>
      <c r="W1593" t="inlineStr">
        <is>
          <t>1992-04-01</t>
        </is>
      </c>
      <c r="X1593" t="inlineStr">
        <is>
          <t>1992-04-01</t>
        </is>
      </c>
      <c r="Y1593" t="n">
        <v>178</v>
      </c>
      <c r="Z1593" t="n">
        <v>174</v>
      </c>
      <c r="AA1593" t="n">
        <v>722</v>
      </c>
      <c r="AB1593" t="n">
        <v>2</v>
      </c>
      <c r="AC1593" t="n">
        <v>6</v>
      </c>
      <c r="AD1593" t="n">
        <v>2</v>
      </c>
      <c r="AE1593" t="n">
        <v>13</v>
      </c>
      <c r="AF1593" t="n">
        <v>1</v>
      </c>
      <c r="AG1593" t="n">
        <v>8</v>
      </c>
      <c r="AH1593" t="n">
        <v>0</v>
      </c>
      <c r="AI1593" t="n">
        <v>3</v>
      </c>
      <c r="AJ1593" t="n">
        <v>1</v>
      </c>
      <c r="AK1593" t="n">
        <v>2</v>
      </c>
      <c r="AL1593" t="n">
        <v>1</v>
      </c>
      <c r="AM1593" t="n">
        <v>3</v>
      </c>
      <c r="AN1593" t="n">
        <v>0</v>
      </c>
      <c r="AO1593" t="n">
        <v>0</v>
      </c>
      <c r="AP1593" t="inlineStr">
        <is>
          <t>No</t>
        </is>
      </c>
      <c r="AQ1593" t="inlineStr">
        <is>
          <t>No</t>
        </is>
      </c>
      <c r="AS1593">
        <f>HYPERLINK("https://creighton-primo.hosted.exlibrisgroup.com/primo-explore/search?tab=default_tab&amp;search_scope=EVERYTHING&amp;vid=01CRU&amp;lang=en_US&amp;offset=0&amp;query=any,contains,991001192619702656","Catalog Record")</f>
        <v/>
      </c>
      <c r="AT1593">
        <f>HYPERLINK("http://www.worldcat.org/oclc/17261696","WorldCat Record")</f>
        <v/>
      </c>
      <c r="AU1593" t="inlineStr">
        <is>
          <t>390428:eng</t>
        </is>
      </c>
      <c r="AV1593" t="inlineStr">
        <is>
          <t>17261696</t>
        </is>
      </c>
      <c r="AW1593" t="inlineStr">
        <is>
          <t>991001192619702656</t>
        </is>
      </c>
      <c r="AX1593" t="inlineStr">
        <is>
          <t>991001192619702656</t>
        </is>
      </c>
      <c r="AY1593" t="inlineStr">
        <is>
          <t>2268296410002656</t>
        </is>
      </c>
      <c r="AZ1593" t="inlineStr">
        <is>
          <t>BOOK</t>
        </is>
      </c>
      <c r="BB1593" t="inlineStr">
        <is>
          <t>9780452261006</t>
        </is>
      </c>
      <c r="BC1593" t="inlineStr">
        <is>
          <t>32285001047058</t>
        </is>
      </c>
      <c r="BD1593" t="inlineStr">
        <is>
          <t>893720950</t>
        </is>
      </c>
    </row>
    <row r="1594">
      <c r="A1594" t="inlineStr">
        <is>
          <t>No</t>
        </is>
      </c>
      <c r="B1594" t="inlineStr">
        <is>
          <t>GV867 .M39 2003</t>
        </is>
      </c>
      <c r="C1594" t="inlineStr">
        <is>
          <t>0                      GV 0867000M  39          2003</t>
        </is>
      </c>
      <c r="D1594" t="inlineStr">
        <is>
          <t>Notes of a baseball dreamer : a memoir / Robert Mayer.</t>
        </is>
      </c>
      <c r="F1594" t="inlineStr">
        <is>
          <t>No</t>
        </is>
      </c>
      <c r="G1594" t="inlineStr">
        <is>
          <t>1</t>
        </is>
      </c>
      <c r="H1594" t="inlineStr">
        <is>
          <t>No</t>
        </is>
      </c>
      <c r="I1594" t="inlineStr">
        <is>
          <t>No</t>
        </is>
      </c>
      <c r="J1594" t="inlineStr">
        <is>
          <t>0</t>
        </is>
      </c>
      <c r="K1594" t="inlineStr">
        <is>
          <t>Mayer, Robert, 1939-</t>
        </is>
      </c>
      <c r="L1594" t="inlineStr">
        <is>
          <t>Boston : Houghton Mifflin, 2003.</t>
        </is>
      </c>
      <c r="M1594" t="inlineStr">
        <is>
          <t>2003</t>
        </is>
      </c>
      <c r="O1594" t="inlineStr">
        <is>
          <t>eng</t>
        </is>
      </c>
      <c r="P1594" t="inlineStr">
        <is>
          <t>mau</t>
        </is>
      </c>
      <c r="R1594" t="inlineStr">
        <is>
          <t xml:space="preserve">GV </t>
        </is>
      </c>
      <c r="S1594" t="n">
        <v>1</v>
      </c>
      <c r="T1594" t="n">
        <v>1</v>
      </c>
      <c r="U1594" t="inlineStr">
        <is>
          <t>2006-11-16</t>
        </is>
      </c>
      <c r="V1594" t="inlineStr">
        <is>
          <t>2006-11-16</t>
        </is>
      </c>
      <c r="W1594" t="inlineStr">
        <is>
          <t>2006-11-16</t>
        </is>
      </c>
      <c r="X1594" t="inlineStr">
        <is>
          <t>2006-11-16</t>
        </is>
      </c>
      <c r="Y1594" t="n">
        <v>55</v>
      </c>
      <c r="Z1594" t="n">
        <v>52</v>
      </c>
      <c r="AA1594" t="n">
        <v>57</v>
      </c>
      <c r="AB1594" t="n">
        <v>1</v>
      </c>
      <c r="AC1594" t="n">
        <v>1</v>
      </c>
      <c r="AD1594" t="n">
        <v>0</v>
      </c>
      <c r="AE1594" t="n">
        <v>0</v>
      </c>
      <c r="AF1594" t="n">
        <v>0</v>
      </c>
      <c r="AG1594" t="n">
        <v>0</v>
      </c>
      <c r="AH1594" t="n">
        <v>0</v>
      </c>
      <c r="AI1594" t="n">
        <v>0</v>
      </c>
      <c r="AJ1594" t="n">
        <v>0</v>
      </c>
      <c r="AK1594" t="n">
        <v>0</v>
      </c>
      <c r="AL1594" t="n">
        <v>0</v>
      </c>
      <c r="AM1594" t="n">
        <v>0</v>
      </c>
      <c r="AN1594" t="n">
        <v>0</v>
      </c>
      <c r="AO1594" t="n">
        <v>0</v>
      </c>
      <c r="AP1594" t="inlineStr">
        <is>
          <t>No</t>
        </is>
      </c>
      <c r="AQ1594" t="inlineStr">
        <is>
          <t>No</t>
        </is>
      </c>
      <c r="AS1594">
        <f>HYPERLINK("https://creighton-primo.hosted.exlibrisgroup.com/primo-explore/search?tab=default_tab&amp;search_scope=EVERYTHING&amp;vid=01CRU&amp;lang=en_US&amp;offset=0&amp;query=any,contains,991004982329702656","Catalog Record")</f>
        <v/>
      </c>
      <c r="AT1594">
        <f>HYPERLINK("http://www.worldcat.org/oclc/51178245","WorldCat Record")</f>
        <v/>
      </c>
      <c r="AU1594" t="inlineStr">
        <is>
          <t>5164198815:eng</t>
        </is>
      </c>
      <c r="AV1594" t="inlineStr">
        <is>
          <t>51178245</t>
        </is>
      </c>
      <c r="AW1594" t="inlineStr">
        <is>
          <t>991004982329702656</t>
        </is>
      </c>
      <c r="AX1594" t="inlineStr">
        <is>
          <t>991004982329702656</t>
        </is>
      </c>
      <c r="AY1594" t="inlineStr">
        <is>
          <t>2266459460002656</t>
        </is>
      </c>
      <c r="AZ1594" t="inlineStr">
        <is>
          <t>BOOK</t>
        </is>
      </c>
      <c r="BB1594" t="inlineStr">
        <is>
          <t>9780618329618</t>
        </is>
      </c>
      <c r="BC1594" t="inlineStr">
        <is>
          <t>32285005260418</t>
        </is>
      </c>
      <c r="BD1594" t="inlineStr">
        <is>
          <t>893700881</t>
        </is>
      </c>
    </row>
    <row r="1595">
      <c r="A1595" t="inlineStr">
        <is>
          <t>No</t>
        </is>
      </c>
      <c r="B1595" t="inlineStr">
        <is>
          <t>GV867 .S66 1993</t>
        </is>
      </c>
      <c r="C1595" t="inlineStr">
        <is>
          <t>0                      GV 0867000S  66          1993</t>
        </is>
      </c>
      <c r="D1595" t="inlineStr">
        <is>
          <t>Sports illustrated baseball : four decades of Sports Illustrated's finest writing on America's favorite pastime.</t>
        </is>
      </c>
      <c r="F1595" t="inlineStr">
        <is>
          <t>No</t>
        </is>
      </c>
      <c r="G1595" t="inlineStr">
        <is>
          <t>1</t>
        </is>
      </c>
      <c r="H1595" t="inlineStr">
        <is>
          <t>No</t>
        </is>
      </c>
      <c r="I1595" t="inlineStr">
        <is>
          <t>No</t>
        </is>
      </c>
      <c r="J1595" t="inlineStr">
        <is>
          <t>0</t>
        </is>
      </c>
      <c r="L1595" t="inlineStr">
        <is>
          <t>Birmingham, Ala. : Oxmoor House, c1993.</t>
        </is>
      </c>
      <c r="M1595" t="inlineStr">
        <is>
          <t>1993</t>
        </is>
      </c>
      <c r="O1595" t="inlineStr">
        <is>
          <t>eng</t>
        </is>
      </c>
      <c r="P1595" t="inlineStr">
        <is>
          <t>alu</t>
        </is>
      </c>
      <c r="Q1595" t="inlineStr">
        <is>
          <t>Collector's Library</t>
        </is>
      </c>
      <c r="R1595" t="inlineStr">
        <is>
          <t xml:space="preserve">GV </t>
        </is>
      </c>
      <c r="S1595" t="n">
        <v>17</v>
      </c>
      <c r="T1595" t="n">
        <v>17</v>
      </c>
      <c r="U1595" t="inlineStr">
        <is>
          <t>2004-04-12</t>
        </is>
      </c>
      <c r="V1595" t="inlineStr">
        <is>
          <t>2004-04-12</t>
        </is>
      </c>
      <c r="W1595" t="inlineStr">
        <is>
          <t>1994-12-28</t>
        </is>
      </c>
      <c r="X1595" t="inlineStr">
        <is>
          <t>1994-12-28</t>
        </is>
      </c>
      <c r="Y1595" t="n">
        <v>59</v>
      </c>
      <c r="Z1595" t="n">
        <v>56</v>
      </c>
      <c r="AA1595" t="n">
        <v>57</v>
      </c>
      <c r="AB1595" t="n">
        <v>1</v>
      </c>
      <c r="AC1595" t="n">
        <v>1</v>
      </c>
      <c r="AD1595" t="n">
        <v>2</v>
      </c>
      <c r="AE1595" t="n">
        <v>2</v>
      </c>
      <c r="AF1595" t="n">
        <v>1</v>
      </c>
      <c r="AG1595" t="n">
        <v>1</v>
      </c>
      <c r="AH1595" t="n">
        <v>0</v>
      </c>
      <c r="AI1595" t="n">
        <v>0</v>
      </c>
      <c r="AJ1595" t="n">
        <v>1</v>
      </c>
      <c r="AK1595" t="n">
        <v>1</v>
      </c>
      <c r="AL1595" t="n">
        <v>0</v>
      </c>
      <c r="AM1595" t="n">
        <v>0</v>
      </c>
      <c r="AN1595" t="n">
        <v>0</v>
      </c>
      <c r="AO1595" t="n">
        <v>0</v>
      </c>
      <c r="AP1595" t="inlineStr">
        <is>
          <t>No</t>
        </is>
      </c>
      <c r="AQ1595" t="inlineStr">
        <is>
          <t>No</t>
        </is>
      </c>
      <c r="AS1595">
        <f>HYPERLINK("https://creighton-primo.hosted.exlibrisgroup.com/primo-explore/search?tab=default_tab&amp;search_scope=EVERYTHING&amp;vid=01CRU&amp;lang=en_US&amp;offset=0&amp;query=any,contains,991002262159702656","Catalog Record")</f>
        <v/>
      </c>
      <c r="AT1595">
        <f>HYPERLINK("http://www.worldcat.org/oclc/29353510","WorldCat Record")</f>
        <v/>
      </c>
      <c r="AU1595" t="inlineStr">
        <is>
          <t>55765671:eng</t>
        </is>
      </c>
      <c r="AV1595" t="inlineStr">
        <is>
          <t>29353510</t>
        </is>
      </c>
      <c r="AW1595" t="inlineStr">
        <is>
          <t>991002262159702656</t>
        </is>
      </c>
      <c r="AX1595" t="inlineStr">
        <is>
          <t>991002262159702656</t>
        </is>
      </c>
      <c r="AY1595" t="inlineStr">
        <is>
          <t>2264389620002656</t>
        </is>
      </c>
      <c r="AZ1595" t="inlineStr">
        <is>
          <t>BOOK</t>
        </is>
      </c>
      <c r="BB1595" t="inlineStr">
        <is>
          <t>9780848711474</t>
        </is>
      </c>
      <c r="BC1595" t="inlineStr">
        <is>
          <t>32285001919116</t>
        </is>
      </c>
      <c r="BD1595" t="inlineStr">
        <is>
          <t>893879679</t>
        </is>
      </c>
    </row>
    <row r="1596">
      <c r="A1596" t="inlineStr">
        <is>
          <t>No</t>
        </is>
      </c>
      <c r="B1596" t="inlineStr">
        <is>
          <t>GV867.3 .M37 1998</t>
        </is>
      </c>
      <c r="C1596" t="inlineStr">
        <is>
          <t>0                      GV 0867300M  37          1998</t>
        </is>
      </c>
      <c r="D1596" t="inlineStr">
        <is>
          <t>Tim McCarver's baseball for brain surgeons and other fans : understanding and interpreting the game so you can watch it like a pro / Tim McCarver with Danny Peary.</t>
        </is>
      </c>
      <c r="F1596" t="inlineStr">
        <is>
          <t>No</t>
        </is>
      </c>
      <c r="G1596" t="inlineStr">
        <is>
          <t>1</t>
        </is>
      </c>
      <c r="H1596" t="inlineStr">
        <is>
          <t>No</t>
        </is>
      </c>
      <c r="I1596" t="inlineStr">
        <is>
          <t>No</t>
        </is>
      </c>
      <c r="J1596" t="inlineStr">
        <is>
          <t>0</t>
        </is>
      </c>
      <c r="K1596" t="inlineStr">
        <is>
          <t>McCarver, Tim.</t>
        </is>
      </c>
      <c r="L1596" t="inlineStr">
        <is>
          <t>New York : Villard Books, c1998.</t>
        </is>
      </c>
      <c r="M1596" t="inlineStr">
        <is>
          <t>1998</t>
        </is>
      </c>
      <c r="N1596" t="inlineStr">
        <is>
          <t>1st ed.</t>
        </is>
      </c>
      <c r="O1596" t="inlineStr">
        <is>
          <t>eng</t>
        </is>
      </c>
      <c r="P1596" t="inlineStr">
        <is>
          <t>nyu</t>
        </is>
      </c>
      <c r="R1596" t="inlineStr">
        <is>
          <t xml:space="preserve">GV </t>
        </is>
      </c>
      <c r="S1596" t="n">
        <v>5</v>
      </c>
      <c r="T1596" t="n">
        <v>5</v>
      </c>
      <c r="U1596" t="inlineStr">
        <is>
          <t>2005-02-09</t>
        </is>
      </c>
      <c r="V1596" t="inlineStr">
        <is>
          <t>2005-02-09</t>
        </is>
      </c>
      <c r="W1596" t="inlineStr">
        <is>
          <t>1998-07-01</t>
        </is>
      </c>
      <c r="X1596" t="inlineStr">
        <is>
          <t>1998-07-01</t>
        </is>
      </c>
      <c r="Y1596" t="n">
        <v>520</v>
      </c>
      <c r="Z1596" t="n">
        <v>505</v>
      </c>
      <c r="AA1596" t="n">
        <v>548</v>
      </c>
      <c r="AB1596" t="n">
        <v>2</v>
      </c>
      <c r="AC1596" t="n">
        <v>2</v>
      </c>
      <c r="AD1596" t="n">
        <v>3</v>
      </c>
      <c r="AE1596" t="n">
        <v>3</v>
      </c>
      <c r="AF1596" t="n">
        <v>0</v>
      </c>
      <c r="AG1596" t="n">
        <v>0</v>
      </c>
      <c r="AH1596" t="n">
        <v>1</v>
      </c>
      <c r="AI1596" t="n">
        <v>1</v>
      </c>
      <c r="AJ1596" t="n">
        <v>2</v>
      </c>
      <c r="AK1596" t="n">
        <v>2</v>
      </c>
      <c r="AL1596" t="n">
        <v>0</v>
      </c>
      <c r="AM1596" t="n">
        <v>0</v>
      </c>
      <c r="AN1596" t="n">
        <v>0</v>
      </c>
      <c r="AO1596" t="n">
        <v>0</v>
      </c>
      <c r="AP1596" t="inlineStr">
        <is>
          <t>No</t>
        </is>
      </c>
      <c r="AQ1596" t="inlineStr">
        <is>
          <t>No</t>
        </is>
      </c>
      <c r="AS1596">
        <f>HYPERLINK("https://creighton-primo.hosted.exlibrisgroup.com/primo-explore/search?tab=default_tab&amp;search_scope=EVERYTHING&amp;vid=01CRU&amp;lang=en_US&amp;offset=0&amp;query=any,contains,991002885929702656","Catalog Record")</f>
        <v/>
      </c>
      <c r="AT1596">
        <f>HYPERLINK("http://www.worldcat.org/oclc/38024210","WorldCat Record")</f>
        <v/>
      </c>
      <c r="AU1596" t="inlineStr">
        <is>
          <t>292346160:eng</t>
        </is>
      </c>
      <c r="AV1596" t="inlineStr">
        <is>
          <t>38024210</t>
        </is>
      </c>
      <c r="AW1596" t="inlineStr">
        <is>
          <t>991002885929702656</t>
        </is>
      </c>
      <c r="AX1596" t="inlineStr">
        <is>
          <t>991002885929702656</t>
        </is>
      </c>
      <c r="AY1596" t="inlineStr">
        <is>
          <t>2264212930002656</t>
        </is>
      </c>
      <c r="AZ1596" t="inlineStr">
        <is>
          <t>BOOK</t>
        </is>
      </c>
      <c r="BB1596" t="inlineStr">
        <is>
          <t>9780375500855</t>
        </is>
      </c>
      <c r="BC1596" t="inlineStr">
        <is>
          <t>32285003430229</t>
        </is>
      </c>
      <c r="BD1596" t="inlineStr">
        <is>
          <t>893335856</t>
        </is>
      </c>
    </row>
    <row r="1597">
      <c r="A1597" t="inlineStr">
        <is>
          <t>No</t>
        </is>
      </c>
      <c r="B1597" t="inlineStr">
        <is>
          <t>GV867.64 .K54 1997</t>
        </is>
      </c>
      <c r="C1597" t="inlineStr">
        <is>
          <t>0                      GV 0867640K  54          1997</t>
        </is>
      </c>
      <c r="D1597" t="inlineStr">
        <is>
          <t>Baseball on the border : a tale of two Laredos / Alan M. Klein.</t>
        </is>
      </c>
      <c r="F1597" t="inlineStr">
        <is>
          <t>No</t>
        </is>
      </c>
      <c r="G1597" t="inlineStr">
        <is>
          <t>1</t>
        </is>
      </c>
      <c r="H1597" t="inlineStr">
        <is>
          <t>No</t>
        </is>
      </c>
      <c r="I1597" t="inlineStr">
        <is>
          <t>No</t>
        </is>
      </c>
      <c r="J1597" t="inlineStr">
        <is>
          <t>0</t>
        </is>
      </c>
      <c r="K1597" t="inlineStr">
        <is>
          <t>Klein, Alan, 1946-</t>
        </is>
      </c>
      <c r="L1597" t="inlineStr">
        <is>
          <t>Princeton : Princeton University Press, c1997.</t>
        </is>
      </c>
      <c r="M1597" t="inlineStr">
        <is>
          <t>1997</t>
        </is>
      </c>
      <c r="O1597" t="inlineStr">
        <is>
          <t>eng</t>
        </is>
      </c>
      <c r="P1597" t="inlineStr">
        <is>
          <t>nju</t>
        </is>
      </c>
      <c r="R1597" t="inlineStr">
        <is>
          <t xml:space="preserve">GV </t>
        </is>
      </c>
      <c r="S1597" t="n">
        <v>3</v>
      </c>
      <c r="T1597" t="n">
        <v>3</v>
      </c>
      <c r="U1597" t="inlineStr">
        <is>
          <t>2003-01-28</t>
        </is>
      </c>
      <c r="V1597" t="inlineStr">
        <is>
          <t>2003-01-28</t>
        </is>
      </c>
      <c r="W1597" t="inlineStr">
        <is>
          <t>1998-02-20</t>
        </is>
      </c>
      <c r="X1597" t="inlineStr">
        <is>
          <t>1998-02-20</t>
        </is>
      </c>
      <c r="Y1597" t="n">
        <v>354</v>
      </c>
      <c r="Z1597" t="n">
        <v>317</v>
      </c>
      <c r="AA1597" t="n">
        <v>533</v>
      </c>
      <c r="AB1597" t="n">
        <v>2</v>
      </c>
      <c r="AC1597" t="n">
        <v>3</v>
      </c>
      <c r="AD1597" t="n">
        <v>14</v>
      </c>
      <c r="AE1597" t="n">
        <v>25</v>
      </c>
      <c r="AF1597" t="n">
        <v>7</v>
      </c>
      <c r="AG1597" t="n">
        <v>11</v>
      </c>
      <c r="AH1597" t="n">
        <v>2</v>
      </c>
      <c r="AI1597" t="n">
        <v>6</v>
      </c>
      <c r="AJ1597" t="n">
        <v>7</v>
      </c>
      <c r="AK1597" t="n">
        <v>13</v>
      </c>
      <c r="AL1597" t="n">
        <v>1</v>
      </c>
      <c r="AM1597" t="n">
        <v>2</v>
      </c>
      <c r="AN1597" t="n">
        <v>0</v>
      </c>
      <c r="AO1597" t="n">
        <v>0</v>
      </c>
      <c r="AP1597" t="inlineStr">
        <is>
          <t>No</t>
        </is>
      </c>
      <c r="AQ1597" t="inlineStr">
        <is>
          <t>No</t>
        </is>
      </c>
      <c r="AS1597">
        <f>HYPERLINK("https://creighton-primo.hosted.exlibrisgroup.com/primo-explore/search?tab=default_tab&amp;search_scope=EVERYTHING&amp;vid=01CRU&amp;lang=en_US&amp;offset=0&amp;query=any,contains,991002726619702656","Catalog Record")</f>
        <v/>
      </c>
      <c r="AT1597">
        <f>HYPERLINK("http://www.worldcat.org/oclc/35762726","WorldCat Record")</f>
        <v/>
      </c>
      <c r="AU1597" t="inlineStr">
        <is>
          <t>40437560:eng</t>
        </is>
      </c>
      <c r="AV1597" t="inlineStr">
        <is>
          <t>35762726</t>
        </is>
      </c>
      <c r="AW1597" t="inlineStr">
        <is>
          <t>991002726619702656</t>
        </is>
      </c>
      <c r="AX1597" t="inlineStr">
        <is>
          <t>991002726619702656</t>
        </is>
      </c>
      <c r="AY1597" t="inlineStr">
        <is>
          <t>2265023040002656</t>
        </is>
      </c>
      <c r="AZ1597" t="inlineStr">
        <is>
          <t>BOOK</t>
        </is>
      </c>
      <c r="BB1597" t="inlineStr">
        <is>
          <t>9780691011981</t>
        </is>
      </c>
      <c r="BC1597" t="inlineStr">
        <is>
          <t>32285003314746</t>
        </is>
      </c>
      <c r="BD1597" t="inlineStr">
        <is>
          <t>893698174</t>
        </is>
      </c>
    </row>
    <row r="1598">
      <c r="A1598" t="inlineStr">
        <is>
          <t>No</t>
        </is>
      </c>
      <c r="B1598" t="inlineStr">
        <is>
          <t>GV871 .K35 2000</t>
        </is>
      </c>
      <c r="C1598" t="inlineStr">
        <is>
          <t>0                      GV 0871000K  35          2000</t>
        </is>
      </c>
      <c r="D1598" t="inlineStr">
        <is>
          <t>The head game : baseball seen from the pitcher's mound / Roger Kahn ; illustrations by Murray Tinkelman.</t>
        </is>
      </c>
      <c r="F1598" t="inlineStr">
        <is>
          <t>No</t>
        </is>
      </c>
      <c r="G1598" t="inlineStr">
        <is>
          <t>1</t>
        </is>
      </c>
      <c r="H1598" t="inlineStr">
        <is>
          <t>No</t>
        </is>
      </c>
      <c r="I1598" t="inlineStr">
        <is>
          <t>No</t>
        </is>
      </c>
      <c r="J1598" t="inlineStr">
        <is>
          <t>0</t>
        </is>
      </c>
      <c r="K1598" t="inlineStr">
        <is>
          <t>Kahn, Roger.</t>
        </is>
      </c>
      <c r="L1598" t="inlineStr">
        <is>
          <t>New York : Harcourt, c2000.</t>
        </is>
      </c>
      <c r="M1598" t="inlineStr">
        <is>
          <t>2000</t>
        </is>
      </c>
      <c r="N1598" t="inlineStr">
        <is>
          <t>1st ed.</t>
        </is>
      </c>
      <c r="O1598" t="inlineStr">
        <is>
          <t>eng</t>
        </is>
      </c>
      <c r="P1598" t="inlineStr">
        <is>
          <t>nyu</t>
        </is>
      </c>
      <c r="R1598" t="inlineStr">
        <is>
          <t xml:space="preserve">GV </t>
        </is>
      </c>
      <c r="S1598" t="n">
        <v>2</v>
      </c>
      <c r="T1598" t="n">
        <v>2</v>
      </c>
      <c r="U1598" t="inlineStr">
        <is>
          <t>2008-01-04</t>
        </is>
      </c>
      <c r="V1598" t="inlineStr">
        <is>
          <t>2008-01-04</t>
        </is>
      </c>
      <c r="W1598" t="inlineStr">
        <is>
          <t>2000-11-08</t>
        </is>
      </c>
      <c r="X1598" t="inlineStr">
        <is>
          <t>2000-11-08</t>
        </is>
      </c>
      <c r="Y1598" t="n">
        <v>645</v>
      </c>
      <c r="Z1598" t="n">
        <v>621</v>
      </c>
      <c r="AA1598" t="n">
        <v>659</v>
      </c>
      <c r="AB1598" t="n">
        <v>5</v>
      </c>
      <c r="AC1598" t="n">
        <v>5</v>
      </c>
      <c r="AD1598" t="n">
        <v>6</v>
      </c>
      <c r="AE1598" t="n">
        <v>6</v>
      </c>
      <c r="AF1598" t="n">
        <v>3</v>
      </c>
      <c r="AG1598" t="n">
        <v>3</v>
      </c>
      <c r="AH1598" t="n">
        <v>1</v>
      </c>
      <c r="AI1598" t="n">
        <v>1</v>
      </c>
      <c r="AJ1598" t="n">
        <v>3</v>
      </c>
      <c r="AK1598" t="n">
        <v>3</v>
      </c>
      <c r="AL1598" t="n">
        <v>1</v>
      </c>
      <c r="AM1598" t="n">
        <v>1</v>
      </c>
      <c r="AN1598" t="n">
        <v>0</v>
      </c>
      <c r="AO1598" t="n">
        <v>0</v>
      </c>
      <c r="AP1598" t="inlineStr">
        <is>
          <t>No</t>
        </is>
      </c>
      <c r="AQ1598" t="inlineStr">
        <is>
          <t>No</t>
        </is>
      </c>
      <c r="AS1598">
        <f>HYPERLINK("https://creighton-primo.hosted.exlibrisgroup.com/primo-explore/search?tab=default_tab&amp;search_scope=EVERYTHING&amp;vid=01CRU&amp;lang=en_US&amp;offset=0&amp;query=any,contains,991003304659702656","Catalog Record")</f>
        <v/>
      </c>
      <c r="AT1598">
        <f>HYPERLINK("http://www.worldcat.org/oclc/43945311","WorldCat Record")</f>
        <v/>
      </c>
      <c r="AU1598" t="inlineStr">
        <is>
          <t>146444:eng</t>
        </is>
      </c>
      <c r="AV1598" t="inlineStr">
        <is>
          <t>43945311</t>
        </is>
      </c>
      <c r="AW1598" t="inlineStr">
        <is>
          <t>991003304659702656</t>
        </is>
      </c>
      <c r="AX1598" t="inlineStr">
        <is>
          <t>991003304659702656</t>
        </is>
      </c>
      <c r="AY1598" t="inlineStr">
        <is>
          <t>2272022060002656</t>
        </is>
      </c>
      <c r="AZ1598" t="inlineStr">
        <is>
          <t>BOOK</t>
        </is>
      </c>
      <c r="BB1598" t="inlineStr">
        <is>
          <t>9780151004416</t>
        </is>
      </c>
      <c r="BC1598" t="inlineStr">
        <is>
          <t>32285004264296</t>
        </is>
      </c>
      <c r="BD1598" t="inlineStr">
        <is>
          <t>893874639</t>
        </is>
      </c>
    </row>
    <row r="1599">
      <c r="A1599" t="inlineStr">
        <is>
          <t>No</t>
        </is>
      </c>
      <c r="B1599" t="inlineStr">
        <is>
          <t>GV871 .S39 1984</t>
        </is>
      </c>
      <c r="C1599" t="inlineStr">
        <is>
          <t>0                      GV 0871000S  39          1984</t>
        </is>
      </c>
      <c r="D1599" t="inlineStr">
        <is>
          <t>The art of pitching / by Tom Seaver, with Lee Lowenfish.</t>
        </is>
      </c>
      <c r="F1599" t="inlineStr">
        <is>
          <t>No</t>
        </is>
      </c>
      <c r="G1599" t="inlineStr">
        <is>
          <t>1</t>
        </is>
      </c>
      <c r="H1599" t="inlineStr">
        <is>
          <t>No</t>
        </is>
      </c>
      <c r="I1599" t="inlineStr">
        <is>
          <t>No</t>
        </is>
      </c>
      <c r="J1599" t="inlineStr">
        <is>
          <t>0</t>
        </is>
      </c>
      <c r="K1599" t="inlineStr">
        <is>
          <t>Seaver, Tom, 1944-2020.</t>
        </is>
      </c>
      <c r="L1599" t="inlineStr">
        <is>
          <t>New York : Hearst Books, c1984.</t>
        </is>
      </c>
      <c r="M1599" t="inlineStr">
        <is>
          <t>1984</t>
        </is>
      </c>
      <c r="N1599" t="inlineStr">
        <is>
          <t>1st ed.</t>
        </is>
      </c>
      <c r="O1599" t="inlineStr">
        <is>
          <t>eng</t>
        </is>
      </c>
      <c r="P1599" t="inlineStr">
        <is>
          <t>nyu</t>
        </is>
      </c>
      <c r="R1599" t="inlineStr">
        <is>
          <t xml:space="preserve">GV </t>
        </is>
      </c>
      <c r="S1599" t="n">
        <v>18</v>
      </c>
      <c r="T1599" t="n">
        <v>18</v>
      </c>
      <c r="U1599" t="inlineStr">
        <is>
          <t>2005-02-09</t>
        </is>
      </c>
      <c r="V1599" t="inlineStr">
        <is>
          <t>2005-02-09</t>
        </is>
      </c>
      <c r="W1599" t="inlineStr">
        <is>
          <t>1990-06-20</t>
        </is>
      </c>
      <c r="X1599" t="inlineStr">
        <is>
          <t>1990-06-20</t>
        </is>
      </c>
      <c r="Y1599" t="n">
        <v>735</v>
      </c>
      <c r="Z1599" t="n">
        <v>716</v>
      </c>
      <c r="AA1599" t="n">
        <v>737</v>
      </c>
      <c r="AB1599" t="n">
        <v>3</v>
      </c>
      <c r="AC1599" t="n">
        <v>3</v>
      </c>
      <c r="AD1599" t="n">
        <v>5</v>
      </c>
      <c r="AE1599" t="n">
        <v>5</v>
      </c>
      <c r="AF1599" t="n">
        <v>3</v>
      </c>
      <c r="AG1599" t="n">
        <v>3</v>
      </c>
      <c r="AH1599" t="n">
        <v>0</v>
      </c>
      <c r="AI1599" t="n">
        <v>0</v>
      </c>
      <c r="AJ1599" t="n">
        <v>2</v>
      </c>
      <c r="AK1599" t="n">
        <v>2</v>
      </c>
      <c r="AL1599" t="n">
        <v>1</v>
      </c>
      <c r="AM1599" t="n">
        <v>1</v>
      </c>
      <c r="AN1599" t="n">
        <v>0</v>
      </c>
      <c r="AO1599" t="n">
        <v>0</v>
      </c>
      <c r="AP1599" t="inlineStr">
        <is>
          <t>No</t>
        </is>
      </c>
      <c r="AQ1599" t="inlineStr">
        <is>
          <t>No</t>
        </is>
      </c>
      <c r="AS1599">
        <f>HYPERLINK("https://creighton-primo.hosted.exlibrisgroup.com/primo-explore/search?tab=default_tab&amp;search_scope=EVERYTHING&amp;vid=01CRU&amp;lang=en_US&amp;offset=0&amp;query=any,contains,991000381499702656","Catalog Record")</f>
        <v/>
      </c>
      <c r="AT1599">
        <f>HYPERLINK("http://www.worldcat.org/oclc/10499746","WorldCat Record")</f>
        <v/>
      </c>
      <c r="AU1599" t="inlineStr">
        <is>
          <t>3558419:eng</t>
        </is>
      </c>
      <c r="AV1599" t="inlineStr">
        <is>
          <t>10499746</t>
        </is>
      </c>
      <c r="AW1599" t="inlineStr">
        <is>
          <t>991000381499702656</t>
        </is>
      </c>
      <c r="AX1599" t="inlineStr">
        <is>
          <t>991000381499702656</t>
        </is>
      </c>
      <c r="AY1599" t="inlineStr">
        <is>
          <t>2263807310002656</t>
        </is>
      </c>
      <c r="AZ1599" t="inlineStr">
        <is>
          <t>BOOK</t>
        </is>
      </c>
      <c r="BB1599" t="inlineStr">
        <is>
          <t>9780688026639</t>
        </is>
      </c>
      <c r="BC1599" t="inlineStr">
        <is>
          <t>32285000210475</t>
        </is>
      </c>
      <c r="BD1599" t="inlineStr">
        <is>
          <t>893771577</t>
        </is>
      </c>
    </row>
    <row r="1600">
      <c r="A1600" t="inlineStr">
        <is>
          <t>No</t>
        </is>
      </c>
      <c r="B1600" t="inlineStr">
        <is>
          <t>GV874.8.N3 P7 1974</t>
        </is>
      </c>
      <c r="C1600" t="inlineStr">
        <is>
          <t>0                      GV 0874800N  3                  P  7           1974</t>
        </is>
      </c>
      <c r="D1600" t="inlineStr">
        <is>
          <t>The Professional hockey handbook : histories of the N.H.L. and Stanley Cup / up-dated records, statistics and results [by] NHL Services.</t>
        </is>
      </c>
      <c r="F1600" t="inlineStr">
        <is>
          <t>No</t>
        </is>
      </c>
      <c r="G1600" t="inlineStr">
        <is>
          <t>1</t>
        </is>
      </c>
      <c r="H1600" t="inlineStr">
        <is>
          <t>No</t>
        </is>
      </c>
      <c r="I1600" t="inlineStr">
        <is>
          <t>No</t>
        </is>
      </c>
      <c r="J1600" t="inlineStr">
        <is>
          <t>0</t>
        </is>
      </c>
      <c r="L1600" t="inlineStr">
        <is>
          <t>Toronto : Pagurian Press ; [distributed by Arco Publishing Co., New York, 1974]</t>
        </is>
      </c>
      <c r="M1600" t="inlineStr">
        <is>
          <t>1974</t>
        </is>
      </c>
      <c r="N1600" t="inlineStr">
        <is>
          <t>[Special 1974-1975 ed.]</t>
        </is>
      </c>
      <c r="O1600" t="inlineStr">
        <is>
          <t>eng</t>
        </is>
      </c>
      <c r="P1600" t="inlineStr">
        <is>
          <t xml:space="preserve">xx </t>
        </is>
      </c>
      <c r="R1600" t="inlineStr">
        <is>
          <t xml:space="preserve">GV </t>
        </is>
      </c>
      <c r="S1600" t="n">
        <v>10</v>
      </c>
      <c r="T1600" t="n">
        <v>10</v>
      </c>
      <c r="U1600" t="inlineStr">
        <is>
          <t>2007-02-01</t>
        </is>
      </c>
      <c r="V1600" t="inlineStr">
        <is>
          <t>2007-02-01</t>
        </is>
      </c>
      <c r="W1600" t="inlineStr">
        <is>
          <t>1992-04-11</t>
        </is>
      </c>
      <c r="X1600" t="inlineStr">
        <is>
          <t>1992-04-11</t>
        </is>
      </c>
      <c r="Y1600" t="n">
        <v>34</v>
      </c>
      <c r="Z1600" t="n">
        <v>34</v>
      </c>
      <c r="AA1600" t="n">
        <v>34</v>
      </c>
      <c r="AB1600" t="n">
        <v>1</v>
      </c>
      <c r="AC1600" t="n">
        <v>1</v>
      </c>
      <c r="AD1600" t="n">
        <v>0</v>
      </c>
      <c r="AE1600" t="n">
        <v>0</v>
      </c>
      <c r="AF1600" t="n">
        <v>0</v>
      </c>
      <c r="AG1600" t="n">
        <v>0</v>
      </c>
      <c r="AH1600" t="n">
        <v>0</v>
      </c>
      <c r="AI1600" t="n">
        <v>0</v>
      </c>
      <c r="AJ1600" t="n">
        <v>0</v>
      </c>
      <c r="AK1600" t="n">
        <v>0</v>
      </c>
      <c r="AL1600" t="n">
        <v>0</v>
      </c>
      <c r="AM1600" t="n">
        <v>0</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HYPERLINK("https://creighton-primo.hosted.exlibrisgroup.com/primo-explore/search?tab=default_tab&amp;search_scope=EVERYTHING&amp;vid=01CRU&amp;lang=en_US&amp;offset=0&amp;query=any,contains,991003604119702656","Catalog Record")</f>
        <v/>
      </c>
      <c r="AT1600">
        <f>HYPERLINK("http://www.worldcat.org/oclc/1183476","WorldCat Record")</f>
        <v/>
      </c>
      <c r="AU1600" t="inlineStr">
        <is>
          <t>5608770457:eng</t>
        </is>
      </c>
      <c r="AV1600" t="inlineStr">
        <is>
          <t>1183476</t>
        </is>
      </c>
      <c r="AW1600" t="inlineStr">
        <is>
          <t>991003604119702656</t>
        </is>
      </c>
      <c r="AX1600" t="inlineStr">
        <is>
          <t>991003604119702656</t>
        </is>
      </c>
      <c r="AY1600" t="inlineStr">
        <is>
          <t>2267604840002656</t>
        </is>
      </c>
      <c r="AZ1600" t="inlineStr">
        <is>
          <t>BOOK</t>
        </is>
      </c>
      <c r="BC1600" t="inlineStr">
        <is>
          <t>32285001058105</t>
        </is>
      </c>
      <c r="BD1600" t="inlineStr">
        <is>
          <t>893868616</t>
        </is>
      </c>
    </row>
    <row r="1601">
      <c r="A1601" t="inlineStr">
        <is>
          <t>No</t>
        </is>
      </c>
      <c r="B1601" t="inlineStr">
        <is>
          <t>GV875.5 .H68 1986</t>
        </is>
      </c>
      <c r="C1601" t="inlineStr">
        <is>
          <t>0                      GV 0875500H  68          1986</t>
        </is>
      </c>
      <c r="D1601" t="inlineStr">
        <is>
          <t>Coaching baseball effectively : the American coaching effectiveness program, level 1 baseball book / Steven D. Houseworth.</t>
        </is>
      </c>
      <c r="F1601" t="inlineStr">
        <is>
          <t>No</t>
        </is>
      </c>
      <c r="G1601" t="inlineStr">
        <is>
          <t>1</t>
        </is>
      </c>
      <c r="H1601" t="inlineStr">
        <is>
          <t>No</t>
        </is>
      </c>
      <c r="I1601" t="inlineStr">
        <is>
          <t>No</t>
        </is>
      </c>
      <c r="J1601" t="inlineStr">
        <is>
          <t>0</t>
        </is>
      </c>
      <c r="K1601" t="inlineStr">
        <is>
          <t>Houseworth, Steven D., 1955-</t>
        </is>
      </c>
      <c r="L1601" t="inlineStr">
        <is>
          <t>Champaign, IL : Human Kinetics Publishers, c1986.</t>
        </is>
      </c>
      <c r="M1601" t="inlineStr">
        <is>
          <t>1986</t>
        </is>
      </c>
      <c r="O1601" t="inlineStr">
        <is>
          <t>eng</t>
        </is>
      </c>
      <c r="P1601" t="inlineStr">
        <is>
          <t>ilu</t>
        </is>
      </c>
      <c r="R1601" t="inlineStr">
        <is>
          <t xml:space="preserve">GV </t>
        </is>
      </c>
      <c r="S1601" t="n">
        <v>16</v>
      </c>
      <c r="T1601" t="n">
        <v>16</v>
      </c>
      <c r="U1601" t="inlineStr">
        <is>
          <t>2005-02-09</t>
        </is>
      </c>
      <c r="V1601" t="inlineStr">
        <is>
          <t>2005-02-09</t>
        </is>
      </c>
      <c r="W1601" t="inlineStr">
        <is>
          <t>1990-10-24</t>
        </is>
      </c>
      <c r="X1601" t="inlineStr">
        <is>
          <t>1990-10-24</t>
        </is>
      </c>
      <c r="Y1601" t="n">
        <v>404</v>
      </c>
      <c r="Z1601" t="n">
        <v>382</v>
      </c>
      <c r="AA1601" t="n">
        <v>385</v>
      </c>
      <c r="AB1601" t="n">
        <v>2</v>
      </c>
      <c r="AC1601" t="n">
        <v>2</v>
      </c>
      <c r="AD1601" t="n">
        <v>2</v>
      </c>
      <c r="AE1601" t="n">
        <v>2</v>
      </c>
      <c r="AF1601" t="n">
        <v>1</v>
      </c>
      <c r="AG1601" t="n">
        <v>1</v>
      </c>
      <c r="AH1601" t="n">
        <v>0</v>
      </c>
      <c r="AI1601" t="n">
        <v>0</v>
      </c>
      <c r="AJ1601" t="n">
        <v>0</v>
      </c>
      <c r="AK1601" t="n">
        <v>0</v>
      </c>
      <c r="AL1601" t="n">
        <v>1</v>
      </c>
      <c r="AM1601" t="n">
        <v>1</v>
      </c>
      <c r="AN1601" t="n">
        <v>0</v>
      </c>
      <c r="AO1601" t="n">
        <v>0</v>
      </c>
      <c r="AP1601" t="inlineStr">
        <is>
          <t>No</t>
        </is>
      </c>
      <c r="AQ1601" t="inlineStr">
        <is>
          <t>Yes</t>
        </is>
      </c>
      <c r="AR1601">
        <f>HYPERLINK("http://catalog.hathitrust.org/Record/009822225","HathiTrust Record")</f>
        <v/>
      </c>
      <c r="AS1601">
        <f>HYPERLINK("https://creighton-primo.hosted.exlibrisgroup.com/primo-explore/search?tab=default_tab&amp;search_scope=EVERYTHING&amp;vid=01CRU&amp;lang=en_US&amp;offset=0&amp;query=any,contains,991000725079702656","Catalog Record")</f>
        <v/>
      </c>
      <c r="AT1601">
        <f>HYPERLINK("http://www.worldcat.org/oclc/12693901","WorldCat Record")</f>
        <v/>
      </c>
      <c r="AU1601" t="inlineStr">
        <is>
          <t>5733121:eng</t>
        </is>
      </c>
      <c r="AV1601" t="inlineStr">
        <is>
          <t>12693901</t>
        </is>
      </c>
      <c r="AW1601" t="inlineStr">
        <is>
          <t>991000725079702656</t>
        </is>
      </c>
      <c r="AX1601" t="inlineStr">
        <is>
          <t>991000725079702656</t>
        </is>
      </c>
      <c r="AY1601" t="inlineStr">
        <is>
          <t>2255546990002656</t>
        </is>
      </c>
      <c r="AZ1601" t="inlineStr">
        <is>
          <t>BOOK</t>
        </is>
      </c>
      <c r="BB1601" t="inlineStr">
        <is>
          <t>9780873220378</t>
        </is>
      </c>
      <c r="BC1601" t="inlineStr">
        <is>
          <t>32285000344183</t>
        </is>
      </c>
      <c r="BD1601" t="inlineStr">
        <is>
          <t>893339827</t>
        </is>
      </c>
    </row>
    <row r="1602">
      <c r="A1602" t="inlineStr">
        <is>
          <t>No</t>
        </is>
      </c>
      <c r="B1602" t="inlineStr">
        <is>
          <t>GV875.6 .C63 2000</t>
        </is>
      </c>
      <c r="C1602" t="inlineStr">
        <is>
          <t>0                      GV 0875600C  63          2000</t>
        </is>
      </c>
      <c r="D1602" t="inlineStr">
        <is>
          <t>52-week baseball training / Gene Coleman.</t>
        </is>
      </c>
      <c r="F1602" t="inlineStr">
        <is>
          <t>No</t>
        </is>
      </c>
      <c r="G1602" t="inlineStr">
        <is>
          <t>1</t>
        </is>
      </c>
      <c r="H1602" t="inlineStr">
        <is>
          <t>No</t>
        </is>
      </c>
      <c r="I1602" t="inlineStr">
        <is>
          <t>No</t>
        </is>
      </c>
      <c r="J1602" t="inlineStr">
        <is>
          <t>0</t>
        </is>
      </c>
      <c r="K1602" t="inlineStr">
        <is>
          <t>Coleman, A. Eugene.</t>
        </is>
      </c>
      <c r="L1602" t="inlineStr">
        <is>
          <t>Champaign, IL : Human Kinetics, c2000.</t>
        </is>
      </c>
      <c r="M1602" t="inlineStr">
        <is>
          <t>2000</t>
        </is>
      </c>
      <c r="O1602" t="inlineStr">
        <is>
          <t>eng</t>
        </is>
      </c>
      <c r="P1602" t="inlineStr">
        <is>
          <t>ilu</t>
        </is>
      </c>
      <c r="R1602" t="inlineStr">
        <is>
          <t xml:space="preserve">GV </t>
        </is>
      </c>
      <c r="S1602" t="n">
        <v>4</v>
      </c>
      <c r="T1602" t="n">
        <v>4</v>
      </c>
      <c r="U1602" t="inlineStr">
        <is>
          <t>2002-11-21</t>
        </is>
      </c>
      <c r="V1602" t="inlineStr">
        <is>
          <t>2002-11-21</t>
        </is>
      </c>
      <c r="W1602" t="inlineStr">
        <is>
          <t>2000-12-12</t>
        </is>
      </c>
      <c r="X1602" t="inlineStr">
        <is>
          <t>2000-12-12</t>
        </is>
      </c>
      <c r="Y1602" t="n">
        <v>253</v>
      </c>
      <c r="Z1602" t="n">
        <v>235</v>
      </c>
      <c r="AA1602" t="n">
        <v>243</v>
      </c>
      <c r="AB1602" t="n">
        <v>2</v>
      </c>
      <c r="AC1602" t="n">
        <v>2</v>
      </c>
      <c r="AD1602" t="n">
        <v>2</v>
      </c>
      <c r="AE1602" t="n">
        <v>2</v>
      </c>
      <c r="AF1602" t="n">
        <v>1</v>
      </c>
      <c r="AG1602" t="n">
        <v>1</v>
      </c>
      <c r="AH1602" t="n">
        <v>0</v>
      </c>
      <c r="AI1602" t="n">
        <v>0</v>
      </c>
      <c r="AJ1602" t="n">
        <v>0</v>
      </c>
      <c r="AK1602" t="n">
        <v>0</v>
      </c>
      <c r="AL1602" t="n">
        <v>1</v>
      </c>
      <c r="AM1602" t="n">
        <v>1</v>
      </c>
      <c r="AN1602" t="n">
        <v>0</v>
      </c>
      <c r="AO1602" t="n">
        <v>0</v>
      </c>
      <c r="AP1602" t="inlineStr">
        <is>
          <t>No</t>
        </is>
      </c>
      <c r="AQ1602" t="inlineStr">
        <is>
          <t>No</t>
        </is>
      </c>
      <c r="AS1602">
        <f>HYPERLINK("https://creighton-primo.hosted.exlibrisgroup.com/primo-explore/search?tab=default_tab&amp;search_scope=EVERYTHING&amp;vid=01CRU&amp;lang=en_US&amp;offset=0&amp;query=any,contains,991003302229702656","Catalog Record")</f>
        <v/>
      </c>
      <c r="AT1602">
        <f>HYPERLINK("http://www.worldcat.org/oclc/43317444","WorldCat Record")</f>
        <v/>
      </c>
      <c r="AU1602" t="inlineStr">
        <is>
          <t>6323114:eng</t>
        </is>
      </c>
      <c r="AV1602" t="inlineStr">
        <is>
          <t>43317444</t>
        </is>
      </c>
      <c r="AW1602" t="inlineStr">
        <is>
          <t>991003302229702656</t>
        </is>
      </c>
      <c r="AX1602" t="inlineStr">
        <is>
          <t>991003302229702656</t>
        </is>
      </c>
      <c r="AY1602" t="inlineStr">
        <is>
          <t>2256013160002656</t>
        </is>
      </c>
      <c r="AZ1602" t="inlineStr">
        <is>
          <t>BOOK</t>
        </is>
      </c>
      <c r="BB1602" t="inlineStr">
        <is>
          <t>9780736003223</t>
        </is>
      </c>
      <c r="BC1602" t="inlineStr">
        <is>
          <t>32285004276175</t>
        </is>
      </c>
      <c r="BD1602" t="inlineStr">
        <is>
          <t>893348532</t>
        </is>
      </c>
    </row>
    <row r="1603">
      <c r="A1603" t="inlineStr">
        <is>
          <t>No</t>
        </is>
      </c>
      <c r="B1603" t="inlineStr">
        <is>
          <t>GV875.7 .B37 1986</t>
        </is>
      </c>
      <c r="C1603" t="inlineStr">
        <is>
          <t>0                      GV 0875700B  37          1986</t>
        </is>
      </c>
      <c r="D1603" t="inlineStr">
        <is>
          <t>A Baseball winter : the off-season life of the summer game / edited by Terry Pluto and Jeffrey Neuman ; contributors, Peter Pascarelli ... [et al.].</t>
        </is>
      </c>
      <c r="F1603" t="inlineStr">
        <is>
          <t>No</t>
        </is>
      </c>
      <c r="G1603" t="inlineStr">
        <is>
          <t>1</t>
        </is>
      </c>
      <c r="H1603" t="inlineStr">
        <is>
          <t>No</t>
        </is>
      </c>
      <c r="I1603" t="inlineStr">
        <is>
          <t>No</t>
        </is>
      </c>
      <c r="J1603" t="inlineStr">
        <is>
          <t>0</t>
        </is>
      </c>
      <c r="L1603" t="inlineStr">
        <is>
          <t>New York : Macmillan ; London : Collier Macmillan, c1986.</t>
        </is>
      </c>
      <c r="M1603" t="inlineStr">
        <is>
          <t>1986</t>
        </is>
      </c>
      <c r="O1603" t="inlineStr">
        <is>
          <t>eng</t>
        </is>
      </c>
      <c r="P1603" t="inlineStr">
        <is>
          <t>nyu</t>
        </is>
      </c>
      <c r="R1603" t="inlineStr">
        <is>
          <t xml:space="preserve">GV </t>
        </is>
      </c>
      <c r="S1603" t="n">
        <v>1</v>
      </c>
      <c r="T1603" t="n">
        <v>1</v>
      </c>
      <c r="U1603" t="inlineStr">
        <is>
          <t>2008-06-30</t>
        </is>
      </c>
      <c r="V1603" t="inlineStr">
        <is>
          <t>2008-06-30</t>
        </is>
      </c>
      <c r="W1603" t="inlineStr">
        <is>
          <t>2008-06-30</t>
        </is>
      </c>
      <c r="X1603" t="inlineStr">
        <is>
          <t>2008-06-30</t>
        </is>
      </c>
      <c r="Y1603" t="n">
        <v>250</v>
      </c>
      <c r="Z1603" t="n">
        <v>243</v>
      </c>
      <c r="AA1603" t="n">
        <v>248</v>
      </c>
      <c r="AB1603" t="n">
        <v>3</v>
      </c>
      <c r="AC1603" t="n">
        <v>3</v>
      </c>
      <c r="AD1603" t="n">
        <v>2</v>
      </c>
      <c r="AE1603" t="n">
        <v>2</v>
      </c>
      <c r="AF1603" t="n">
        <v>1</v>
      </c>
      <c r="AG1603" t="n">
        <v>1</v>
      </c>
      <c r="AH1603" t="n">
        <v>0</v>
      </c>
      <c r="AI1603" t="n">
        <v>0</v>
      </c>
      <c r="AJ1603" t="n">
        <v>1</v>
      </c>
      <c r="AK1603" t="n">
        <v>1</v>
      </c>
      <c r="AL1603" t="n">
        <v>0</v>
      </c>
      <c r="AM1603" t="n">
        <v>0</v>
      </c>
      <c r="AN1603" t="n">
        <v>0</v>
      </c>
      <c r="AO1603" t="n">
        <v>0</v>
      </c>
      <c r="AP1603" t="inlineStr">
        <is>
          <t>No</t>
        </is>
      </c>
      <c r="AQ1603" t="inlineStr">
        <is>
          <t>No</t>
        </is>
      </c>
      <c r="AS1603">
        <f>HYPERLINK("https://creighton-primo.hosted.exlibrisgroup.com/primo-explore/search?tab=default_tab&amp;search_scope=EVERYTHING&amp;vid=01CRU&amp;lang=en_US&amp;offset=0&amp;query=any,contains,991005239739702656","Catalog Record")</f>
        <v/>
      </c>
      <c r="AT1603">
        <f>HYPERLINK("http://www.worldcat.org/oclc/12669610","WorldCat Record")</f>
        <v/>
      </c>
      <c r="AU1603" t="inlineStr">
        <is>
          <t>5578008315:eng</t>
        </is>
      </c>
      <c r="AV1603" t="inlineStr">
        <is>
          <t>12669610</t>
        </is>
      </c>
      <c r="AW1603" t="inlineStr">
        <is>
          <t>991005239739702656</t>
        </is>
      </c>
      <c r="AX1603" t="inlineStr">
        <is>
          <t>991005239739702656</t>
        </is>
      </c>
      <c r="AY1603" t="inlineStr">
        <is>
          <t>2268392820002656</t>
        </is>
      </c>
      <c r="AZ1603" t="inlineStr">
        <is>
          <t>BOOK</t>
        </is>
      </c>
      <c r="BB1603" t="inlineStr">
        <is>
          <t>9780025977600</t>
        </is>
      </c>
      <c r="BC1603" t="inlineStr">
        <is>
          <t>32285005447247</t>
        </is>
      </c>
      <c r="BD1603" t="inlineStr">
        <is>
          <t>893514309</t>
        </is>
      </c>
    </row>
    <row r="1604">
      <c r="A1604" t="inlineStr">
        <is>
          <t>No</t>
        </is>
      </c>
      <c r="B1604" t="inlineStr">
        <is>
          <t>GV875.A1 N45 2008</t>
        </is>
      </c>
      <c r="C1604" t="inlineStr">
        <is>
          <t>0                      GV 0875000A  1                  N  45          2008</t>
        </is>
      </c>
      <c r="D1604" t="inlineStr">
        <is>
          <t>We are the ship : the story of Negro League baseball / words and paintings by Kadir Nelson ; foreword by Hank Aaron.</t>
        </is>
      </c>
      <c r="F1604" t="inlineStr">
        <is>
          <t>No</t>
        </is>
      </c>
      <c r="G1604" t="inlineStr">
        <is>
          <t>1</t>
        </is>
      </c>
      <c r="H1604" t="inlineStr">
        <is>
          <t>No</t>
        </is>
      </c>
      <c r="I1604" t="inlineStr">
        <is>
          <t>No</t>
        </is>
      </c>
      <c r="J1604" t="inlineStr">
        <is>
          <t>0</t>
        </is>
      </c>
      <c r="K1604" t="inlineStr">
        <is>
          <t>Nelson, Kadir.</t>
        </is>
      </c>
      <c r="L1604" t="inlineStr">
        <is>
          <t>New York : Jump at the Sun/Hyperion Books for Children, c2008.</t>
        </is>
      </c>
      <c r="M1604" t="inlineStr">
        <is>
          <t>2008</t>
        </is>
      </c>
      <c r="O1604" t="inlineStr">
        <is>
          <t>eng</t>
        </is>
      </c>
      <c r="P1604" t="inlineStr">
        <is>
          <t>nyu</t>
        </is>
      </c>
      <c r="R1604" t="inlineStr">
        <is>
          <t xml:space="preserve">GV </t>
        </is>
      </c>
      <c r="S1604" t="n">
        <v>1</v>
      </c>
      <c r="T1604" t="n">
        <v>1</v>
      </c>
      <c r="U1604" t="inlineStr">
        <is>
          <t>2009-01-07</t>
        </is>
      </c>
      <c r="V1604" t="inlineStr">
        <is>
          <t>2009-01-07</t>
        </is>
      </c>
      <c r="W1604" t="inlineStr">
        <is>
          <t>2009-01-07</t>
        </is>
      </c>
      <c r="X1604" t="inlineStr">
        <is>
          <t>2009-01-07</t>
        </is>
      </c>
      <c r="Y1604" t="n">
        <v>2839</v>
      </c>
      <c r="Z1604" t="n">
        <v>2791</v>
      </c>
      <c r="AA1604" t="n">
        <v>2830</v>
      </c>
      <c r="AB1604" t="n">
        <v>32</v>
      </c>
      <c r="AC1604" t="n">
        <v>33</v>
      </c>
      <c r="AD1604" t="n">
        <v>46</v>
      </c>
      <c r="AE1604" t="n">
        <v>46</v>
      </c>
      <c r="AF1604" t="n">
        <v>20</v>
      </c>
      <c r="AG1604" t="n">
        <v>20</v>
      </c>
      <c r="AH1604" t="n">
        <v>8</v>
      </c>
      <c r="AI1604" t="n">
        <v>8</v>
      </c>
      <c r="AJ1604" t="n">
        <v>15</v>
      </c>
      <c r="AK1604" t="n">
        <v>15</v>
      </c>
      <c r="AL1604" t="n">
        <v>12</v>
      </c>
      <c r="AM1604" t="n">
        <v>12</v>
      </c>
      <c r="AN1604" t="n">
        <v>0</v>
      </c>
      <c r="AO1604" t="n">
        <v>0</v>
      </c>
      <c r="AP1604" t="inlineStr">
        <is>
          <t>No</t>
        </is>
      </c>
      <c r="AQ1604" t="inlineStr">
        <is>
          <t>Yes</t>
        </is>
      </c>
      <c r="AR1604">
        <f>HYPERLINK("http://catalog.hathitrust.org/Record/005670152","HathiTrust Record")</f>
        <v/>
      </c>
      <c r="AS1604">
        <f>HYPERLINK("https://creighton-primo.hosted.exlibrisgroup.com/primo-explore/search?tab=default_tab&amp;search_scope=EVERYTHING&amp;vid=01CRU&amp;lang=en_US&amp;offset=0&amp;query=any,contains,991005286919702656","Catalog Record")</f>
        <v/>
      </c>
      <c r="AT1604">
        <f>HYPERLINK("http://www.worldcat.org/oclc/187095171","WorldCat Record")</f>
        <v/>
      </c>
      <c r="AU1604" t="inlineStr">
        <is>
          <t>287163242:eng</t>
        </is>
      </c>
      <c r="AV1604" t="inlineStr">
        <is>
          <t>187095171</t>
        </is>
      </c>
      <c r="AW1604" t="inlineStr">
        <is>
          <t>991005286919702656</t>
        </is>
      </c>
      <c r="AX1604" t="inlineStr">
        <is>
          <t>991005286919702656</t>
        </is>
      </c>
      <c r="AY1604" t="inlineStr">
        <is>
          <t>2265950650002656</t>
        </is>
      </c>
      <c r="AZ1604" t="inlineStr">
        <is>
          <t>BOOK</t>
        </is>
      </c>
      <c r="BB1604" t="inlineStr">
        <is>
          <t>9780786808328</t>
        </is>
      </c>
      <c r="BC1604" t="inlineStr">
        <is>
          <t>32285005475990</t>
        </is>
      </c>
      <c r="BD1604" t="inlineStr">
        <is>
          <t>893493058</t>
        </is>
      </c>
    </row>
    <row r="1605">
      <c r="A1605" t="inlineStr">
        <is>
          <t>No</t>
        </is>
      </c>
      <c r="B1605" t="inlineStr">
        <is>
          <t>GV875.B2 S65 2000</t>
        </is>
      </c>
      <c r="C1605" t="inlineStr">
        <is>
          <t>0                      GV 0875000B  2                  S  65          2000</t>
        </is>
      </c>
      <c r="D1605" t="inlineStr">
        <is>
          <t>Where they ain't : the fabled life and untimely death of the original Baltimore Orioles, the team that gave birth to modern baseball / Burt Solomon.</t>
        </is>
      </c>
      <c r="F1605" t="inlineStr">
        <is>
          <t>No</t>
        </is>
      </c>
      <c r="G1605" t="inlineStr">
        <is>
          <t>1</t>
        </is>
      </c>
      <c r="H1605" t="inlineStr">
        <is>
          <t>No</t>
        </is>
      </c>
      <c r="I1605" t="inlineStr">
        <is>
          <t>No</t>
        </is>
      </c>
      <c r="J1605" t="inlineStr">
        <is>
          <t>0</t>
        </is>
      </c>
      <c r="K1605" t="inlineStr">
        <is>
          <t>Solomon, Burt.</t>
        </is>
      </c>
      <c r="L1605" t="inlineStr">
        <is>
          <t>New York : Doubleday, [2000].</t>
        </is>
      </c>
      <c r="M1605" t="inlineStr">
        <is>
          <t>2000</t>
        </is>
      </c>
      <c r="N1605" t="inlineStr">
        <is>
          <t>1st Main Street books trade pbk. ed.</t>
        </is>
      </c>
      <c r="O1605" t="inlineStr">
        <is>
          <t>eng</t>
        </is>
      </c>
      <c r="P1605" t="inlineStr">
        <is>
          <t>nyu</t>
        </is>
      </c>
      <c r="R1605" t="inlineStr">
        <is>
          <t xml:space="preserve">GV </t>
        </is>
      </c>
      <c r="S1605" t="n">
        <v>1</v>
      </c>
      <c r="T1605" t="n">
        <v>1</v>
      </c>
      <c r="U1605" t="inlineStr">
        <is>
          <t>2009-04-23</t>
        </is>
      </c>
      <c r="V1605" t="inlineStr">
        <is>
          <t>2009-04-23</t>
        </is>
      </c>
      <c r="W1605" t="inlineStr">
        <is>
          <t>2009-04-23</t>
        </is>
      </c>
      <c r="X1605" t="inlineStr">
        <is>
          <t>2009-04-23</t>
        </is>
      </c>
      <c r="Y1605" t="n">
        <v>26</v>
      </c>
      <c r="Z1605" t="n">
        <v>26</v>
      </c>
      <c r="AA1605" t="n">
        <v>296</v>
      </c>
      <c r="AB1605" t="n">
        <v>1</v>
      </c>
      <c r="AC1605" t="n">
        <v>2</v>
      </c>
      <c r="AD1605" t="n">
        <v>0</v>
      </c>
      <c r="AE1605" t="n">
        <v>6</v>
      </c>
      <c r="AF1605" t="n">
        <v>0</v>
      </c>
      <c r="AG1605" t="n">
        <v>3</v>
      </c>
      <c r="AH1605" t="n">
        <v>0</v>
      </c>
      <c r="AI1605" t="n">
        <v>0</v>
      </c>
      <c r="AJ1605" t="n">
        <v>0</v>
      </c>
      <c r="AK1605" t="n">
        <v>4</v>
      </c>
      <c r="AL1605" t="n">
        <v>0</v>
      </c>
      <c r="AM1605" t="n">
        <v>1</v>
      </c>
      <c r="AN1605" t="n">
        <v>0</v>
      </c>
      <c r="AO1605" t="n">
        <v>0</v>
      </c>
      <c r="AP1605" t="inlineStr">
        <is>
          <t>No</t>
        </is>
      </c>
      <c r="AQ1605" t="inlineStr">
        <is>
          <t>No</t>
        </is>
      </c>
      <c r="AS1605">
        <f>HYPERLINK("https://creighton-primo.hosted.exlibrisgroup.com/primo-explore/search?tab=default_tab&amp;search_scope=EVERYTHING&amp;vid=01CRU&amp;lang=en_US&amp;offset=0&amp;query=any,contains,991005312559702656","Catalog Record")</f>
        <v/>
      </c>
      <c r="AT1605">
        <f>HYPERLINK("http://www.worldcat.org/oclc/42842455","WorldCat Record")</f>
        <v/>
      </c>
      <c r="AU1605" t="inlineStr">
        <is>
          <t>26100654:eng</t>
        </is>
      </c>
      <c r="AV1605" t="inlineStr">
        <is>
          <t>42842455</t>
        </is>
      </c>
      <c r="AW1605" t="inlineStr">
        <is>
          <t>991005312559702656</t>
        </is>
      </c>
      <c r="AX1605" t="inlineStr">
        <is>
          <t>991005312559702656</t>
        </is>
      </c>
      <c r="AY1605" t="inlineStr">
        <is>
          <t>2269977980002656</t>
        </is>
      </c>
      <c r="AZ1605" t="inlineStr">
        <is>
          <t>BOOK</t>
        </is>
      </c>
      <c r="BB1605" t="inlineStr">
        <is>
          <t>9780385498821</t>
        </is>
      </c>
      <c r="BC1605" t="inlineStr">
        <is>
          <t>32285005518229</t>
        </is>
      </c>
      <c r="BD1605" t="inlineStr">
        <is>
          <t>893883663</t>
        </is>
      </c>
    </row>
    <row r="1606">
      <c r="A1606" t="inlineStr">
        <is>
          <t>No</t>
        </is>
      </c>
      <c r="B1606" t="inlineStr">
        <is>
          <t>GV875.B62 S52 1991</t>
        </is>
      </c>
      <c r="C1606" t="inlineStr">
        <is>
          <t>0                      GV 0875000B  62                 S  52          1991</t>
        </is>
      </c>
      <c r="D1606" t="inlineStr">
        <is>
          <t>The curse of the Bambino / Dan Shaughnessy.</t>
        </is>
      </c>
      <c r="F1606" t="inlineStr">
        <is>
          <t>No</t>
        </is>
      </c>
      <c r="G1606" t="inlineStr">
        <is>
          <t>1</t>
        </is>
      </c>
      <c r="H1606" t="inlineStr">
        <is>
          <t>No</t>
        </is>
      </c>
      <c r="I1606" t="inlineStr">
        <is>
          <t>No</t>
        </is>
      </c>
      <c r="J1606" t="inlineStr">
        <is>
          <t>0</t>
        </is>
      </c>
      <c r="K1606" t="inlineStr">
        <is>
          <t>Shaughnessy, Dan, 1953-</t>
        </is>
      </c>
      <c r="L1606" t="inlineStr">
        <is>
          <t>New York, N.Y. : Penguin Books, 1991.</t>
        </is>
      </c>
      <c r="M1606" t="inlineStr">
        <is>
          <t>1991</t>
        </is>
      </c>
      <c r="O1606" t="inlineStr">
        <is>
          <t>eng</t>
        </is>
      </c>
      <c r="P1606" t="inlineStr">
        <is>
          <t>nyu</t>
        </is>
      </c>
      <c r="Q1606" t="inlineStr">
        <is>
          <t>Penguin sports library</t>
        </is>
      </c>
      <c r="R1606" t="inlineStr">
        <is>
          <t xml:space="preserve">GV </t>
        </is>
      </c>
      <c r="S1606" t="n">
        <v>1</v>
      </c>
      <c r="T1606" t="n">
        <v>1</v>
      </c>
      <c r="U1606" t="inlineStr">
        <is>
          <t>2010-06-10</t>
        </is>
      </c>
      <c r="V1606" t="inlineStr">
        <is>
          <t>2010-06-10</t>
        </is>
      </c>
      <c r="W1606" t="inlineStr">
        <is>
          <t>2010-06-10</t>
        </is>
      </c>
      <c r="X1606" t="inlineStr">
        <is>
          <t>2010-06-10</t>
        </is>
      </c>
      <c r="Y1606" t="n">
        <v>78</v>
      </c>
      <c r="Z1606" t="n">
        <v>72</v>
      </c>
      <c r="AA1606" t="n">
        <v>325</v>
      </c>
      <c r="AB1606" t="n">
        <v>1</v>
      </c>
      <c r="AC1606" t="n">
        <v>1</v>
      </c>
      <c r="AD1606" t="n">
        <v>1</v>
      </c>
      <c r="AE1606" t="n">
        <v>4</v>
      </c>
      <c r="AF1606" t="n">
        <v>0</v>
      </c>
      <c r="AG1606" t="n">
        <v>1</v>
      </c>
      <c r="AH1606" t="n">
        <v>0</v>
      </c>
      <c r="AI1606" t="n">
        <v>0</v>
      </c>
      <c r="AJ1606" t="n">
        <v>1</v>
      </c>
      <c r="AK1606" t="n">
        <v>3</v>
      </c>
      <c r="AL1606" t="n">
        <v>0</v>
      </c>
      <c r="AM1606" t="n">
        <v>0</v>
      </c>
      <c r="AN1606" t="n">
        <v>0</v>
      </c>
      <c r="AO1606" t="n">
        <v>0</v>
      </c>
      <c r="AP1606" t="inlineStr">
        <is>
          <t>No</t>
        </is>
      </c>
      <c r="AQ1606" t="inlineStr">
        <is>
          <t>Yes</t>
        </is>
      </c>
      <c r="AR1606">
        <f>HYPERLINK("http://catalog.hathitrust.org/Record/004540352","HathiTrust Record")</f>
        <v/>
      </c>
      <c r="AS1606">
        <f>HYPERLINK("https://creighton-primo.hosted.exlibrisgroup.com/primo-explore/search?tab=default_tab&amp;search_scope=EVERYTHING&amp;vid=01CRU&amp;lang=en_US&amp;offset=0&amp;query=any,contains,991000008119702656","Catalog Record")</f>
        <v/>
      </c>
      <c r="AT1606">
        <f>HYPERLINK("http://www.worldcat.org/oclc/23818368","WorldCat Record")</f>
        <v/>
      </c>
      <c r="AU1606" t="inlineStr">
        <is>
          <t>42920:eng</t>
        </is>
      </c>
      <c r="AV1606" t="inlineStr">
        <is>
          <t>23818368</t>
        </is>
      </c>
      <c r="AW1606" t="inlineStr">
        <is>
          <t>991000008119702656</t>
        </is>
      </c>
      <c r="AX1606" t="inlineStr">
        <is>
          <t>991000008119702656</t>
        </is>
      </c>
      <c r="AY1606" t="inlineStr">
        <is>
          <t>2263426800002656</t>
        </is>
      </c>
      <c r="AZ1606" t="inlineStr">
        <is>
          <t>BOOK</t>
        </is>
      </c>
      <c r="BB1606" t="inlineStr">
        <is>
          <t>9780140152623</t>
        </is>
      </c>
      <c r="BC1606" t="inlineStr">
        <is>
          <t>32285005587869</t>
        </is>
      </c>
      <c r="BD1606" t="inlineStr">
        <is>
          <t>893425326</t>
        </is>
      </c>
    </row>
    <row r="1607">
      <c r="A1607" t="inlineStr">
        <is>
          <t>No</t>
        </is>
      </c>
      <c r="B1607" t="inlineStr">
        <is>
          <t>GV875.B7 G63 1991</t>
        </is>
      </c>
      <c r="C1607" t="inlineStr">
        <is>
          <t>0                      GV 0875000B  7                  G  63          1991</t>
        </is>
      </c>
      <c r="D1607" t="inlineStr">
        <is>
          <t>Superstars and screwballs : 100 years of Brooklyn baseball / Richard Goldstein.</t>
        </is>
      </c>
      <c r="F1607" t="inlineStr">
        <is>
          <t>No</t>
        </is>
      </c>
      <c r="G1607" t="inlineStr">
        <is>
          <t>1</t>
        </is>
      </c>
      <c r="H1607" t="inlineStr">
        <is>
          <t>No</t>
        </is>
      </c>
      <c r="I1607" t="inlineStr">
        <is>
          <t>No</t>
        </is>
      </c>
      <c r="J1607" t="inlineStr">
        <is>
          <t>0</t>
        </is>
      </c>
      <c r="K1607" t="inlineStr">
        <is>
          <t>Goldstein, Richard, 1942-</t>
        </is>
      </c>
      <c r="L1607" t="inlineStr">
        <is>
          <t>New York : Penguin, c1991</t>
        </is>
      </c>
      <c r="M1607" t="inlineStr">
        <is>
          <t>1991</t>
        </is>
      </c>
      <c r="O1607" t="inlineStr">
        <is>
          <t>eng</t>
        </is>
      </c>
      <c r="P1607" t="inlineStr">
        <is>
          <t>nyu</t>
        </is>
      </c>
      <c r="R1607" t="inlineStr">
        <is>
          <t xml:space="preserve">GV </t>
        </is>
      </c>
      <c r="S1607" t="n">
        <v>1</v>
      </c>
      <c r="T1607" t="n">
        <v>1</v>
      </c>
      <c r="U1607" t="inlineStr">
        <is>
          <t>2010-06-10</t>
        </is>
      </c>
      <c r="V1607" t="inlineStr">
        <is>
          <t>2010-06-10</t>
        </is>
      </c>
      <c r="W1607" t="inlineStr">
        <is>
          <t>2010-06-10</t>
        </is>
      </c>
      <c r="X1607" t="inlineStr">
        <is>
          <t>2010-06-10</t>
        </is>
      </c>
      <c r="Y1607" t="n">
        <v>26</v>
      </c>
      <c r="Z1607" t="n">
        <v>25</v>
      </c>
      <c r="AA1607" t="n">
        <v>185</v>
      </c>
      <c r="AB1607" t="n">
        <v>1</v>
      </c>
      <c r="AC1607" t="n">
        <v>1</v>
      </c>
      <c r="AD1607" t="n">
        <v>0</v>
      </c>
      <c r="AE1607" t="n">
        <v>2</v>
      </c>
      <c r="AF1607" t="n">
        <v>0</v>
      </c>
      <c r="AG1607" t="n">
        <v>1</v>
      </c>
      <c r="AH1607" t="n">
        <v>0</v>
      </c>
      <c r="AI1607" t="n">
        <v>0</v>
      </c>
      <c r="AJ1607" t="n">
        <v>0</v>
      </c>
      <c r="AK1607" t="n">
        <v>1</v>
      </c>
      <c r="AL1607" t="n">
        <v>0</v>
      </c>
      <c r="AM1607" t="n">
        <v>0</v>
      </c>
      <c r="AN1607" t="n">
        <v>0</v>
      </c>
      <c r="AO1607" t="n">
        <v>0</v>
      </c>
      <c r="AP1607" t="inlineStr">
        <is>
          <t>No</t>
        </is>
      </c>
      <c r="AQ1607" t="inlineStr">
        <is>
          <t>No</t>
        </is>
      </c>
      <c r="AS1607">
        <f>HYPERLINK("https://creighton-primo.hosted.exlibrisgroup.com/primo-explore/search?tab=default_tab&amp;search_scope=EVERYTHING&amp;vid=01CRU&amp;lang=en_US&amp;offset=0&amp;query=any,contains,991000008059702656","Catalog Record")</f>
        <v/>
      </c>
      <c r="AT1607">
        <f>HYPERLINK("http://www.worldcat.org/oclc/24318341","WorldCat Record")</f>
        <v/>
      </c>
      <c r="AU1607" t="inlineStr">
        <is>
          <t>23997976:eng</t>
        </is>
      </c>
      <c r="AV1607" t="inlineStr">
        <is>
          <t>24318341</t>
        </is>
      </c>
      <c r="AW1607" t="inlineStr">
        <is>
          <t>991000008059702656</t>
        </is>
      </c>
      <c r="AX1607" t="inlineStr">
        <is>
          <t>991000008059702656</t>
        </is>
      </c>
      <c r="AY1607" t="inlineStr">
        <is>
          <t>2272649190002656</t>
        </is>
      </c>
      <c r="AZ1607" t="inlineStr">
        <is>
          <t>BOOK</t>
        </is>
      </c>
      <c r="BB1607" t="inlineStr">
        <is>
          <t>9780452267701</t>
        </is>
      </c>
      <c r="BC1607" t="inlineStr">
        <is>
          <t>32285005587877</t>
        </is>
      </c>
      <c r="BD1607" t="inlineStr">
        <is>
          <t>893871316</t>
        </is>
      </c>
    </row>
    <row r="1608">
      <c r="A1608" t="inlineStr">
        <is>
          <t>No</t>
        </is>
      </c>
      <c r="B1608" t="inlineStr">
        <is>
          <t>GV875.B7 K3 1972</t>
        </is>
      </c>
      <c r="C1608" t="inlineStr">
        <is>
          <t>0                      GV 0875000B  7                  K  3           1972</t>
        </is>
      </c>
      <c r="D1608" t="inlineStr">
        <is>
          <t>The boys of summer.</t>
        </is>
      </c>
      <c r="F1608" t="inlineStr">
        <is>
          <t>No</t>
        </is>
      </c>
      <c r="G1608" t="inlineStr">
        <is>
          <t>1</t>
        </is>
      </c>
      <c r="H1608" t="inlineStr">
        <is>
          <t>No</t>
        </is>
      </c>
      <c r="I1608" t="inlineStr">
        <is>
          <t>No</t>
        </is>
      </c>
      <c r="J1608" t="inlineStr">
        <is>
          <t>0</t>
        </is>
      </c>
      <c r="K1608" t="inlineStr">
        <is>
          <t>Kahn, Roger.</t>
        </is>
      </c>
      <c r="L1608" t="inlineStr">
        <is>
          <t>New York : Harper &amp; Row, [1972]</t>
        </is>
      </c>
      <c r="M1608" t="inlineStr">
        <is>
          <t>1972</t>
        </is>
      </c>
      <c r="N1608" t="inlineStr">
        <is>
          <t>[1st ed.]</t>
        </is>
      </c>
      <c r="O1608" t="inlineStr">
        <is>
          <t>eng</t>
        </is>
      </c>
      <c r="P1608" t="inlineStr">
        <is>
          <t>nyu</t>
        </is>
      </c>
      <c r="R1608" t="inlineStr">
        <is>
          <t xml:space="preserve">GV </t>
        </is>
      </c>
      <c r="S1608" t="n">
        <v>24</v>
      </c>
      <c r="T1608" t="n">
        <v>24</v>
      </c>
      <c r="U1608" t="inlineStr">
        <is>
          <t>2010-06-13</t>
        </is>
      </c>
      <c r="V1608" t="inlineStr">
        <is>
          <t>2010-06-13</t>
        </is>
      </c>
      <c r="W1608" t="inlineStr">
        <is>
          <t>1993-06-24</t>
        </is>
      </c>
      <c r="X1608" t="inlineStr">
        <is>
          <t>1993-06-24</t>
        </is>
      </c>
      <c r="Y1608" t="n">
        <v>1616</v>
      </c>
      <c r="Z1608" t="n">
        <v>1570</v>
      </c>
      <c r="AA1608" t="n">
        <v>2165</v>
      </c>
      <c r="AB1608" t="n">
        <v>14</v>
      </c>
      <c r="AC1608" t="n">
        <v>16</v>
      </c>
      <c r="AD1608" t="n">
        <v>33</v>
      </c>
      <c r="AE1608" t="n">
        <v>40</v>
      </c>
      <c r="AF1608" t="n">
        <v>14</v>
      </c>
      <c r="AG1608" t="n">
        <v>16</v>
      </c>
      <c r="AH1608" t="n">
        <v>9</v>
      </c>
      <c r="AI1608" t="n">
        <v>11</v>
      </c>
      <c r="AJ1608" t="n">
        <v>14</v>
      </c>
      <c r="AK1608" t="n">
        <v>19</v>
      </c>
      <c r="AL1608" t="n">
        <v>5</v>
      </c>
      <c r="AM1608" t="n">
        <v>6</v>
      </c>
      <c r="AN1608" t="n">
        <v>0</v>
      </c>
      <c r="AO1608" t="n">
        <v>0</v>
      </c>
      <c r="AP1608" t="inlineStr">
        <is>
          <t>No</t>
        </is>
      </c>
      <c r="AQ1608" t="inlineStr">
        <is>
          <t>Yes</t>
        </is>
      </c>
      <c r="AR1608">
        <f>HYPERLINK("http://catalog.hathitrust.org/Record/001062662","HathiTrust Record")</f>
        <v/>
      </c>
      <c r="AS1608">
        <f>HYPERLINK("https://creighton-primo.hosted.exlibrisgroup.com/primo-explore/search?tab=default_tab&amp;search_scope=EVERYTHING&amp;vid=01CRU&amp;lang=en_US&amp;offset=0&amp;query=any,contains,991002273649702656","Catalog Record")</f>
        <v/>
      </c>
      <c r="AT1608">
        <f>HYPERLINK("http://www.worldcat.org/oclc/309382","WorldCat Record")</f>
        <v/>
      </c>
      <c r="AU1608" t="inlineStr">
        <is>
          <t>1367250:eng</t>
        </is>
      </c>
      <c r="AV1608" t="inlineStr">
        <is>
          <t>309382</t>
        </is>
      </c>
      <c r="AW1608" t="inlineStr">
        <is>
          <t>991002273649702656</t>
        </is>
      </c>
      <c r="AX1608" t="inlineStr">
        <is>
          <t>991002273649702656</t>
        </is>
      </c>
      <c r="AY1608" t="inlineStr">
        <is>
          <t>2264684940002656</t>
        </is>
      </c>
      <c r="AZ1608" t="inlineStr">
        <is>
          <t>BOOK</t>
        </is>
      </c>
      <c r="BB1608" t="inlineStr">
        <is>
          <t>9780060122393</t>
        </is>
      </c>
      <c r="BC1608" t="inlineStr">
        <is>
          <t>32285001731982</t>
        </is>
      </c>
      <c r="BD1608" t="inlineStr">
        <is>
          <t>893322741</t>
        </is>
      </c>
    </row>
    <row r="1609">
      <c r="A1609" t="inlineStr">
        <is>
          <t>No</t>
        </is>
      </c>
      <c r="B1609" t="inlineStr">
        <is>
          <t>GV875.B7 R67 1991</t>
        </is>
      </c>
      <c r="C1609" t="inlineStr">
        <is>
          <t>0                      GV 0875000B  7                  R  67          1991</t>
        </is>
      </c>
      <c r="D1609" t="inlineStr">
        <is>
          <t>Brooklyn Dodger days / written and illustrated by Richard Rosenblum.</t>
        </is>
      </c>
      <c r="F1609" t="inlineStr">
        <is>
          <t>No</t>
        </is>
      </c>
      <c r="G1609" t="inlineStr">
        <is>
          <t>1</t>
        </is>
      </c>
      <c r="H1609" t="inlineStr">
        <is>
          <t>No</t>
        </is>
      </c>
      <c r="I1609" t="inlineStr">
        <is>
          <t>No</t>
        </is>
      </c>
      <c r="J1609" t="inlineStr">
        <is>
          <t>0</t>
        </is>
      </c>
      <c r="K1609" t="inlineStr">
        <is>
          <t>Rosenblum, Richard.</t>
        </is>
      </c>
      <c r="L1609" t="inlineStr">
        <is>
          <t>New York : Atheneum ; Toronto : Collier Macmillan Canada ; New York : Maxwell Macmillan International Pub. Group, 1991.</t>
        </is>
      </c>
      <c r="M1609" t="inlineStr">
        <is>
          <t>1991</t>
        </is>
      </c>
      <c r="N1609" t="inlineStr">
        <is>
          <t>1st ed.</t>
        </is>
      </c>
      <c r="O1609" t="inlineStr">
        <is>
          <t>eng</t>
        </is>
      </c>
      <c r="P1609" t="inlineStr">
        <is>
          <t>nyu</t>
        </is>
      </c>
      <c r="R1609" t="inlineStr">
        <is>
          <t xml:space="preserve">GV </t>
        </is>
      </c>
      <c r="S1609" t="n">
        <v>13</v>
      </c>
      <c r="T1609" t="n">
        <v>13</v>
      </c>
      <c r="U1609" t="inlineStr">
        <is>
          <t>2009-04-27</t>
        </is>
      </c>
      <c r="V1609" t="inlineStr">
        <is>
          <t>2009-04-27</t>
        </is>
      </c>
      <c r="W1609" t="inlineStr">
        <is>
          <t>1995-04-24</t>
        </is>
      </c>
      <c r="X1609" t="inlineStr">
        <is>
          <t>1995-04-24</t>
        </is>
      </c>
      <c r="Y1609" t="n">
        <v>185</v>
      </c>
      <c r="Z1609" t="n">
        <v>184</v>
      </c>
      <c r="AA1609" t="n">
        <v>184</v>
      </c>
      <c r="AB1609" t="n">
        <v>3</v>
      </c>
      <c r="AC1609" t="n">
        <v>3</v>
      </c>
      <c r="AD1609" t="n">
        <v>4</v>
      </c>
      <c r="AE1609" t="n">
        <v>4</v>
      </c>
      <c r="AF1609" t="n">
        <v>1</v>
      </c>
      <c r="AG1609" t="n">
        <v>1</v>
      </c>
      <c r="AH1609" t="n">
        <v>0</v>
      </c>
      <c r="AI1609" t="n">
        <v>0</v>
      </c>
      <c r="AJ1609" t="n">
        <v>2</v>
      </c>
      <c r="AK1609" t="n">
        <v>2</v>
      </c>
      <c r="AL1609" t="n">
        <v>1</v>
      </c>
      <c r="AM1609" t="n">
        <v>1</v>
      </c>
      <c r="AN1609" t="n">
        <v>0</v>
      </c>
      <c r="AO1609" t="n">
        <v>0</v>
      </c>
      <c r="AP1609" t="inlineStr">
        <is>
          <t>No</t>
        </is>
      </c>
      <c r="AQ1609" t="inlineStr">
        <is>
          <t>No</t>
        </is>
      </c>
      <c r="AS1609">
        <f>HYPERLINK("https://creighton-primo.hosted.exlibrisgroup.com/primo-explore/search?tab=default_tab&amp;search_scope=EVERYTHING&amp;vid=01CRU&amp;lang=en_US&amp;offset=0&amp;query=any,contains,991004489399702656","Catalog Record")</f>
        <v/>
      </c>
      <c r="AT1609">
        <f>HYPERLINK("http://www.worldcat.org/oclc/21601016","WorldCat Record")</f>
        <v/>
      </c>
      <c r="AU1609" t="inlineStr">
        <is>
          <t>22837905:eng</t>
        </is>
      </c>
      <c r="AV1609" t="inlineStr">
        <is>
          <t>21601016</t>
        </is>
      </c>
      <c r="AW1609" t="inlineStr">
        <is>
          <t>991004489399702656</t>
        </is>
      </c>
      <c r="AX1609" t="inlineStr">
        <is>
          <t>991004489399702656</t>
        </is>
      </c>
      <c r="AY1609" t="inlineStr">
        <is>
          <t>2261635740002656</t>
        </is>
      </c>
      <c r="AZ1609" t="inlineStr">
        <is>
          <t>BOOK</t>
        </is>
      </c>
      <c r="BB1609" t="inlineStr">
        <is>
          <t>9780689315121</t>
        </is>
      </c>
      <c r="BC1609" t="inlineStr">
        <is>
          <t>32285002035532</t>
        </is>
      </c>
      <c r="BD1609" t="inlineStr">
        <is>
          <t>893403235</t>
        </is>
      </c>
    </row>
    <row r="1610">
      <c r="A1610" t="inlineStr">
        <is>
          <t>No</t>
        </is>
      </c>
      <c r="B1610" t="inlineStr">
        <is>
          <t>GV875.B8 V56 1991</t>
        </is>
      </c>
      <c r="C1610" t="inlineStr">
        <is>
          <t>0                      GV 0875000B  8                  V  56          1991</t>
        </is>
      </c>
      <c r="D1610" t="inlineStr">
        <is>
          <t>Miracle in Buffalo : how the dream of baseball revived a city / Anthony Violanti.</t>
        </is>
      </c>
      <c r="F1610" t="inlineStr">
        <is>
          <t>No</t>
        </is>
      </c>
      <c r="G1610" t="inlineStr">
        <is>
          <t>1</t>
        </is>
      </c>
      <c r="H1610" t="inlineStr">
        <is>
          <t>No</t>
        </is>
      </c>
      <c r="I1610" t="inlineStr">
        <is>
          <t>No</t>
        </is>
      </c>
      <c r="J1610" t="inlineStr">
        <is>
          <t>0</t>
        </is>
      </c>
      <c r="K1610" t="inlineStr">
        <is>
          <t>Violanti, Anthony.</t>
        </is>
      </c>
      <c r="L1610" t="inlineStr">
        <is>
          <t>New York : St. Martin's Press, 1991.</t>
        </is>
      </c>
      <c r="M1610" t="inlineStr">
        <is>
          <t>1991</t>
        </is>
      </c>
      <c r="N1610" t="inlineStr">
        <is>
          <t>1st ed.</t>
        </is>
      </c>
      <c r="O1610" t="inlineStr">
        <is>
          <t>eng</t>
        </is>
      </c>
      <c r="P1610" t="inlineStr">
        <is>
          <t>nyu</t>
        </is>
      </c>
      <c r="R1610" t="inlineStr">
        <is>
          <t xml:space="preserve">GV </t>
        </is>
      </c>
      <c r="S1610" t="n">
        <v>1</v>
      </c>
      <c r="T1610" t="n">
        <v>1</v>
      </c>
      <c r="U1610" t="inlineStr">
        <is>
          <t>2006-11-16</t>
        </is>
      </c>
      <c r="V1610" t="inlineStr">
        <is>
          <t>2006-11-16</t>
        </is>
      </c>
      <c r="W1610" t="inlineStr">
        <is>
          <t>2006-11-16</t>
        </is>
      </c>
      <c r="X1610" t="inlineStr">
        <is>
          <t>2006-11-16</t>
        </is>
      </c>
      <c r="Y1610" t="n">
        <v>55</v>
      </c>
      <c r="Z1610" t="n">
        <v>53</v>
      </c>
      <c r="AA1610" t="n">
        <v>53</v>
      </c>
      <c r="AB1610" t="n">
        <v>1</v>
      </c>
      <c r="AC1610" t="n">
        <v>1</v>
      </c>
      <c r="AD1610" t="n">
        <v>3</v>
      </c>
      <c r="AE1610" t="n">
        <v>3</v>
      </c>
      <c r="AF1610" t="n">
        <v>1</v>
      </c>
      <c r="AG1610" t="n">
        <v>1</v>
      </c>
      <c r="AH1610" t="n">
        <v>0</v>
      </c>
      <c r="AI1610" t="n">
        <v>0</v>
      </c>
      <c r="AJ1610" t="n">
        <v>3</v>
      </c>
      <c r="AK1610" t="n">
        <v>3</v>
      </c>
      <c r="AL1610" t="n">
        <v>0</v>
      </c>
      <c r="AM1610" t="n">
        <v>0</v>
      </c>
      <c r="AN1610" t="n">
        <v>0</v>
      </c>
      <c r="AO1610" t="n">
        <v>0</v>
      </c>
      <c r="AP1610" t="inlineStr">
        <is>
          <t>No</t>
        </is>
      </c>
      <c r="AQ1610" t="inlineStr">
        <is>
          <t>No</t>
        </is>
      </c>
      <c r="AS1610">
        <f>HYPERLINK("https://creighton-primo.hosted.exlibrisgroup.com/primo-explore/search?tab=default_tab&amp;search_scope=EVERYTHING&amp;vid=01CRU&amp;lang=en_US&amp;offset=0&amp;query=any,contains,991004982809702656","Catalog Record")</f>
        <v/>
      </c>
      <c r="AT1610">
        <f>HYPERLINK("http://www.worldcat.org/oclc/22907386","WorldCat Record")</f>
        <v/>
      </c>
      <c r="AU1610" t="inlineStr">
        <is>
          <t>24029621:eng</t>
        </is>
      </c>
      <c r="AV1610" t="inlineStr">
        <is>
          <t>22907386</t>
        </is>
      </c>
      <c r="AW1610" t="inlineStr">
        <is>
          <t>991004982809702656</t>
        </is>
      </c>
      <c r="AX1610" t="inlineStr">
        <is>
          <t>991004982809702656</t>
        </is>
      </c>
      <c r="AY1610" t="inlineStr">
        <is>
          <t>2264065180002656</t>
        </is>
      </c>
      <c r="AZ1610" t="inlineStr">
        <is>
          <t>BOOK</t>
        </is>
      </c>
      <c r="BB1610" t="inlineStr">
        <is>
          <t>9780312048785</t>
        </is>
      </c>
      <c r="BC1610" t="inlineStr">
        <is>
          <t>32285005260384</t>
        </is>
      </c>
      <c r="BD1610" t="inlineStr">
        <is>
          <t>893424411</t>
        </is>
      </c>
    </row>
    <row r="1611">
      <c r="A1611" t="inlineStr">
        <is>
          <t>No</t>
        </is>
      </c>
      <c r="B1611" t="inlineStr">
        <is>
          <t>GV875.C7 P59 1999</t>
        </is>
      </c>
      <c r="C1611" t="inlineStr">
        <is>
          <t>0                      GV 0875000C  7                  P  59          1999</t>
        </is>
      </c>
      <c r="D1611" t="inlineStr">
        <is>
          <t>Our tribe : a baseball memoir / Terry Pluto.</t>
        </is>
      </c>
      <c r="F1611" t="inlineStr">
        <is>
          <t>No</t>
        </is>
      </c>
      <c r="G1611" t="inlineStr">
        <is>
          <t>1</t>
        </is>
      </c>
      <c r="H1611" t="inlineStr">
        <is>
          <t>No</t>
        </is>
      </c>
      <c r="I1611" t="inlineStr">
        <is>
          <t>No</t>
        </is>
      </c>
      <c r="J1611" t="inlineStr">
        <is>
          <t>0</t>
        </is>
      </c>
      <c r="K1611" t="inlineStr">
        <is>
          <t>Pluto, Terry, 1955-</t>
        </is>
      </c>
      <c r="L1611" t="inlineStr">
        <is>
          <t>New York : Simon &amp; Schuster, c1999.</t>
        </is>
      </c>
      <c r="M1611" t="inlineStr">
        <is>
          <t>1999</t>
        </is>
      </c>
      <c r="O1611" t="inlineStr">
        <is>
          <t>eng</t>
        </is>
      </c>
      <c r="P1611" t="inlineStr">
        <is>
          <t>nyu</t>
        </is>
      </c>
      <c r="R1611" t="inlineStr">
        <is>
          <t xml:space="preserve">GV </t>
        </is>
      </c>
      <c r="S1611" t="n">
        <v>1</v>
      </c>
      <c r="T1611" t="n">
        <v>1</v>
      </c>
      <c r="U1611" t="inlineStr">
        <is>
          <t>2005-10-03</t>
        </is>
      </c>
      <c r="V1611" t="inlineStr">
        <is>
          <t>2005-10-03</t>
        </is>
      </c>
      <c r="W1611" t="inlineStr">
        <is>
          <t>2005-10-03</t>
        </is>
      </c>
      <c r="X1611" t="inlineStr">
        <is>
          <t>2005-10-03</t>
        </is>
      </c>
      <c r="Y1611" t="n">
        <v>290</v>
      </c>
      <c r="Z1611" t="n">
        <v>287</v>
      </c>
      <c r="AA1611" t="n">
        <v>292</v>
      </c>
      <c r="AB1611" t="n">
        <v>2</v>
      </c>
      <c r="AC1611" t="n">
        <v>2</v>
      </c>
      <c r="AD1611" t="n">
        <v>2</v>
      </c>
      <c r="AE1611" t="n">
        <v>2</v>
      </c>
      <c r="AF1611" t="n">
        <v>0</v>
      </c>
      <c r="AG1611" t="n">
        <v>0</v>
      </c>
      <c r="AH1611" t="n">
        <v>0</v>
      </c>
      <c r="AI1611" t="n">
        <v>0</v>
      </c>
      <c r="AJ1611" t="n">
        <v>1</v>
      </c>
      <c r="AK1611" t="n">
        <v>1</v>
      </c>
      <c r="AL1611" t="n">
        <v>1</v>
      </c>
      <c r="AM1611" t="n">
        <v>1</v>
      </c>
      <c r="AN1611" t="n">
        <v>0</v>
      </c>
      <c r="AO1611" t="n">
        <v>0</v>
      </c>
      <c r="AP1611" t="inlineStr">
        <is>
          <t>No</t>
        </is>
      </c>
      <c r="AQ1611" t="inlineStr">
        <is>
          <t>Yes</t>
        </is>
      </c>
      <c r="AR1611">
        <f>HYPERLINK("http://catalog.hathitrust.org/Record/101994726","HathiTrust Record")</f>
        <v/>
      </c>
      <c r="AS1611">
        <f>HYPERLINK("https://creighton-primo.hosted.exlibrisgroup.com/primo-explore/search?tab=default_tab&amp;search_scope=EVERYTHING&amp;vid=01CRU&amp;lang=en_US&amp;offset=0&amp;query=any,contains,991004671299702656","Catalog Record")</f>
        <v/>
      </c>
      <c r="AT1611">
        <f>HYPERLINK("http://www.worldcat.org/oclc/41165258","WorldCat Record")</f>
        <v/>
      </c>
      <c r="AU1611" t="inlineStr">
        <is>
          <t>820798:eng</t>
        </is>
      </c>
      <c r="AV1611" t="inlineStr">
        <is>
          <t>41165258</t>
        </is>
      </c>
      <c r="AW1611" t="inlineStr">
        <is>
          <t>991004671299702656</t>
        </is>
      </c>
      <c r="AX1611" t="inlineStr">
        <is>
          <t>991004671299702656</t>
        </is>
      </c>
      <c r="AY1611" t="inlineStr">
        <is>
          <t>2258801670002656</t>
        </is>
      </c>
      <c r="AZ1611" t="inlineStr">
        <is>
          <t>BOOK</t>
        </is>
      </c>
      <c r="BB1611" t="inlineStr">
        <is>
          <t>9780684845050</t>
        </is>
      </c>
      <c r="BC1611" t="inlineStr">
        <is>
          <t>32285005086359</t>
        </is>
      </c>
      <c r="BD1611" t="inlineStr">
        <is>
          <t>893532670</t>
        </is>
      </c>
    </row>
    <row r="1612">
      <c r="A1612" t="inlineStr">
        <is>
          <t>No</t>
        </is>
      </c>
      <c r="B1612" t="inlineStr">
        <is>
          <t>GV875.L46 C67 1999</t>
        </is>
      </c>
      <c r="C1612" t="inlineStr">
        <is>
          <t>0                      GV 0875000L  46                 C  67          1999</t>
        </is>
      </c>
      <c r="D1612" t="inlineStr">
        <is>
          <t>Historia de los Leones Rojos del Escogido, 1921-1996 / Cuqui Córdova.</t>
        </is>
      </c>
      <c r="F1612" t="inlineStr">
        <is>
          <t>No</t>
        </is>
      </c>
      <c r="G1612" t="inlineStr">
        <is>
          <t>1</t>
        </is>
      </c>
      <c r="H1612" t="inlineStr">
        <is>
          <t>No</t>
        </is>
      </c>
      <c r="I1612" t="inlineStr">
        <is>
          <t>No</t>
        </is>
      </c>
      <c r="J1612" t="inlineStr">
        <is>
          <t>0</t>
        </is>
      </c>
      <c r="K1612" t="inlineStr">
        <is>
          <t>Córdova, Cuqui.</t>
        </is>
      </c>
      <c r="L1612" t="inlineStr">
        <is>
          <t>[Santo Domingo?] : Editorial Cañabrava, c1999.</t>
        </is>
      </c>
      <c r="M1612" t="inlineStr">
        <is>
          <t>1999</t>
        </is>
      </c>
      <c r="O1612" t="inlineStr">
        <is>
          <t>spa</t>
        </is>
      </c>
      <c r="P1612" t="inlineStr">
        <is>
          <t xml:space="preserve">dr </t>
        </is>
      </c>
      <c r="R1612" t="inlineStr">
        <is>
          <t xml:space="preserve">GV </t>
        </is>
      </c>
      <c r="S1612" t="n">
        <v>1</v>
      </c>
      <c r="T1612" t="n">
        <v>1</v>
      </c>
      <c r="U1612" t="inlineStr">
        <is>
          <t>2006-01-27</t>
        </is>
      </c>
      <c r="V1612" t="inlineStr">
        <is>
          <t>2006-01-27</t>
        </is>
      </c>
      <c r="W1612" t="inlineStr">
        <is>
          <t>2001-06-19</t>
        </is>
      </c>
      <c r="X1612" t="inlineStr">
        <is>
          <t>2001-06-19</t>
        </is>
      </c>
      <c r="Y1612" t="n">
        <v>7</v>
      </c>
      <c r="Z1612" t="n">
        <v>7</v>
      </c>
      <c r="AA1612" t="n">
        <v>7</v>
      </c>
      <c r="AB1612" t="n">
        <v>1</v>
      </c>
      <c r="AC1612" t="n">
        <v>1</v>
      </c>
      <c r="AD1612" t="n">
        <v>0</v>
      </c>
      <c r="AE1612" t="n">
        <v>0</v>
      </c>
      <c r="AF1612" t="n">
        <v>0</v>
      </c>
      <c r="AG1612" t="n">
        <v>0</v>
      </c>
      <c r="AH1612" t="n">
        <v>0</v>
      </c>
      <c r="AI1612" t="n">
        <v>0</v>
      </c>
      <c r="AJ1612" t="n">
        <v>0</v>
      </c>
      <c r="AK1612" t="n">
        <v>0</v>
      </c>
      <c r="AL1612" t="n">
        <v>0</v>
      </c>
      <c r="AM1612" t="n">
        <v>0</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HYPERLINK("https://creighton-primo.hosted.exlibrisgroup.com/primo-explore/search?tab=default_tab&amp;search_scope=EVERYTHING&amp;vid=01CRU&amp;lang=en_US&amp;offset=0&amp;query=any,contains,991003560819702656","Catalog Record")</f>
        <v/>
      </c>
      <c r="AT1612">
        <f>HYPERLINK("http://www.worldcat.org/oclc/42772847","WorldCat Record")</f>
        <v/>
      </c>
      <c r="AU1612" t="inlineStr">
        <is>
          <t>28028766:spa</t>
        </is>
      </c>
      <c r="AV1612" t="inlineStr">
        <is>
          <t>42772847</t>
        </is>
      </c>
      <c r="AW1612" t="inlineStr">
        <is>
          <t>991003560819702656</t>
        </is>
      </c>
      <c r="AX1612" t="inlineStr">
        <is>
          <t>991003560819702656</t>
        </is>
      </c>
      <c r="AY1612" t="inlineStr">
        <is>
          <t>2272776360002656</t>
        </is>
      </c>
      <c r="AZ1612" t="inlineStr">
        <is>
          <t>BOOK</t>
        </is>
      </c>
      <c r="BC1612" t="inlineStr">
        <is>
          <t>32285004328620</t>
        </is>
      </c>
      <c r="BD1612" t="inlineStr">
        <is>
          <t>893246487</t>
        </is>
      </c>
    </row>
    <row r="1613">
      <c r="A1613" t="inlineStr">
        <is>
          <t>No</t>
        </is>
      </c>
      <c r="B1613" t="inlineStr">
        <is>
          <t>GV875.L6 S834 2004</t>
        </is>
      </c>
      <c r="C1613" t="inlineStr">
        <is>
          <t>0                      GV 0875000L  6                  S  834         2004</t>
        </is>
      </c>
      <c r="D1613" t="inlineStr">
        <is>
          <t>The Dodgers : 120 years of Dodgers baseball / text by Glenn Stout ; photographs selected and edited by Richard A. Johnson.</t>
        </is>
      </c>
      <c r="F1613" t="inlineStr">
        <is>
          <t>No</t>
        </is>
      </c>
      <c r="G1613" t="inlineStr">
        <is>
          <t>1</t>
        </is>
      </c>
      <c r="H1613" t="inlineStr">
        <is>
          <t>No</t>
        </is>
      </c>
      <c r="I1613" t="inlineStr">
        <is>
          <t>No</t>
        </is>
      </c>
      <c r="J1613" t="inlineStr">
        <is>
          <t>0</t>
        </is>
      </c>
      <c r="K1613" t="inlineStr">
        <is>
          <t>Stout, Glenn, 1958-</t>
        </is>
      </c>
      <c r="L1613" t="inlineStr">
        <is>
          <t>Boston : Houghton Mifflin, 2004.</t>
        </is>
      </c>
      <c r="M1613" t="inlineStr">
        <is>
          <t>2004</t>
        </is>
      </c>
      <c r="O1613" t="inlineStr">
        <is>
          <t>eng</t>
        </is>
      </c>
      <c r="P1613" t="inlineStr">
        <is>
          <t>mau</t>
        </is>
      </c>
      <c r="R1613" t="inlineStr">
        <is>
          <t xml:space="preserve">GV </t>
        </is>
      </c>
      <c r="S1613" t="n">
        <v>3</v>
      </c>
      <c r="T1613" t="n">
        <v>3</v>
      </c>
      <c r="U1613" t="inlineStr">
        <is>
          <t>2004-11-08</t>
        </is>
      </c>
      <c r="V1613" t="inlineStr">
        <is>
          <t>2004-11-08</t>
        </is>
      </c>
      <c r="W1613" t="inlineStr">
        <is>
          <t>2004-11-08</t>
        </is>
      </c>
      <c r="X1613" t="inlineStr">
        <is>
          <t>2004-11-08</t>
        </is>
      </c>
      <c r="Y1613" t="n">
        <v>265</v>
      </c>
      <c r="Z1613" t="n">
        <v>256</v>
      </c>
      <c r="AA1613" t="n">
        <v>261</v>
      </c>
      <c r="AB1613" t="n">
        <v>4</v>
      </c>
      <c r="AC1613" t="n">
        <v>4</v>
      </c>
      <c r="AD1613" t="n">
        <v>5</v>
      </c>
      <c r="AE1613" t="n">
        <v>5</v>
      </c>
      <c r="AF1613" t="n">
        <v>3</v>
      </c>
      <c r="AG1613" t="n">
        <v>3</v>
      </c>
      <c r="AH1613" t="n">
        <v>0</v>
      </c>
      <c r="AI1613" t="n">
        <v>0</v>
      </c>
      <c r="AJ1613" t="n">
        <v>2</v>
      </c>
      <c r="AK1613" t="n">
        <v>2</v>
      </c>
      <c r="AL1613" t="n">
        <v>1</v>
      </c>
      <c r="AM1613" t="n">
        <v>1</v>
      </c>
      <c r="AN1613" t="n">
        <v>0</v>
      </c>
      <c r="AO1613" t="n">
        <v>0</v>
      </c>
      <c r="AP1613" t="inlineStr">
        <is>
          <t>No</t>
        </is>
      </c>
      <c r="AQ1613" t="inlineStr">
        <is>
          <t>No</t>
        </is>
      </c>
      <c r="AS1613">
        <f>HYPERLINK("https://creighton-primo.hosted.exlibrisgroup.com/primo-explore/search?tab=default_tab&amp;search_scope=EVERYTHING&amp;vid=01CRU&amp;lang=en_US&amp;offset=0&amp;query=any,contains,991004396619702656","Catalog Record")</f>
        <v/>
      </c>
      <c r="AT1613">
        <f>HYPERLINK("http://www.worldcat.org/oclc/54960302","WorldCat Record")</f>
        <v/>
      </c>
      <c r="AU1613" t="inlineStr">
        <is>
          <t>10128966241:eng</t>
        </is>
      </c>
      <c r="AV1613" t="inlineStr">
        <is>
          <t>54960302</t>
        </is>
      </c>
      <c r="AW1613" t="inlineStr">
        <is>
          <t>991004396619702656</t>
        </is>
      </c>
      <c r="AX1613" t="inlineStr">
        <is>
          <t>991004396619702656</t>
        </is>
      </c>
      <c r="AY1613" t="inlineStr">
        <is>
          <t>2263626800002656</t>
        </is>
      </c>
      <c r="AZ1613" t="inlineStr">
        <is>
          <t>BOOK</t>
        </is>
      </c>
      <c r="BB1613" t="inlineStr">
        <is>
          <t>9780618213559</t>
        </is>
      </c>
      <c r="BC1613" t="inlineStr">
        <is>
          <t>32285005009302</t>
        </is>
      </c>
      <c r="BD1613" t="inlineStr">
        <is>
          <t>893337679</t>
        </is>
      </c>
    </row>
    <row r="1614">
      <c r="A1614" t="inlineStr">
        <is>
          <t>No</t>
        </is>
      </c>
      <c r="B1614" t="inlineStr">
        <is>
          <t>GV875.N4 K36 2003</t>
        </is>
      </c>
      <c r="C1614" t="inlineStr">
        <is>
          <t>0                      GV 0875000N  4                  K  36          2003</t>
        </is>
      </c>
      <c r="D1614" t="inlineStr">
        <is>
          <t>October men : Reggie Jackson, George Steinbrenner, Billy Martin, and the Yankees' miraculous finish in 1978 / Roger Kahn.</t>
        </is>
      </c>
      <c r="F1614" t="inlineStr">
        <is>
          <t>No</t>
        </is>
      </c>
      <c r="G1614" t="inlineStr">
        <is>
          <t>1</t>
        </is>
      </c>
      <c r="H1614" t="inlineStr">
        <is>
          <t>No</t>
        </is>
      </c>
      <c r="I1614" t="inlineStr">
        <is>
          <t>No</t>
        </is>
      </c>
      <c r="J1614" t="inlineStr">
        <is>
          <t>0</t>
        </is>
      </c>
      <c r="K1614" t="inlineStr">
        <is>
          <t>Kahn, Roger.</t>
        </is>
      </c>
      <c r="L1614" t="inlineStr">
        <is>
          <t>Orlando, Fla. : Harcourt, c2003.</t>
        </is>
      </c>
      <c r="M1614" t="inlineStr">
        <is>
          <t>2003</t>
        </is>
      </c>
      <c r="N1614" t="inlineStr">
        <is>
          <t>1st ed.</t>
        </is>
      </c>
      <c r="O1614" t="inlineStr">
        <is>
          <t>eng</t>
        </is>
      </c>
      <c r="P1614" t="inlineStr">
        <is>
          <t>flu</t>
        </is>
      </c>
      <c r="R1614" t="inlineStr">
        <is>
          <t xml:space="preserve">GV </t>
        </is>
      </c>
      <c r="S1614" t="n">
        <v>1</v>
      </c>
      <c r="T1614" t="n">
        <v>1</v>
      </c>
      <c r="U1614" t="inlineStr">
        <is>
          <t>2003-07-15</t>
        </is>
      </c>
      <c r="V1614" t="inlineStr">
        <is>
          <t>2003-07-15</t>
        </is>
      </c>
      <c r="W1614" t="inlineStr">
        <is>
          <t>2003-07-15</t>
        </is>
      </c>
      <c r="X1614" t="inlineStr">
        <is>
          <t>2003-07-15</t>
        </is>
      </c>
      <c r="Y1614" t="n">
        <v>629</v>
      </c>
      <c r="Z1614" t="n">
        <v>615</v>
      </c>
      <c r="AA1614" t="n">
        <v>624</v>
      </c>
      <c r="AB1614" t="n">
        <v>4</v>
      </c>
      <c r="AC1614" t="n">
        <v>4</v>
      </c>
      <c r="AD1614" t="n">
        <v>6</v>
      </c>
      <c r="AE1614" t="n">
        <v>6</v>
      </c>
      <c r="AF1614" t="n">
        <v>4</v>
      </c>
      <c r="AG1614" t="n">
        <v>4</v>
      </c>
      <c r="AH1614" t="n">
        <v>0</v>
      </c>
      <c r="AI1614" t="n">
        <v>0</v>
      </c>
      <c r="AJ1614" t="n">
        <v>2</v>
      </c>
      <c r="AK1614" t="n">
        <v>2</v>
      </c>
      <c r="AL1614" t="n">
        <v>0</v>
      </c>
      <c r="AM1614" t="n">
        <v>0</v>
      </c>
      <c r="AN1614" t="n">
        <v>0</v>
      </c>
      <c r="AO1614" t="n">
        <v>0</v>
      </c>
      <c r="AP1614" t="inlineStr">
        <is>
          <t>No</t>
        </is>
      </c>
      <c r="AQ1614" t="inlineStr">
        <is>
          <t>No</t>
        </is>
      </c>
      <c r="AS1614">
        <f>HYPERLINK("https://creighton-primo.hosted.exlibrisgroup.com/primo-explore/search?tab=default_tab&amp;search_scope=EVERYTHING&amp;vid=01CRU&amp;lang=en_US&amp;offset=0&amp;query=any,contains,991004078019702656","Catalog Record")</f>
        <v/>
      </c>
      <c r="AT1614">
        <f>HYPERLINK("http://www.worldcat.org/oclc/51454476","WorldCat Record")</f>
        <v/>
      </c>
      <c r="AU1614" t="inlineStr">
        <is>
          <t>659633:eng</t>
        </is>
      </c>
      <c r="AV1614" t="inlineStr">
        <is>
          <t>51454476</t>
        </is>
      </c>
      <c r="AW1614" t="inlineStr">
        <is>
          <t>991004078019702656</t>
        </is>
      </c>
      <c r="AX1614" t="inlineStr">
        <is>
          <t>991004078019702656</t>
        </is>
      </c>
      <c r="AY1614" t="inlineStr">
        <is>
          <t>2255308970002656</t>
        </is>
      </c>
      <c r="AZ1614" t="inlineStr">
        <is>
          <t>BOOK</t>
        </is>
      </c>
      <c r="BB1614" t="inlineStr">
        <is>
          <t>9780151006281</t>
        </is>
      </c>
      <c r="BC1614" t="inlineStr">
        <is>
          <t>32285004755939</t>
        </is>
      </c>
      <c r="BD1614" t="inlineStr">
        <is>
          <t>893904695</t>
        </is>
      </c>
    </row>
    <row r="1615">
      <c r="A1615" t="inlineStr">
        <is>
          <t>No</t>
        </is>
      </c>
      <c r="B1615" t="inlineStr">
        <is>
          <t>GV875.N42 P73 2006</t>
        </is>
      </c>
      <c r="C1615" t="inlineStr">
        <is>
          <t>0                      GV 0875000N  42                 P  73          2006</t>
        </is>
      </c>
      <c r="D1615" t="inlineStr">
        <is>
          <t>The echoing green : the untold story of Bobby Thomson, Ralph Branca, and the shot heard round the world / Joshua Prager.</t>
        </is>
      </c>
      <c r="F1615" t="inlineStr">
        <is>
          <t>No</t>
        </is>
      </c>
      <c r="G1615" t="inlineStr">
        <is>
          <t>1</t>
        </is>
      </c>
      <c r="H1615" t="inlineStr">
        <is>
          <t>No</t>
        </is>
      </c>
      <c r="I1615" t="inlineStr">
        <is>
          <t>No</t>
        </is>
      </c>
      <c r="J1615" t="inlineStr">
        <is>
          <t>0</t>
        </is>
      </c>
      <c r="K1615" t="inlineStr">
        <is>
          <t>Prager, Joshua.</t>
        </is>
      </c>
      <c r="L1615" t="inlineStr">
        <is>
          <t>New York : Pantheon Books, c2006.</t>
        </is>
      </c>
      <c r="M1615" t="inlineStr">
        <is>
          <t>2006</t>
        </is>
      </c>
      <c r="N1615" t="inlineStr">
        <is>
          <t>1st ed.</t>
        </is>
      </c>
      <c r="O1615" t="inlineStr">
        <is>
          <t>eng</t>
        </is>
      </c>
      <c r="P1615" t="inlineStr">
        <is>
          <t>nyu</t>
        </is>
      </c>
      <c r="R1615" t="inlineStr">
        <is>
          <t xml:space="preserve">GV </t>
        </is>
      </c>
      <c r="S1615" t="n">
        <v>1</v>
      </c>
      <c r="T1615" t="n">
        <v>1</v>
      </c>
      <c r="U1615" t="inlineStr">
        <is>
          <t>2006-10-19</t>
        </is>
      </c>
      <c r="V1615" t="inlineStr">
        <is>
          <t>2006-10-19</t>
        </is>
      </c>
      <c r="W1615" t="inlineStr">
        <is>
          <t>2006-10-19</t>
        </is>
      </c>
      <c r="X1615" t="inlineStr">
        <is>
          <t>2006-10-19</t>
        </is>
      </c>
      <c r="Y1615" t="n">
        <v>672</v>
      </c>
      <c r="Z1615" t="n">
        <v>664</v>
      </c>
      <c r="AA1615" t="n">
        <v>711</v>
      </c>
      <c r="AB1615" t="n">
        <v>8</v>
      </c>
      <c r="AC1615" t="n">
        <v>9</v>
      </c>
      <c r="AD1615" t="n">
        <v>9</v>
      </c>
      <c r="AE1615" t="n">
        <v>9</v>
      </c>
      <c r="AF1615" t="n">
        <v>3</v>
      </c>
      <c r="AG1615" t="n">
        <v>3</v>
      </c>
      <c r="AH1615" t="n">
        <v>2</v>
      </c>
      <c r="AI1615" t="n">
        <v>2</v>
      </c>
      <c r="AJ1615" t="n">
        <v>2</v>
      </c>
      <c r="AK1615" t="n">
        <v>2</v>
      </c>
      <c r="AL1615" t="n">
        <v>3</v>
      </c>
      <c r="AM1615" t="n">
        <v>3</v>
      </c>
      <c r="AN1615" t="n">
        <v>0</v>
      </c>
      <c r="AO1615" t="n">
        <v>0</v>
      </c>
      <c r="AP1615" t="inlineStr">
        <is>
          <t>No</t>
        </is>
      </c>
      <c r="AQ1615" t="inlineStr">
        <is>
          <t>Yes</t>
        </is>
      </c>
      <c r="AR1615">
        <f>HYPERLINK("http://catalog.hathitrust.org/Record/005402978","HathiTrust Record")</f>
        <v/>
      </c>
      <c r="AS1615">
        <f>HYPERLINK("https://creighton-primo.hosted.exlibrisgroup.com/primo-explore/search?tab=default_tab&amp;search_scope=EVERYTHING&amp;vid=01CRU&amp;lang=en_US&amp;offset=0&amp;query=any,contains,991004938669702656","Catalog Record")</f>
        <v/>
      </c>
      <c r="AT1615">
        <f>HYPERLINK("http://www.worldcat.org/oclc/64487310","WorldCat Record")</f>
        <v/>
      </c>
      <c r="AU1615" t="inlineStr">
        <is>
          <t>198139186:eng</t>
        </is>
      </c>
      <c r="AV1615" t="inlineStr">
        <is>
          <t>64487310</t>
        </is>
      </c>
      <c r="AW1615" t="inlineStr">
        <is>
          <t>991004938669702656</t>
        </is>
      </c>
      <c r="AX1615" t="inlineStr">
        <is>
          <t>991004938669702656</t>
        </is>
      </c>
      <c r="AY1615" t="inlineStr">
        <is>
          <t>2262544980002656</t>
        </is>
      </c>
      <c r="AZ1615" t="inlineStr">
        <is>
          <t>BOOK</t>
        </is>
      </c>
      <c r="BB1615" t="inlineStr">
        <is>
          <t>9780375421549</t>
        </is>
      </c>
      <c r="BC1615" t="inlineStr">
        <is>
          <t>32285005231278</t>
        </is>
      </c>
      <c r="BD1615" t="inlineStr">
        <is>
          <t>893418177</t>
        </is>
      </c>
    </row>
    <row r="1616">
      <c r="A1616" t="inlineStr">
        <is>
          <t>No</t>
        </is>
      </c>
      <c r="B1616" t="inlineStr">
        <is>
          <t>GV875.S74 B57 2005</t>
        </is>
      </c>
      <c r="C1616" t="inlineStr">
        <is>
          <t>0                      GV 0875000S  74                 B  57          2005</t>
        </is>
      </c>
      <c r="D1616" t="inlineStr">
        <is>
          <t>Three nights in August : strategy, heartbreak, and joy, inside the mind of a manager / Buzz Bissinger ; [foreword by Tony La Russa].</t>
        </is>
      </c>
      <c r="F1616" t="inlineStr">
        <is>
          <t>No</t>
        </is>
      </c>
      <c r="G1616" t="inlineStr">
        <is>
          <t>1</t>
        </is>
      </c>
      <c r="H1616" t="inlineStr">
        <is>
          <t>Yes</t>
        </is>
      </c>
      <c r="I1616" t="inlineStr">
        <is>
          <t>No</t>
        </is>
      </c>
      <c r="J1616" t="inlineStr">
        <is>
          <t>0</t>
        </is>
      </c>
      <c r="K1616" t="inlineStr">
        <is>
          <t>Bissinger, Buzz, 1954-</t>
        </is>
      </c>
      <c r="L1616" t="inlineStr">
        <is>
          <t>Boston : Houghton Mifflin, 2005.</t>
        </is>
      </c>
      <c r="M1616" t="inlineStr">
        <is>
          <t>2005</t>
        </is>
      </c>
      <c r="O1616" t="inlineStr">
        <is>
          <t>eng</t>
        </is>
      </c>
      <c r="P1616" t="inlineStr">
        <is>
          <t>mau</t>
        </is>
      </c>
      <c r="R1616" t="inlineStr">
        <is>
          <t xml:space="preserve">GV </t>
        </is>
      </c>
      <c r="S1616" t="n">
        <v>1</v>
      </c>
      <c r="T1616" t="n">
        <v>1</v>
      </c>
      <c r="U1616" t="inlineStr">
        <is>
          <t>2005-05-03</t>
        </is>
      </c>
      <c r="V1616" t="inlineStr">
        <is>
          <t>2005-05-03</t>
        </is>
      </c>
      <c r="W1616" t="inlineStr">
        <is>
          <t>2005-05-03</t>
        </is>
      </c>
      <c r="X1616" t="inlineStr">
        <is>
          <t>2005-05-03</t>
        </is>
      </c>
      <c r="Y1616" t="n">
        <v>1330</v>
      </c>
      <c r="Z1616" t="n">
        <v>1311</v>
      </c>
      <c r="AA1616" t="n">
        <v>1458</v>
      </c>
      <c r="AB1616" t="n">
        <v>14</v>
      </c>
      <c r="AC1616" t="n">
        <v>16</v>
      </c>
      <c r="AD1616" t="n">
        <v>14</v>
      </c>
      <c r="AE1616" t="n">
        <v>19</v>
      </c>
      <c r="AF1616" t="n">
        <v>7</v>
      </c>
      <c r="AG1616" t="n">
        <v>10</v>
      </c>
      <c r="AH1616" t="n">
        <v>2</v>
      </c>
      <c r="AI1616" t="n">
        <v>2</v>
      </c>
      <c r="AJ1616" t="n">
        <v>5</v>
      </c>
      <c r="AK1616" t="n">
        <v>6</v>
      </c>
      <c r="AL1616" t="n">
        <v>2</v>
      </c>
      <c r="AM1616" t="n">
        <v>4</v>
      </c>
      <c r="AN1616" t="n">
        <v>0</v>
      </c>
      <c r="AO1616" t="n">
        <v>0</v>
      </c>
      <c r="AP1616" t="inlineStr">
        <is>
          <t>No</t>
        </is>
      </c>
      <c r="AQ1616" t="inlineStr">
        <is>
          <t>No</t>
        </is>
      </c>
      <c r="AS1616">
        <f>HYPERLINK("https://creighton-primo.hosted.exlibrisgroup.com/primo-explore/search?tab=default_tab&amp;search_scope=EVERYTHING&amp;vid=01CRU&amp;lang=en_US&amp;offset=0&amp;query=any,contains,991004532859702656","Catalog Record")</f>
        <v/>
      </c>
      <c r="AT1616">
        <f>HYPERLINK("http://www.worldcat.org/oclc/57207520","WorldCat Record")</f>
        <v/>
      </c>
      <c r="AU1616" t="inlineStr">
        <is>
          <t>889024:eng</t>
        </is>
      </c>
      <c r="AV1616" t="inlineStr">
        <is>
          <t>57207520</t>
        </is>
      </c>
      <c r="AW1616" t="inlineStr">
        <is>
          <t>991004532859702656</t>
        </is>
      </c>
      <c r="AX1616" t="inlineStr">
        <is>
          <t>991004532859702656</t>
        </is>
      </c>
      <c r="AY1616" t="inlineStr">
        <is>
          <t>2260267070002656</t>
        </is>
      </c>
      <c r="AZ1616" t="inlineStr">
        <is>
          <t>BOOK</t>
        </is>
      </c>
      <c r="BB1616" t="inlineStr">
        <is>
          <t>9780618405442</t>
        </is>
      </c>
      <c r="BC1616" t="inlineStr">
        <is>
          <t>32285005034516</t>
        </is>
      </c>
      <c r="BD1616" t="inlineStr">
        <is>
          <t>893423925</t>
        </is>
      </c>
    </row>
    <row r="1617">
      <c r="A1617" t="inlineStr">
        <is>
          <t>No</t>
        </is>
      </c>
      <c r="B1617" t="inlineStr">
        <is>
          <t>GV875.S76 G65 1991</t>
        </is>
      </c>
      <c r="C1617" t="inlineStr">
        <is>
          <t>0                      GV 0875000S  76                 G  65          1991</t>
        </is>
      </c>
      <c r="D1617" t="inlineStr">
        <is>
          <t>The forever boys : the bittersweet world of major league baseball as seen through the eyes of the men who played one more time / Peter Golenbock.</t>
        </is>
      </c>
      <c r="F1617" t="inlineStr">
        <is>
          <t>No</t>
        </is>
      </c>
      <c r="G1617" t="inlineStr">
        <is>
          <t>1</t>
        </is>
      </c>
      <c r="H1617" t="inlineStr">
        <is>
          <t>No</t>
        </is>
      </c>
      <c r="I1617" t="inlineStr">
        <is>
          <t>No</t>
        </is>
      </c>
      <c r="J1617" t="inlineStr">
        <is>
          <t>0</t>
        </is>
      </c>
      <c r="K1617" t="inlineStr">
        <is>
          <t>Golenbock, Peter, 1946-</t>
        </is>
      </c>
      <c r="L1617" t="inlineStr">
        <is>
          <t>New York, NY : Carol Pub. Group, 1991.</t>
        </is>
      </c>
      <c r="M1617" t="inlineStr">
        <is>
          <t>1991</t>
        </is>
      </c>
      <c r="O1617" t="inlineStr">
        <is>
          <t>eng</t>
        </is>
      </c>
      <c r="P1617" t="inlineStr">
        <is>
          <t>nyu</t>
        </is>
      </c>
      <c r="R1617" t="inlineStr">
        <is>
          <t xml:space="preserve">GV </t>
        </is>
      </c>
      <c r="S1617" t="n">
        <v>1</v>
      </c>
      <c r="T1617" t="n">
        <v>1</v>
      </c>
      <c r="U1617" t="inlineStr">
        <is>
          <t>2008-06-30</t>
        </is>
      </c>
      <c r="V1617" t="inlineStr">
        <is>
          <t>2008-06-30</t>
        </is>
      </c>
      <c r="W1617" t="inlineStr">
        <is>
          <t>2008-06-30</t>
        </is>
      </c>
      <c r="X1617" t="inlineStr">
        <is>
          <t>2008-06-30</t>
        </is>
      </c>
      <c r="Y1617" t="n">
        <v>413</v>
      </c>
      <c r="Z1617" t="n">
        <v>406</v>
      </c>
      <c r="AA1617" t="n">
        <v>413</v>
      </c>
      <c r="AB1617" t="n">
        <v>4</v>
      </c>
      <c r="AC1617" t="n">
        <v>4</v>
      </c>
      <c r="AD1617" t="n">
        <v>5</v>
      </c>
      <c r="AE1617" t="n">
        <v>5</v>
      </c>
      <c r="AF1617" t="n">
        <v>1</v>
      </c>
      <c r="AG1617" t="n">
        <v>1</v>
      </c>
      <c r="AH1617" t="n">
        <v>2</v>
      </c>
      <c r="AI1617" t="n">
        <v>2</v>
      </c>
      <c r="AJ1617" t="n">
        <v>3</v>
      </c>
      <c r="AK1617" t="n">
        <v>3</v>
      </c>
      <c r="AL1617" t="n">
        <v>0</v>
      </c>
      <c r="AM1617" t="n">
        <v>0</v>
      </c>
      <c r="AN1617" t="n">
        <v>0</v>
      </c>
      <c r="AO1617" t="n">
        <v>0</v>
      </c>
      <c r="AP1617" t="inlineStr">
        <is>
          <t>No</t>
        </is>
      </c>
      <c r="AQ1617" t="inlineStr">
        <is>
          <t>Yes</t>
        </is>
      </c>
      <c r="AR1617">
        <f>HYPERLINK("http://catalog.hathitrust.org/Record/009822221","HathiTrust Record")</f>
        <v/>
      </c>
      <c r="AS1617">
        <f>HYPERLINK("https://creighton-primo.hosted.exlibrisgroup.com/primo-explore/search?tab=default_tab&amp;search_scope=EVERYTHING&amp;vid=01CRU&amp;lang=en_US&amp;offset=0&amp;query=any,contains,991005239559702656","Catalog Record")</f>
        <v/>
      </c>
      <c r="AT1617">
        <f>HYPERLINK("http://www.worldcat.org/oclc/22859053","WorldCat Record")</f>
        <v/>
      </c>
      <c r="AU1617" t="inlineStr">
        <is>
          <t>24051177:eng</t>
        </is>
      </c>
      <c r="AV1617" t="inlineStr">
        <is>
          <t>22859053</t>
        </is>
      </c>
      <c r="AW1617" t="inlineStr">
        <is>
          <t>991005239559702656</t>
        </is>
      </c>
      <c r="AX1617" t="inlineStr">
        <is>
          <t>991005239559702656</t>
        </is>
      </c>
      <c r="AY1617" t="inlineStr">
        <is>
          <t>2259366310002656</t>
        </is>
      </c>
      <c r="AZ1617" t="inlineStr">
        <is>
          <t>BOOK</t>
        </is>
      </c>
      <c r="BB1617" t="inlineStr">
        <is>
          <t>9781559720342</t>
        </is>
      </c>
      <c r="BC1617" t="inlineStr">
        <is>
          <t>32285005447270</t>
        </is>
      </c>
      <c r="BD1617" t="inlineStr">
        <is>
          <t>893507830</t>
        </is>
      </c>
    </row>
    <row r="1618">
      <c r="A1618" t="inlineStr">
        <is>
          <t>No</t>
        </is>
      </c>
      <c r="B1618" t="inlineStr">
        <is>
          <t>GV877 .D66 2002</t>
        </is>
      </c>
      <c r="C1618" t="inlineStr">
        <is>
          <t>0                      GV 0877000D  66          2002</t>
        </is>
      </c>
      <c r="D1618" t="inlineStr">
        <is>
          <t>Dominicanos en grandes ligas : anuario / Héctor J. Cruz [fundador-editor ; colaboradores, Rolín Fermín ... et al.].</t>
        </is>
      </c>
      <c r="F1618" t="inlineStr">
        <is>
          <t>No</t>
        </is>
      </c>
      <c r="G1618" t="inlineStr">
        <is>
          <t>1</t>
        </is>
      </c>
      <c r="H1618" t="inlineStr">
        <is>
          <t>No</t>
        </is>
      </c>
      <c r="I1618" t="inlineStr">
        <is>
          <t>No</t>
        </is>
      </c>
      <c r="J1618" t="inlineStr">
        <is>
          <t>0</t>
        </is>
      </c>
      <c r="L1618" t="inlineStr">
        <is>
          <t>[Santo Domingo, Dominican Republic] : CODETEL, [2002]</t>
        </is>
      </c>
      <c r="M1618" t="inlineStr">
        <is>
          <t>2002</t>
        </is>
      </c>
      <c r="N1618" t="inlineStr">
        <is>
          <t>Ed. 2002.</t>
        </is>
      </c>
      <c r="O1618" t="inlineStr">
        <is>
          <t>spa</t>
        </is>
      </c>
      <c r="P1618" t="inlineStr">
        <is>
          <t xml:space="preserve">dr </t>
        </is>
      </c>
      <c r="R1618" t="inlineStr">
        <is>
          <t xml:space="preserve">GV </t>
        </is>
      </c>
      <c r="S1618" t="n">
        <v>2</v>
      </c>
      <c r="T1618" t="n">
        <v>2</v>
      </c>
      <c r="U1618" t="inlineStr">
        <is>
          <t>2003-06-18</t>
        </is>
      </c>
      <c r="V1618" t="inlineStr">
        <is>
          <t>2003-06-18</t>
        </is>
      </c>
      <c r="W1618" t="inlineStr">
        <is>
          <t>2003-06-17</t>
        </is>
      </c>
      <c r="X1618" t="inlineStr">
        <is>
          <t>2003-06-17</t>
        </is>
      </c>
      <c r="Y1618" t="n">
        <v>5</v>
      </c>
      <c r="Z1618" t="n">
        <v>5</v>
      </c>
      <c r="AA1618" t="n">
        <v>5</v>
      </c>
      <c r="AB1618" t="n">
        <v>1</v>
      </c>
      <c r="AC1618" t="n">
        <v>1</v>
      </c>
      <c r="AD1618" t="n">
        <v>0</v>
      </c>
      <c r="AE1618" t="n">
        <v>0</v>
      </c>
      <c r="AF1618" t="n">
        <v>0</v>
      </c>
      <c r="AG1618" t="n">
        <v>0</v>
      </c>
      <c r="AH1618" t="n">
        <v>0</v>
      </c>
      <c r="AI1618" t="n">
        <v>0</v>
      </c>
      <c r="AJ1618" t="n">
        <v>0</v>
      </c>
      <c r="AK1618" t="n">
        <v>0</v>
      </c>
      <c r="AL1618" t="n">
        <v>0</v>
      </c>
      <c r="AM1618" t="n">
        <v>0</v>
      </c>
      <c r="AN1618" t="n">
        <v>0</v>
      </c>
      <c r="AO1618" t="n">
        <v>0</v>
      </c>
      <c r="AP1618" t="inlineStr">
        <is>
          <t>No</t>
        </is>
      </c>
      <c r="AQ1618" t="inlineStr">
        <is>
          <t>No</t>
        </is>
      </c>
      <c r="AS1618">
        <f>HYPERLINK("https://creighton-primo.hosted.exlibrisgroup.com/primo-explore/search?tab=default_tab&amp;search_scope=EVERYTHING&amp;vid=01CRU&amp;lang=en_US&amp;offset=0&amp;query=any,contains,991004079559702656","Catalog Record")</f>
        <v/>
      </c>
      <c r="AT1618">
        <f>HYPERLINK("http://www.worldcat.org/oclc/52099175","WorldCat Record")</f>
        <v/>
      </c>
      <c r="AU1618" t="inlineStr">
        <is>
          <t>10194646:spa</t>
        </is>
      </c>
      <c r="AV1618" t="inlineStr">
        <is>
          <t>52099175</t>
        </is>
      </c>
      <c r="AW1618" t="inlineStr">
        <is>
          <t>991004079559702656</t>
        </is>
      </c>
      <c r="AX1618" t="inlineStr">
        <is>
          <t>991004079559702656</t>
        </is>
      </c>
      <c r="AY1618" t="inlineStr">
        <is>
          <t>2259363570002656</t>
        </is>
      </c>
      <c r="AZ1618" t="inlineStr">
        <is>
          <t>BOOK</t>
        </is>
      </c>
      <c r="BC1618" t="inlineStr">
        <is>
          <t>32285004771670</t>
        </is>
      </c>
      <c r="BD1618" t="inlineStr">
        <is>
          <t>893693490</t>
        </is>
      </c>
    </row>
    <row r="1619">
      <c r="A1619" t="inlineStr">
        <is>
          <t>No</t>
        </is>
      </c>
      <c r="B1619" t="inlineStr">
        <is>
          <t>GV878.4 .S73 1991</t>
        </is>
      </c>
      <c r="C1619" t="inlineStr">
        <is>
          <t>0                      GV 0878400S  73          1991</t>
        </is>
      </c>
      <c r="D1619" t="inlineStr">
        <is>
          <t>The year they called off the World Series : a true story / Benton Stark.</t>
        </is>
      </c>
      <c r="F1619" t="inlineStr">
        <is>
          <t>No</t>
        </is>
      </c>
      <c r="G1619" t="inlineStr">
        <is>
          <t>1</t>
        </is>
      </c>
      <c r="H1619" t="inlineStr">
        <is>
          <t>No</t>
        </is>
      </c>
      <c r="I1619" t="inlineStr">
        <is>
          <t>No</t>
        </is>
      </c>
      <c r="J1619" t="inlineStr">
        <is>
          <t>0</t>
        </is>
      </c>
      <c r="K1619" t="inlineStr">
        <is>
          <t>Stark, Benton.</t>
        </is>
      </c>
      <c r="L1619" t="inlineStr">
        <is>
          <t>Garden City Park, N.Y. : Avery Pub. Group, c1991.</t>
        </is>
      </c>
      <c r="M1619" t="inlineStr">
        <is>
          <t>1991</t>
        </is>
      </c>
      <c r="O1619" t="inlineStr">
        <is>
          <t>eng</t>
        </is>
      </c>
      <c r="P1619" t="inlineStr">
        <is>
          <t>nyu</t>
        </is>
      </c>
      <c r="R1619" t="inlineStr">
        <is>
          <t xml:space="preserve">GV </t>
        </is>
      </c>
      <c r="S1619" t="n">
        <v>1</v>
      </c>
      <c r="T1619" t="n">
        <v>1</v>
      </c>
      <c r="U1619" t="inlineStr">
        <is>
          <t>2006-11-16</t>
        </is>
      </c>
      <c r="V1619" t="inlineStr">
        <is>
          <t>2006-11-16</t>
        </is>
      </c>
      <c r="W1619" t="inlineStr">
        <is>
          <t>2006-11-16</t>
        </is>
      </c>
      <c r="X1619" t="inlineStr">
        <is>
          <t>2006-11-16</t>
        </is>
      </c>
      <c r="Y1619" t="n">
        <v>160</v>
      </c>
      <c r="Z1619" t="n">
        <v>157</v>
      </c>
      <c r="AA1619" t="n">
        <v>163</v>
      </c>
      <c r="AB1619" t="n">
        <v>2</v>
      </c>
      <c r="AC1619" t="n">
        <v>2</v>
      </c>
      <c r="AD1619" t="n">
        <v>5</v>
      </c>
      <c r="AE1619" t="n">
        <v>5</v>
      </c>
      <c r="AF1619" t="n">
        <v>2</v>
      </c>
      <c r="AG1619" t="n">
        <v>2</v>
      </c>
      <c r="AH1619" t="n">
        <v>2</v>
      </c>
      <c r="AI1619" t="n">
        <v>2</v>
      </c>
      <c r="AJ1619" t="n">
        <v>1</v>
      </c>
      <c r="AK1619" t="n">
        <v>1</v>
      </c>
      <c r="AL1619" t="n">
        <v>0</v>
      </c>
      <c r="AM1619" t="n">
        <v>0</v>
      </c>
      <c r="AN1619" t="n">
        <v>0</v>
      </c>
      <c r="AO1619" t="n">
        <v>0</v>
      </c>
      <c r="AP1619" t="inlineStr">
        <is>
          <t>No</t>
        </is>
      </c>
      <c r="AQ1619" t="inlineStr">
        <is>
          <t>Yes</t>
        </is>
      </c>
      <c r="AR1619">
        <f>HYPERLINK("http://catalog.hathitrust.org/Record/002450437","HathiTrust Record")</f>
        <v/>
      </c>
      <c r="AS1619">
        <f>HYPERLINK("https://creighton-primo.hosted.exlibrisgroup.com/primo-explore/search?tab=default_tab&amp;search_scope=EVERYTHING&amp;vid=01CRU&amp;lang=en_US&amp;offset=0&amp;query=any,contains,991004982269702656","Catalog Record")</f>
        <v/>
      </c>
      <c r="AT1619">
        <f>HYPERLINK("http://www.worldcat.org/oclc/23017261","WorldCat Record")</f>
        <v/>
      </c>
      <c r="AU1619" t="inlineStr">
        <is>
          <t>24251711:eng</t>
        </is>
      </c>
      <c r="AV1619" t="inlineStr">
        <is>
          <t>23017261</t>
        </is>
      </c>
      <c r="AW1619" t="inlineStr">
        <is>
          <t>991004982269702656</t>
        </is>
      </c>
      <c r="AX1619" t="inlineStr">
        <is>
          <t>991004982269702656</t>
        </is>
      </c>
      <c r="AY1619" t="inlineStr">
        <is>
          <t>2266349320002656</t>
        </is>
      </c>
      <c r="AZ1619" t="inlineStr">
        <is>
          <t>BOOK</t>
        </is>
      </c>
      <c r="BB1619" t="inlineStr">
        <is>
          <t>9780895294807</t>
        </is>
      </c>
      <c r="BC1619" t="inlineStr">
        <is>
          <t>32285005260251</t>
        </is>
      </c>
      <c r="BD1619" t="inlineStr">
        <is>
          <t>893694575</t>
        </is>
      </c>
    </row>
    <row r="1620">
      <c r="A1620" t="inlineStr">
        <is>
          <t>No</t>
        </is>
      </c>
      <c r="B1620" t="inlineStr">
        <is>
          <t>GV878.5 .R3 2002</t>
        </is>
      </c>
      <c r="C1620" t="inlineStr">
        <is>
          <t>0                      GV 0878500R  3           2002</t>
        </is>
      </c>
      <c r="D1620" t="inlineStr">
        <is>
          <t>RD en Series del Caribe : anuario / Héctor J. Cruz [fundador-editor ; Aquilino Báez, estadísticas ; colaboradores, Rolín Fermín ... et al.].</t>
        </is>
      </c>
      <c r="F1620" t="inlineStr">
        <is>
          <t>No</t>
        </is>
      </c>
      <c r="G1620" t="inlineStr">
        <is>
          <t>1</t>
        </is>
      </c>
      <c r="H1620" t="inlineStr">
        <is>
          <t>No</t>
        </is>
      </c>
      <c r="I1620" t="inlineStr">
        <is>
          <t>No</t>
        </is>
      </c>
      <c r="J1620" t="inlineStr">
        <is>
          <t>0</t>
        </is>
      </c>
      <c r="L1620" t="inlineStr">
        <is>
          <t>[Santo Domingo, Dominican Republic] : CODETEL, [2002]</t>
        </is>
      </c>
      <c r="M1620" t="inlineStr">
        <is>
          <t>2002</t>
        </is>
      </c>
      <c r="N1620" t="inlineStr">
        <is>
          <t>Ed. 2002.</t>
        </is>
      </c>
      <c r="O1620" t="inlineStr">
        <is>
          <t>spa</t>
        </is>
      </c>
      <c r="P1620" t="inlineStr">
        <is>
          <t xml:space="preserve">dr </t>
        </is>
      </c>
      <c r="R1620" t="inlineStr">
        <is>
          <t xml:space="preserve">GV </t>
        </is>
      </c>
      <c r="S1620" t="n">
        <v>1</v>
      </c>
      <c r="T1620" t="n">
        <v>1</v>
      </c>
      <c r="U1620" t="inlineStr">
        <is>
          <t>2003-06-18</t>
        </is>
      </c>
      <c r="V1620" t="inlineStr">
        <is>
          <t>2003-06-18</t>
        </is>
      </c>
      <c r="W1620" t="inlineStr">
        <is>
          <t>2003-06-17</t>
        </is>
      </c>
      <c r="X1620" t="inlineStr">
        <is>
          <t>2003-06-17</t>
        </is>
      </c>
      <c r="Y1620" t="n">
        <v>4</v>
      </c>
      <c r="Z1620" t="n">
        <v>4</v>
      </c>
      <c r="AA1620" t="n">
        <v>5</v>
      </c>
      <c r="AB1620" t="n">
        <v>1</v>
      </c>
      <c r="AC1620" t="n">
        <v>1</v>
      </c>
      <c r="AD1620" t="n">
        <v>0</v>
      </c>
      <c r="AE1620" t="n">
        <v>0</v>
      </c>
      <c r="AF1620" t="n">
        <v>0</v>
      </c>
      <c r="AG1620" t="n">
        <v>0</v>
      </c>
      <c r="AH1620" t="n">
        <v>0</v>
      </c>
      <c r="AI1620" t="n">
        <v>0</v>
      </c>
      <c r="AJ1620" t="n">
        <v>0</v>
      </c>
      <c r="AK1620" t="n">
        <v>0</v>
      </c>
      <c r="AL1620" t="n">
        <v>0</v>
      </c>
      <c r="AM1620" t="n">
        <v>0</v>
      </c>
      <c r="AN1620" t="n">
        <v>0</v>
      </c>
      <c r="AO1620" t="n">
        <v>0</v>
      </c>
      <c r="AP1620" t="inlineStr">
        <is>
          <t>No</t>
        </is>
      </c>
      <c r="AQ1620" t="inlineStr">
        <is>
          <t>No</t>
        </is>
      </c>
      <c r="AS1620">
        <f>HYPERLINK("https://creighton-primo.hosted.exlibrisgroup.com/primo-explore/search?tab=default_tab&amp;search_scope=EVERYTHING&amp;vid=01CRU&amp;lang=en_US&amp;offset=0&amp;query=any,contains,991004079139702656","Catalog Record")</f>
        <v/>
      </c>
      <c r="AT1620">
        <f>HYPERLINK("http://www.worldcat.org/oclc/52098641","WorldCat Record")</f>
        <v/>
      </c>
      <c r="AU1620" t="inlineStr">
        <is>
          <t>478465727:spa</t>
        </is>
      </c>
      <c r="AV1620" t="inlineStr">
        <is>
          <t>52098641</t>
        </is>
      </c>
      <c r="AW1620" t="inlineStr">
        <is>
          <t>991004079139702656</t>
        </is>
      </c>
      <c r="AX1620" t="inlineStr">
        <is>
          <t>991004079139702656</t>
        </is>
      </c>
      <c r="AY1620" t="inlineStr">
        <is>
          <t>2257535200002656</t>
        </is>
      </c>
      <c r="AZ1620" t="inlineStr">
        <is>
          <t>BOOK</t>
        </is>
      </c>
      <c r="BC1620" t="inlineStr">
        <is>
          <t>32285004771688</t>
        </is>
      </c>
      <c r="BD1620" t="inlineStr">
        <is>
          <t>893531960</t>
        </is>
      </c>
    </row>
    <row r="1621">
      <c r="A1621" t="inlineStr">
        <is>
          <t>No</t>
        </is>
      </c>
      <c r="B1621" t="inlineStr">
        <is>
          <t>GV880 .B83 2004</t>
        </is>
      </c>
      <c r="C1621" t="inlineStr">
        <is>
          <t>0                      GV 0880000B  83          2004</t>
        </is>
      </c>
      <c r="D1621" t="inlineStr">
        <is>
          <t>The inside pitch --and more : baseball's business and the public trust / Gene A. Budig.</t>
        </is>
      </c>
      <c r="F1621" t="inlineStr">
        <is>
          <t>No</t>
        </is>
      </c>
      <c r="G1621" t="inlineStr">
        <is>
          <t>1</t>
        </is>
      </c>
      <c r="H1621" t="inlineStr">
        <is>
          <t>No</t>
        </is>
      </c>
      <c r="I1621" t="inlineStr">
        <is>
          <t>No</t>
        </is>
      </c>
      <c r="J1621" t="inlineStr">
        <is>
          <t>0</t>
        </is>
      </c>
      <c r="K1621" t="inlineStr">
        <is>
          <t>Budig, Gene A.</t>
        </is>
      </c>
      <c r="L1621" t="inlineStr">
        <is>
          <t>Morgantown : West Virginia University Press, 2004.</t>
        </is>
      </c>
      <c r="M1621" t="inlineStr">
        <is>
          <t>2004</t>
        </is>
      </c>
      <c r="O1621" t="inlineStr">
        <is>
          <t>eng</t>
        </is>
      </c>
      <c r="P1621" t="inlineStr">
        <is>
          <t>wvu</t>
        </is>
      </c>
      <c r="R1621" t="inlineStr">
        <is>
          <t xml:space="preserve">GV </t>
        </is>
      </c>
      <c r="S1621" t="n">
        <v>2</v>
      </c>
      <c r="T1621" t="n">
        <v>2</v>
      </c>
      <c r="U1621" t="inlineStr">
        <is>
          <t>2005-04-25</t>
        </is>
      </c>
      <c r="V1621" t="inlineStr">
        <is>
          <t>2005-04-25</t>
        </is>
      </c>
      <c r="W1621" t="inlineStr">
        <is>
          <t>2004-04-21</t>
        </is>
      </c>
      <c r="X1621" t="inlineStr">
        <is>
          <t>2004-04-21</t>
        </is>
      </c>
      <c r="Y1621" t="n">
        <v>622</v>
      </c>
      <c r="Z1621" t="n">
        <v>611</v>
      </c>
      <c r="AA1621" t="n">
        <v>615</v>
      </c>
      <c r="AB1621" t="n">
        <v>19</v>
      </c>
      <c r="AC1621" t="n">
        <v>19</v>
      </c>
      <c r="AD1621" t="n">
        <v>41</v>
      </c>
      <c r="AE1621" t="n">
        <v>41</v>
      </c>
      <c r="AF1621" t="n">
        <v>17</v>
      </c>
      <c r="AG1621" t="n">
        <v>17</v>
      </c>
      <c r="AH1621" t="n">
        <v>5</v>
      </c>
      <c r="AI1621" t="n">
        <v>5</v>
      </c>
      <c r="AJ1621" t="n">
        <v>12</v>
      </c>
      <c r="AK1621" t="n">
        <v>12</v>
      </c>
      <c r="AL1621" t="n">
        <v>14</v>
      </c>
      <c r="AM1621" t="n">
        <v>14</v>
      </c>
      <c r="AN1621" t="n">
        <v>0</v>
      </c>
      <c r="AO1621" t="n">
        <v>0</v>
      </c>
      <c r="AP1621" t="inlineStr">
        <is>
          <t>No</t>
        </is>
      </c>
      <c r="AQ1621" t="inlineStr">
        <is>
          <t>Yes</t>
        </is>
      </c>
      <c r="AR1621">
        <f>HYPERLINK("http://catalog.hathitrust.org/Record/004367519","HathiTrust Record")</f>
        <v/>
      </c>
      <c r="AS1621">
        <f>HYPERLINK("https://creighton-primo.hosted.exlibrisgroup.com/primo-explore/search?tab=default_tab&amp;search_scope=EVERYTHING&amp;vid=01CRU&amp;lang=en_US&amp;offset=0&amp;query=any,contains,991004286349702656","Catalog Record")</f>
        <v/>
      </c>
      <c r="AT1621">
        <f>HYPERLINK("http://www.worldcat.org/oclc/54675959","WorldCat Record")</f>
        <v/>
      </c>
      <c r="AU1621" t="inlineStr">
        <is>
          <t>249736626:eng</t>
        </is>
      </c>
      <c r="AV1621" t="inlineStr">
        <is>
          <t>54675959</t>
        </is>
      </c>
      <c r="AW1621" t="inlineStr">
        <is>
          <t>991004286349702656</t>
        </is>
      </c>
      <c r="AX1621" t="inlineStr">
        <is>
          <t>991004286349702656</t>
        </is>
      </c>
      <c r="AY1621" t="inlineStr">
        <is>
          <t>2269226650002656</t>
        </is>
      </c>
      <c r="AZ1621" t="inlineStr">
        <is>
          <t>BOOK</t>
        </is>
      </c>
      <c r="BB1621" t="inlineStr">
        <is>
          <t>9780937058855</t>
        </is>
      </c>
      <c r="BC1621" t="inlineStr">
        <is>
          <t>32285004901541</t>
        </is>
      </c>
      <c r="BD1621" t="inlineStr">
        <is>
          <t>893706188</t>
        </is>
      </c>
    </row>
    <row r="1622">
      <c r="A1622" t="inlineStr">
        <is>
          <t>No</t>
        </is>
      </c>
      <c r="B1622" t="inlineStr">
        <is>
          <t>GV880 .D53 1992</t>
        </is>
      </c>
      <c r="C1622" t="inlineStr">
        <is>
          <t>0                      GV 0880000D  53          1992</t>
        </is>
      </c>
      <c r="D1622" t="inlineStr">
        <is>
          <t>Diamonds are forever : the business of baseball / Paul M. Sommers, editor.</t>
        </is>
      </c>
      <c r="F1622" t="inlineStr">
        <is>
          <t>No</t>
        </is>
      </c>
      <c r="G1622" t="inlineStr">
        <is>
          <t>1</t>
        </is>
      </c>
      <c r="H1622" t="inlineStr">
        <is>
          <t>No</t>
        </is>
      </c>
      <c r="I1622" t="inlineStr">
        <is>
          <t>No</t>
        </is>
      </c>
      <c r="J1622" t="inlineStr">
        <is>
          <t>0</t>
        </is>
      </c>
      <c r="L1622" t="inlineStr">
        <is>
          <t>Washington, D.C. : Brookings Institution, c1992.</t>
        </is>
      </c>
      <c r="M1622" t="inlineStr">
        <is>
          <t>1992</t>
        </is>
      </c>
      <c r="O1622" t="inlineStr">
        <is>
          <t>eng</t>
        </is>
      </c>
      <c r="P1622" t="inlineStr">
        <is>
          <t>dcu</t>
        </is>
      </c>
      <c r="R1622" t="inlineStr">
        <is>
          <t xml:space="preserve">GV </t>
        </is>
      </c>
      <c r="S1622" t="n">
        <v>27</v>
      </c>
      <c r="T1622" t="n">
        <v>27</v>
      </c>
      <c r="U1622" t="inlineStr">
        <is>
          <t>2005-04-25</t>
        </is>
      </c>
      <c r="V1622" t="inlineStr">
        <is>
          <t>2005-04-25</t>
        </is>
      </c>
      <c r="W1622" t="inlineStr">
        <is>
          <t>1992-05-08</t>
        </is>
      </c>
      <c r="X1622" t="inlineStr">
        <is>
          <t>1992-05-08</t>
        </is>
      </c>
      <c r="Y1622" t="n">
        <v>587</v>
      </c>
      <c r="Z1622" t="n">
        <v>546</v>
      </c>
      <c r="AA1622" t="n">
        <v>554</v>
      </c>
      <c r="AB1622" t="n">
        <v>6</v>
      </c>
      <c r="AC1622" t="n">
        <v>6</v>
      </c>
      <c r="AD1622" t="n">
        <v>29</v>
      </c>
      <c r="AE1622" t="n">
        <v>29</v>
      </c>
      <c r="AF1622" t="n">
        <v>10</v>
      </c>
      <c r="AG1622" t="n">
        <v>10</v>
      </c>
      <c r="AH1622" t="n">
        <v>7</v>
      </c>
      <c r="AI1622" t="n">
        <v>7</v>
      </c>
      <c r="AJ1622" t="n">
        <v>15</v>
      </c>
      <c r="AK1622" t="n">
        <v>15</v>
      </c>
      <c r="AL1622" t="n">
        <v>5</v>
      </c>
      <c r="AM1622" t="n">
        <v>5</v>
      </c>
      <c r="AN1622" t="n">
        <v>2</v>
      </c>
      <c r="AO1622" t="n">
        <v>2</v>
      </c>
      <c r="AP1622" t="inlineStr">
        <is>
          <t>No</t>
        </is>
      </c>
      <c r="AQ1622" t="inlineStr">
        <is>
          <t>Yes</t>
        </is>
      </c>
      <c r="AR1622">
        <f>HYPERLINK("http://catalog.hathitrust.org/Record/002525702","HathiTrust Record")</f>
        <v/>
      </c>
      <c r="AS1622">
        <f>HYPERLINK("https://creighton-primo.hosted.exlibrisgroup.com/primo-explore/search?tab=default_tab&amp;search_scope=EVERYTHING&amp;vid=01CRU&amp;lang=en_US&amp;offset=0&amp;query=any,contains,991001980719702656","Catalog Record")</f>
        <v/>
      </c>
      <c r="AT1622">
        <f>HYPERLINK("http://www.worldcat.org/oclc/25131298","WorldCat Record")</f>
        <v/>
      </c>
      <c r="AU1622" t="inlineStr">
        <is>
          <t>43738196:eng</t>
        </is>
      </c>
      <c r="AV1622" t="inlineStr">
        <is>
          <t>25131298</t>
        </is>
      </c>
      <c r="AW1622" t="inlineStr">
        <is>
          <t>991001980719702656</t>
        </is>
      </c>
      <c r="AX1622" t="inlineStr">
        <is>
          <t>991001980719702656</t>
        </is>
      </c>
      <c r="AY1622" t="inlineStr">
        <is>
          <t>2271314510002656</t>
        </is>
      </c>
      <c r="AZ1622" t="inlineStr">
        <is>
          <t>BOOK</t>
        </is>
      </c>
      <c r="BB1622" t="inlineStr">
        <is>
          <t>9780815780427</t>
        </is>
      </c>
      <c r="BC1622" t="inlineStr">
        <is>
          <t>32285001100709</t>
        </is>
      </c>
      <c r="BD1622" t="inlineStr">
        <is>
          <t>893334793</t>
        </is>
      </c>
    </row>
    <row r="1623">
      <c r="A1623" t="inlineStr">
        <is>
          <t>No</t>
        </is>
      </c>
      <c r="B1623" t="inlineStr">
        <is>
          <t>GV880 .M57 1991</t>
        </is>
      </c>
      <c r="C1623" t="inlineStr">
        <is>
          <t>0                      GV 0880000M  57          1991</t>
        </is>
      </c>
      <c r="D1623" t="inlineStr">
        <is>
          <t>A whole different ball game : the sport and business of baseball / Marvin Miller.</t>
        </is>
      </c>
      <c r="F1623" t="inlineStr">
        <is>
          <t>No</t>
        </is>
      </c>
      <c r="G1623" t="inlineStr">
        <is>
          <t>1</t>
        </is>
      </c>
      <c r="H1623" t="inlineStr">
        <is>
          <t>No</t>
        </is>
      </c>
      <c r="I1623" t="inlineStr">
        <is>
          <t>No</t>
        </is>
      </c>
      <c r="J1623" t="inlineStr">
        <is>
          <t>0</t>
        </is>
      </c>
      <c r="K1623" t="inlineStr">
        <is>
          <t>Miller, Marvin, 1917-2012.</t>
        </is>
      </c>
      <c r="L1623" t="inlineStr">
        <is>
          <t>Secaucus, N.J. : Carol Pub. Group, c1991.</t>
        </is>
      </c>
      <c r="M1623" t="inlineStr">
        <is>
          <t>1991</t>
        </is>
      </c>
      <c r="O1623" t="inlineStr">
        <is>
          <t>eng</t>
        </is>
      </c>
      <c r="P1623" t="inlineStr">
        <is>
          <t>nju</t>
        </is>
      </c>
      <c r="R1623" t="inlineStr">
        <is>
          <t xml:space="preserve">GV </t>
        </is>
      </c>
      <c r="S1623" t="n">
        <v>5</v>
      </c>
      <c r="T1623" t="n">
        <v>5</v>
      </c>
      <c r="U1623" t="inlineStr">
        <is>
          <t>2003-12-01</t>
        </is>
      </c>
      <c r="V1623" t="inlineStr">
        <is>
          <t>2003-12-01</t>
        </is>
      </c>
      <c r="W1623" t="inlineStr">
        <is>
          <t>1994-12-28</t>
        </is>
      </c>
      <c r="X1623" t="inlineStr">
        <is>
          <t>1994-12-28</t>
        </is>
      </c>
      <c r="Y1623" t="n">
        <v>631</v>
      </c>
      <c r="Z1623" t="n">
        <v>596</v>
      </c>
      <c r="AA1623" t="n">
        <v>603</v>
      </c>
      <c r="AB1623" t="n">
        <v>2</v>
      </c>
      <c r="AC1623" t="n">
        <v>2</v>
      </c>
      <c r="AD1623" t="n">
        <v>15</v>
      </c>
      <c r="AE1623" t="n">
        <v>15</v>
      </c>
      <c r="AF1623" t="n">
        <v>5</v>
      </c>
      <c r="AG1623" t="n">
        <v>5</v>
      </c>
      <c r="AH1623" t="n">
        <v>3</v>
      </c>
      <c r="AI1623" t="n">
        <v>3</v>
      </c>
      <c r="AJ1623" t="n">
        <v>5</v>
      </c>
      <c r="AK1623" t="n">
        <v>5</v>
      </c>
      <c r="AL1623" t="n">
        <v>1</v>
      </c>
      <c r="AM1623" t="n">
        <v>1</v>
      </c>
      <c r="AN1623" t="n">
        <v>2</v>
      </c>
      <c r="AO1623" t="n">
        <v>2</v>
      </c>
      <c r="AP1623" t="inlineStr">
        <is>
          <t>No</t>
        </is>
      </c>
      <c r="AQ1623" t="inlineStr">
        <is>
          <t>Yes</t>
        </is>
      </c>
      <c r="AR1623">
        <f>HYPERLINK("http://catalog.hathitrust.org/Record/002457111","HathiTrust Record")</f>
        <v/>
      </c>
      <c r="AS1623">
        <f>HYPERLINK("https://creighton-primo.hosted.exlibrisgroup.com/primo-explore/search?tab=default_tab&amp;search_scope=EVERYTHING&amp;vid=01CRU&amp;lang=en_US&amp;offset=0&amp;query=any,contains,991001877629702656","Catalog Record")</f>
        <v/>
      </c>
      <c r="AT1623">
        <f>HYPERLINK("http://www.worldcat.org/oclc/23690875","WorldCat Record")</f>
        <v/>
      </c>
      <c r="AU1623" t="inlineStr">
        <is>
          <t>203536596:eng</t>
        </is>
      </c>
      <c r="AV1623" t="inlineStr">
        <is>
          <t>23690875</t>
        </is>
      </c>
      <c r="AW1623" t="inlineStr">
        <is>
          <t>991001877629702656</t>
        </is>
      </c>
      <c r="AX1623" t="inlineStr">
        <is>
          <t>991001877629702656</t>
        </is>
      </c>
      <c r="AY1623" t="inlineStr">
        <is>
          <t>2261184720002656</t>
        </is>
      </c>
      <c r="AZ1623" t="inlineStr">
        <is>
          <t>BOOK</t>
        </is>
      </c>
      <c r="BB1623" t="inlineStr">
        <is>
          <t>9781559720670</t>
        </is>
      </c>
      <c r="BC1623" t="inlineStr">
        <is>
          <t>32285001974087</t>
        </is>
      </c>
      <c r="BD1623" t="inlineStr">
        <is>
          <t>893709600</t>
        </is>
      </c>
    </row>
    <row r="1624">
      <c r="A1624" t="inlineStr">
        <is>
          <t>No</t>
        </is>
      </c>
      <c r="B1624" t="inlineStr">
        <is>
          <t>GV880 .S26 1993</t>
        </is>
      </c>
      <c r="C1624" t="inlineStr">
        <is>
          <t>0                      GV 0880000S  26          1993</t>
        </is>
      </c>
      <c r="D1624" t="inlineStr">
        <is>
          <t>Coming apart at the seams : how baseball owners, players, and television executives have led our national pastime to the brink of disaster / Jack Sands and Peter Gammons.</t>
        </is>
      </c>
      <c r="F1624" t="inlineStr">
        <is>
          <t>No</t>
        </is>
      </c>
      <c r="G1624" t="inlineStr">
        <is>
          <t>1</t>
        </is>
      </c>
      <c r="H1624" t="inlineStr">
        <is>
          <t>No</t>
        </is>
      </c>
      <c r="I1624" t="inlineStr">
        <is>
          <t>No</t>
        </is>
      </c>
      <c r="J1624" t="inlineStr">
        <is>
          <t>0</t>
        </is>
      </c>
      <c r="K1624" t="inlineStr">
        <is>
          <t>Sands, Jack.</t>
        </is>
      </c>
      <c r="L1624" t="inlineStr">
        <is>
          <t>New York : Macmillan ; Toronto : Maxwell Macmillan Canada ; New York : Maxwell Macmillan International, c1993.</t>
        </is>
      </c>
      <c r="M1624" t="inlineStr">
        <is>
          <t>1993</t>
        </is>
      </c>
      <c r="O1624" t="inlineStr">
        <is>
          <t>eng</t>
        </is>
      </c>
      <c r="P1624" t="inlineStr">
        <is>
          <t>nyu</t>
        </is>
      </c>
      <c r="R1624" t="inlineStr">
        <is>
          <t xml:space="preserve">GV </t>
        </is>
      </c>
      <c r="S1624" t="n">
        <v>4</v>
      </c>
      <c r="T1624" t="n">
        <v>4</v>
      </c>
      <c r="U1624" t="inlineStr">
        <is>
          <t>2005-04-25</t>
        </is>
      </c>
      <c r="V1624" t="inlineStr">
        <is>
          <t>2005-04-25</t>
        </is>
      </c>
      <c r="W1624" t="inlineStr">
        <is>
          <t>1994-12-28</t>
        </is>
      </c>
      <c r="X1624" t="inlineStr">
        <is>
          <t>1994-12-28</t>
        </is>
      </c>
      <c r="Y1624" t="n">
        <v>508</v>
      </c>
      <c r="Z1624" t="n">
        <v>489</v>
      </c>
      <c r="AA1624" t="n">
        <v>498</v>
      </c>
      <c r="AB1624" t="n">
        <v>5</v>
      </c>
      <c r="AC1624" t="n">
        <v>5</v>
      </c>
      <c r="AD1624" t="n">
        <v>13</v>
      </c>
      <c r="AE1624" t="n">
        <v>13</v>
      </c>
      <c r="AF1624" t="n">
        <v>4</v>
      </c>
      <c r="AG1624" t="n">
        <v>4</v>
      </c>
      <c r="AH1624" t="n">
        <v>2</v>
      </c>
      <c r="AI1624" t="n">
        <v>2</v>
      </c>
      <c r="AJ1624" t="n">
        <v>5</v>
      </c>
      <c r="AK1624" t="n">
        <v>5</v>
      </c>
      <c r="AL1624" t="n">
        <v>3</v>
      </c>
      <c r="AM1624" t="n">
        <v>3</v>
      </c>
      <c r="AN1624" t="n">
        <v>1</v>
      </c>
      <c r="AO1624" t="n">
        <v>1</v>
      </c>
      <c r="AP1624" t="inlineStr">
        <is>
          <t>No</t>
        </is>
      </c>
      <c r="AQ1624" t="inlineStr">
        <is>
          <t>No</t>
        </is>
      </c>
      <c r="AS1624">
        <f>HYPERLINK("https://creighton-primo.hosted.exlibrisgroup.com/primo-explore/search?tab=default_tab&amp;search_scope=EVERYTHING&amp;vid=01CRU&amp;lang=en_US&amp;offset=0&amp;query=any,contains,991002079259702656","Catalog Record")</f>
        <v/>
      </c>
      <c r="AT1624">
        <f>HYPERLINK("http://www.worldcat.org/oclc/26672162","WorldCat Record")</f>
        <v/>
      </c>
      <c r="AU1624" t="inlineStr">
        <is>
          <t>2044433704:eng</t>
        </is>
      </c>
      <c r="AV1624" t="inlineStr">
        <is>
          <t>26672162</t>
        </is>
      </c>
      <c r="AW1624" t="inlineStr">
        <is>
          <t>991002079259702656</t>
        </is>
      </c>
      <c r="AX1624" t="inlineStr">
        <is>
          <t>991002079259702656</t>
        </is>
      </c>
      <c r="AY1624" t="inlineStr">
        <is>
          <t>2268828270002656</t>
        </is>
      </c>
      <c r="AZ1624" t="inlineStr">
        <is>
          <t>BOOK</t>
        </is>
      </c>
      <c r="BB1624" t="inlineStr">
        <is>
          <t>9780025424111</t>
        </is>
      </c>
      <c r="BC1624" t="inlineStr">
        <is>
          <t>32285001974095</t>
        </is>
      </c>
      <c r="BD1624" t="inlineStr">
        <is>
          <t>893779399</t>
        </is>
      </c>
    </row>
    <row r="1625">
      <c r="A1625" t="inlineStr">
        <is>
          <t>No</t>
        </is>
      </c>
      <c r="B1625" t="inlineStr">
        <is>
          <t>GV880.4 .C69 1993</t>
        </is>
      </c>
      <c r="C1625" t="inlineStr">
        <is>
          <t>0                      GV 0880400C  69          1993</t>
        </is>
      </c>
      <c r="D1625" t="inlineStr">
        <is>
          <t>Hardball : a season in the projects / Daniel Coyle.</t>
        </is>
      </c>
      <c r="F1625" t="inlineStr">
        <is>
          <t>No</t>
        </is>
      </c>
      <c r="G1625" t="inlineStr">
        <is>
          <t>1</t>
        </is>
      </c>
      <c r="H1625" t="inlineStr">
        <is>
          <t>No</t>
        </is>
      </c>
      <c r="I1625" t="inlineStr">
        <is>
          <t>No</t>
        </is>
      </c>
      <c r="J1625" t="inlineStr">
        <is>
          <t>0</t>
        </is>
      </c>
      <c r="K1625" t="inlineStr">
        <is>
          <t>Coyle, Daniel.</t>
        </is>
      </c>
      <c r="L1625" t="inlineStr">
        <is>
          <t>New York : Putnam, c1993.</t>
        </is>
      </c>
      <c r="M1625" t="inlineStr">
        <is>
          <t>1993</t>
        </is>
      </c>
      <c r="O1625" t="inlineStr">
        <is>
          <t>eng</t>
        </is>
      </c>
      <c r="P1625" t="inlineStr">
        <is>
          <t>nyu</t>
        </is>
      </c>
      <c r="R1625" t="inlineStr">
        <is>
          <t xml:space="preserve">GV </t>
        </is>
      </c>
      <c r="S1625" t="n">
        <v>3</v>
      </c>
      <c r="T1625" t="n">
        <v>3</v>
      </c>
      <c r="U1625" t="inlineStr">
        <is>
          <t>2006-11-13</t>
        </is>
      </c>
      <c r="V1625" t="inlineStr">
        <is>
          <t>2006-11-13</t>
        </is>
      </c>
      <c r="W1625" t="inlineStr">
        <is>
          <t>2006-09-07</t>
        </is>
      </c>
      <c r="X1625" t="inlineStr">
        <is>
          <t>2006-09-07</t>
        </is>
      </c>
      <c r="Y1625" t="n">
        <v>610</v>
      </c>
      <c r="Z1625" t="n">
        <v>594</v>
      </c>
      <c r="AA1625" t="n">
        <v>615</v>
      </c>
      <c r="AB1625" t="n">
        <v>4</v>
      </c>
      <c r="AC1625" t="n">
        <v>4</v>
      </c>
      <c r="AD1625" t="n">
        <v>17</v>
      </c>
      <c r="AE1625" t="n">
        <v>17</v>
      </c>
      <c r="AF1625" t="n">
        <v>4</v>
      </c>
      <c r="AG1625" t="n">
        <v>4</v>
      </c>
      <c r="AH1625" t="n">
        <v>5</v>
      </c>
      <c r="AI1625" t="n">
        <v>5</v>
      </c>
      <c r="AJ1625" t="n">
        <v>8</v>
      </c>
      <c r="AK1625" t="n">
        <v>8</v>
      </c>
      <c r="AL1625" t="n">
        <v>3</v>
      </c>
      <c r="AM1625" t="n">
        <v>3</v>
      </c>
      <c r="AN1625" t="n">
        <v>0</v>
      </c>
      <c r="AO1625" t="n">
        <v>0</v>
      </c>
      <c r="AP1625" t="inlineStr">
        <is>
          <t>No</t>
        </is>
      </c>
      <c r="AQ1625" t="inlineStr">
        <is>
          <t>Yes</t>
        </is>
      </c>
      <c r="AR1625">
        <f>HYPERLINK("http://catalog.hathitrust.org/Record/002797978","HathiTrust Record")</f>
        <v/>
      </c>
      <c r="AS1625">
        <f>HYPERLINK("https://creighton-primo.hosted.exlibrisgroup.com/primo-explore/search?tab=default_tab&amp;search_scope=EVERYTHING&amp;vid=01CRU&amp;lang=en_US&amp;offset=0&amp;query=any,contains,991004915709702656","Catalog Record")</f>
        <v/>
      </c>
      <c r="AT1625">
        <f>HYPERLINK("http://www.worldcat.org/oclc/28498494","WorldCat Record")</f>
        <v/>
      </c>
      <c r="AU1625" t="inlineStr">
        <is>
          <t>31086080:eng</t>
        </is>
      </c>
      <c r="AV1625" t="inlineStr">
        <is>
          <t>28498494</t>
        </is>
      </c>
      <c r="AW1625" t="inlineStr">
        <is>
          <t>991004915709702656</t>
        </is>
      </c>
      <c r="AX1625" t="inlineStr">
        <is>
          <t>991004915709702656</t>
        </is>
      </c>
      <c r="AY1625" t="inlineStr">
        <is>
          <t>2265162080002656</t>
        </is>
      </c>
      <c r="AZ1625" t="inlineStr">
        <is>
          <t>BOOK</t>
        </is>
      </c>
      <c r="BB1625" t="inlineStr">
        <is>
          <t>9780399138676</t>
        </is>
      </c>
      <c r="BC1625" t="inlineStr">
        <is>
          <t>32285005222384</t>
        </is>
      </c>
      <c r="BD1625" t="inlineStr">
        <is>
          <t>893883102</t>
        </is>
      </c>
    </row>
    <row r="1626">
      <c r="A1626" t="inlineStr">
        <is>
          <t>No</t>
        </is>
      </c>
      <c r="B1626" t="inlineStr">
        <is>
          <t>GV880.5 .F56 1987</t>
        </is>
      </c>
      <c r="C1626" t="inlineStr">
        <is>
          <t>0                      GV 0880500F  56          1987</t>
        </is>
      </c>
      <c r="D1626" t="inlineStr">
        <is>
          <t>With the boys : Little League baseball and preadolescent culture / Gary Alan Fine.</t>
        </is>
      </c>
      <c r="F1626" t="inlineStr">
        <is>
          <t>No</t>
        </is>
      </c>
      <c r="G1626" t="inlineStr">
        <is>
          <t>1</t>
        </is>
      </c>
      <c r="H1626" t="inlineStr">
        <is>
          <t>No</t>
        </is>
      </c>
      <c r="I1626" t="inlineStr">
        <is>
          <t>No</t>
        </is>
      </c>
      <c r="J1626" t="inlineStr">
        <is>
          <t>0</t>
        </is>
      </c>
      <c r="K1626" t="inlineStr">
        <is>
          <t>Fine, Gary Alan.</t>
        </is>
      </c>
      <c r="L1626" t="inlineStr">
        <is>
          <t>Chicago : University of Chicago Press, c1987.</t>
        </is>
      </c>
      <c r="M1626" t="inlineStr">
        <is>
          <t>1987</t>
        </is>
      </c>
      <c r="O1626" t="inlineStr">
        <is>
          <t>eng</t>
        </is>
      </c>
      <c r="P1626" t="inlineStr">
        <is>
          <t>ilu</t>
        </is>
      </c>
      <c r="Q1626" t="inlineStr">
        <is>
          <t>A Chicago original paperback</t>
        </is>
      </c>
      <c r="R1626" t="inlineStr">
        <is>
          <t xml:space="preserve">GV </t>
        </is>
      </c>
      <c r="S1626" t="n">
        <v>10</v>
      </c>
      <c r="T1626" t="n">
        <v>10</v>
      </c>
      <c r="U1626" t="inlineStr">
        <is>
          <t>2004-11-07</t>
        </is>
      </c>
      <c r="V1626" t="inlineStr">
        <is>
          <t>2004-11-07</t>
        </is>
      </c>
      <c r="W1626" t="inlineStr">
        <is>
          <t>1990-10-24</t>
        </is>
      </c>
      <c r="X1626" t="inlineStr">
        <is>
          <t>1990-10-24</t>
        </is>
      </c>
      <c r="Y1626" t="n">
        <v>678</v>
      </c>
      <c r="Z1626" t="n">
        <v>594</v>
      </c>
      <c r="AA1626" t="n">
        <v>612</v>
      </c>
      <c r="AB1626" t="n">
        <v>3</v>
      </c>
      <c r="AC1626" t="n">
        <v>3</v>
      </c>
      <c r="AD1626" t="n">
        <v>28</v>
      </c>
      <c r="AE1626" t="n">
        <v>29</v>
      </c>
      <c r="AF1626" t="n">
        <v>10</v>
      </c>
      <c r="AG1626" t="n">
        <v>11</v>
      </c>
      <c r="AH1626" t="n">
        <v>7</v>
      </c>
      <c r="AI1626" t="n">
        <v>8</v>
      </c>
      <c r="AJ1626" t="n">
        <v>16</v>
      </c>
      <c r="AK1626" t="n">
        <v>16</v>
      </c>
      <c r="AL1626" t="n">
        <v>2</v>
      </c>
      <c r="AM1626" t="n">
        <v>2</v>
      </c>
      <c r="AN1626" t="n">
        <v>0</v>
      </c>
      <c r="AO1626" t="n">
        <v>0</v>
      </c>
      <c r="AP1626" t="inlineStr">
        <is>
          <t>No</t>
        </is>
      </c>
      <c r="AQ1626" t="inlineStr">
        <is>
          <t>No</t>
        </is>
      </c>
      <c r="AS1626">
        <f>HYPERLINK("https://creighton-primo.hosted.exlibrisgroup.com/primo-explore/search?tab=default_tab&amp;search_scope=EVERYTHING&amp;vid=01CRU&amp;lang=en_US&amp;offset=0&amp;query=any,contains,991000879969702656","Catalog Record")</f>
        <v/>
      </c>
      <c r="AT1626">
        <f>HYPERLINK("http://www.worldcat.org/oclc/13823205","WorldCat Record")</f>
        <v/>
      </c>
      <c r="AU1626" t="inlineStr">
        <is>
          <t>795400557:eng</t>
        </is>
      </c>
      <c r="AV1626" t="inlineStr">
        <is>
          <t>13823205</t>
        </is>
      </c>
      <c r="AW1626" t="inlineStr">
        <is>
          <t>991000879969702656</t>
        </is>
      </c>
      <c r="AX1626" t="inlineStr">
        <is>
          <t>991000879969702656</t>
        </is>
      </c>
      <c r="AY1626" t="inlineStr">
        <is>
          <t>2265533050002656</t>
        </is>
      </c>
      <c r="AZ1626" t="inlineStr">
        <is>
          <t>BOOK</t>
        </is>
      </c>
      <c r="BB1626" t="inlineStr">
        <is>
          <t>9780226249360</t>
        </is>
      </c>
      <c r="BC1626" t="inlineStr">
        <is>
          <t>32285000344209</t>
        </is>
      </c>
      <c r="BD1626" t="inlineStr">
        <is>
          <t>893595981</t>
        </is>
      </c>
    </row>
    <row r="1627">
      <c r="A1627" t="inlineStr">
        <is>
          <t>No</t>
        </is>
      </c>
      <c r="B1627" t="inlineStr">
        <is>
          <t>GV880.7 .G74 1993</t>
        </is>
      </c>
      <c r="C1627" t="inlineStr">
        <is>
          <t>0                      GV 0880700G  74          1993</t>
        </is>
      </c>
      <c r="D1627" t="inlineStr">
        <is>
          <t>Women at play : the story of women in baseball / Barbara Gregorich.</t>
        </is>
      </c>
      <c r="F1627" t="inlineStr">
        <is>
          <t>No</t>
        </is>
      </c>
      <c r="G1627" t="inlineStr">
        <is>
          <t>1</t>
        </is>
      </c>
      <c r="H1627" t="inlineStr">
        <is>
          <t>No</t>
        </is>
      </c>
      <c r="I1627" t="inlineStr">
        <is>
          <t>No</t>
        </is>
      </c>
      <c r="J1627" t="inlineStr">
        <is>
          <t>0</t>
        </is>
      </c>
      <c r="K1627" t="inlineStr">
        <is>
          <t>Gregorich, Barbara.</t>
        </is>
      </c>
      <c r="L1627" t="inlineStr">
        <is>
          <t>San Diego : Harcourt Brace &amp; Co., c1993.</t>
        </is>
      </c>
      <c r="M1627" t="inlineStr">
        <is>
          <t>1993</t>
        </is>
      </c>
      <c r="N1627" t="inlineStr">
        <is>
          <t>1st ed.</t>
        </is>
      </c>
      <c r="O1627" t="inlineStr">
        <is>
          <t>eng</t>
        </is>
      </c>
      <c r="P1627" t="inlineStr">
        <is>
          <t>cau</t>
        </is>
      </c>
      <c r="R1627" t="inlineStr">
        <is>
          <t xml:space="preserve">GV </t>
        </is>
      </c>
      <c r="S1627" t="n">
        <v>1</v>
      </c>
      <c r="T1627" t="n">
        <v>1</v>
      </c>
      <c r="U1627" t="inlineStr">
        <is>
          <t>2006-11-20</t>
        </is>
      </c>
      <c r="V1627" t="inlineStr">
        <is>
          <t>2006-11-20</t>
        </is>
      </c>
      <c r="W1627" t="inlineStr">
        <is>
          <t>2006-11-20</t>
        </is>
      </c>
      <c r="X1627" t="inlineStr">
        <is>
          <t>2006-11-20</t>
        </is>
      </c>
      <c r="Y1627" t="n">
        <v>743</v>
      </c>
      <c r="Z1627" t="n">
        <v>705</v>
      </c>
      <c r="AA1627" t="n">
        <v>714</v>
      </c>
      <c r="AB1627" t="n">
        <v>13</v>
      </c>
      <c r="AC1627" t="n">
        <v>13</v>
      </c>
      <c r="AD1627" t="n">
        <v>23</v>
      </c>
      <c r="AE1627" t="n">
        <v>23</v>
      </c>
      <c r="AF1627" t="n">
        <v>10</v>
      </c>
      <c r="AG1627" t="n">
        <v>10</v>
      </c>
      <c r="AH1627" t="n">
        <v>3</v>
      </c>
      <c r="AI1627" t="n">
        <v>3</v>
      </c>
      <c r="AJ1627" t="n">
        <v>7</v>
      </c>
      <c r="AK1627" t="n">
        <v>7</v>
      </c>
      <c r="AL1627" t="n">
        <v>7</v>
      </c>
      <c r="AM1627" t="n">
        <v>7</v>
      </c>
      <c r="AN1627" t="n">
        <v>0</v>
      </c>
      <c r="AO1627" t="n">
        <v>0</v>
      </c>
      <c r="AP1627" t="inlineStr">
        <is>
          <t>No</t>
        </is>
      </c>
      <c r="AQ1627" t="inlineStr">
        <is>
          <t>Yes</t>
        </is>
      </c>
      <c r="AR1627">
        <f>HYPERLINK("http://catalog.hathitrust.org/Record/002620251","HathiTrust Record")</f>
        <v/>
      </c>
      <c r="AS1627">
        <f>HYPERLINK("https://creighton-primo.hosted.exlibrisgroup.com/primo-explore/search?tab=default_tab&amp;search_scope=EVERYTHING&amp;vid=01CRU&amp;lang=en_US&amp;offset=0&amp;query=any,contains,991004985979702656","Catalog Record")</f>
        <v/>
      </c>
      <c r="AT1627">
        <f>HYPERLINK("http://www.worldcat.org/oclc/27430189","WorldCat Record")</f>
        <v/>
      </c>
      <c r="AU1627" t="inlineStr">
        <is>
          <t>327687:eng</t>
        </is>
      </c>
      <c r="AV1627" t="inlineStr">
        <is>
          <t>27430189</t>
        </is>
      </c>
      <c r="AW1627" t="inlineStr">
        <is>
          <t>991004985979702656</t>
        </is>
      </c>
      <c r="AX1627" t="inlineStr">
        <is>
          <t>991004985979702656</t>
        </is>
      </c>
      <c r="AY1627" t="inlineStr">
        <is>
          <t>2265968020002656</t>
        </is>
      </c>
      <c r="AZ1627" t="inlineStr">
        <is>
          <t>BOOK</t>
        </is>
      </c>
      <c r="BB1627" t="inlineStr">
        <is>
          <t>9780156982979</t>
        </is>
      </c>
      <c r="BC1627" t="inlineStr">
        <is>
          <t>32285005260459</t>
        </is>
      </c>
      <c r="BD1627" t="inlineStr">
        <is>
          <t>893707082</t>
        </is>
      </c>
    </row>
    <row r="1628">
      <c r="A1628" t="inlineStr">
        <is>
          <t>No</t>
        </is>
      </c>
      <c r="B1628" t="inlineStr">
        <is>
          <t>GV881 .I8 1985</t>
        </is>
      </c>
      <c r="C1628" t="inlineStr">
        <is>
          <t>0                      GV 0881000I  8           1985</t>
        </is>
      </c>
      <c r="D1628" t="inlineStr">
        <is>
          <t>The strategy of pitching slow pitch softball / by Michael Ivankovich.</t>
        </is>
      </c>
      <c r="F1628" t="inlineStr">
        <is>
          <t>No</t>
        </is>
      </c>
      <c r="G1628" t="inlineStr">
        <is>
          <t>1</t>
        </is>
      </c>
      <c r="H1628" t="inlineStr">
        <is>
          <t>No</t>
        </is>
      </c>
      <c r="I1628" t="inlineStr">
        <is>
          <t>No</t>
        </is>
      </c>
      <c r="J1628" t="inlineStr">
        <is>
          <t>0</t>
        </is>
      </c>
      <c r="K1628" t="inlineStr">
        <is>
          <t>Ivankovich, Michael.</t>
        </is>
      </c>
      <c r="L1628" t="inlineStr">
        <is>
          <t>Maple Glen, PA : Michael Ivankovich Softball, 1985.</t>
        </is>
      </c>
      <c r="M1628" t="inlineStr">
        <is>
          <t>1985</t>
        </is>
      </c>
      <c r="N1628" t="inlineStr">
        <is>
          <t>1st ed.</t>
        </is>
      </c>
      <c r="O1628" t="inlineStr">
        <is>
          <t>eng</t>
        </is>
      </c>
      <c r="P1628" t="inlineStr">
        <is>
          <t>pau</t>
        </is>
      </c>
      <c r="R1628" t="inlineStr">
        <is>
          <t xml:space="preserve">GV </t>
        </is>
      </c>
      <c r="S1628" t="n">
        <v>3</v>
      </c>
      <c r="T1628" t="n">
        <v>3</v>
      </c>
      <c r="U1628" t="inlineStr">
        <is>
          <t>1995-02-19</t>
        </is>
      </c>
      <c r="V1628" t="inlineStr">
        <is>
          <t>1995-02-19</t>
        </is>
      </c>
      <c r="W1628" t="inlineStr">
        <is>
          <t>1990-10-24</t>
        </is>
      </c>
      <c r="X1628" t="inlineStr">
        <is>
          <t>1990-10-24</t>
        </is>
      </c>
      <c r="Y1628" t="n">
        <v>106</v>
      </c>
      <c r="Z1628" t="n">
        <v>102</v>
      </c>
      <c r="AA1628" t="n">
        <v>209</v>
      </c>
      <c r="AB1628" t="n">
        <v>3</v>
      </c>
      <c r="AC1628" t="n">
        <v>3</v>
      </c>
      <c r="AD1628" t="n">
        <v>1</v>
      </c>
      <c r="AE1628" t="n">
        <v>1</v>
      </c>
      <c r="AF1628" t="n">
        <v>0</v>
      </c>
      <c r="AG1628" t="n">
        <v>0</v>
      </c>
      <c r="AH1628" t="n">
        <v>0</v>
      </c>
      <c r="AI1628" t="n">
        <v>0</v>
      </c>
      <c r="AJ1628" t="n">
        <v>0</v>
      </c>
      <c r="AK1628" t="n">
        <v>0</v>
      </c>
      <c r="AL1628" t="n">
        <v>1</v>
      </c>
      <c r="AM1628" t="n">
        <v>1</v>
      </c>
      <c r="AN1628" t="n">
        <v>0</v>
      </c>
      <c r="AO1628" t="n">
        <v>0</v>
      </c>
      <c r="AP1628" t="inlineStr">
        <is>
          <t>No</t>
        </is>
      </c>
      <c r="AQ1628" t="inlineStr">
        <is>
          <t>Yes</t>
        </is>
      </c>
      <c r="AR1628">
        <f>HYPERLINK("http://catalog.hathitrust.org/Record/004382037","HathiTrust Record")</f>
        <v/>
      </c>
      <c r="AS1628">
        <f>HYPERLINK("https://creighton-primo.hosted.exlibrisgroup.com/primo-explore/search?tab=default_tab&amp;search_scope=EVERYTHING&amp;vid=01CRU&amp;lang=en_US&amp;offset=0&amp;query=any,contains,991000672889702656","Catalog Record")</f>
        <v/>
      </c>
      <c r="AT1628">
        <f>HYPERLINK("http://www.worldcat.org/oclc/12335024","WorldCat Record")</f>
        <v/>
      </c>
      <c r="AU1628" t="inlineStr">
        <is>
          <t>5188742:eng</t>
        </is>
      </c>
      <c r="AV1628" t="inlineStr">
        <is>
          <t>12335024</t>
        </is>
      </c>
      <c r="AW1628" t="inlineStr">
        <is>
          <t>991000672889702656</t>
        </is>
      </c>
      <c r="AX1628" t="inlineStr">
        <is>
          <t>991000672889702656</t>
        </is>
      </c>
      <c r="AY1628" t="inlineStr">
        <is>
          <t>2264567580002656</t>
        </is>
      </c>
      <c r="AZ1628" t="inlineStr">
        <is>
          <t>BOOK</t>
        </is>
      </c>
      <c r="BC1628" t="inlineStr">
        <is>
          <t>32285000344217</t>
        </is>
      </c>
      <c r="BD1628" t="inlineStr">
        <is>
          <t>893696041</t>
        </is>
      </c>
    </row>
    <row r="1629">
      <c r="A1629" t="inlineStr">
        <is>
          <t>No</t>
        </is>
      </c>
      <c r="B1629" t="inlineStr">
        <is>
          <t>GV883 .A73 2005</t>
        </is>
      </c>
      <c r="C1629" t="inlineStr">
        <is>
          <t>0                      GV 0883000A  73          2005</t>
        </is>
      </c>
      <c r="D1629" t="inlineStr">
        <is>
          <t>Crashing the borders : how basketball won the world and lost its soul at home / Harvey Araton.</t>
        </is>
      </c>
      <c r="F1629" t="inlineStr">
        <is>
          <t>No</t>
        </is>
      </c>
      <c r="G1629" t="inlineStr">
        <is>
          <t>1</t>
        </is>
      </c>
      <c r="H1629" t="inlineStr">
        <is>
          <t>No</t>
        </is>
      </c>
      <c r="I1629" t="inlineStr">
        <is>
          <t>No</t>
        </is>
      </c>
      <c r="J1629" t="inlineStr">
        <is>
          <t>0</t>
        </is>
      </c>
      <c r="K1629" t="inlineStr">
        <is>
          <t>Araton, Harvey.</t>
        </is>
      </c>
      <c r="L1629" t="inlineStr">
        <is>
          <t>New York : Free Press, c2005.</t>
        </is>
      </c>
      <c r="M1629" t="inlineStr">
        <is>
          <t>2005</t>
        </is>
      </c>
      <c r="O1629" t="inlineStr">
        <is>
          <t>eng</t>
        </is>
      </c>
      <c r="P1629" t="inlineStr">
        <is>
          <t>nyu</t>
        </is>
      </c>
      <c r="R1629" t="inlineStr">
        <is>
          <t xml:space="preserve">GV </t>
        </is>
      </c>
      <c r="S1629" t="n">
        <v>1</v>
      </c>
      <c r="T1629" t="n">
        <v>1</v>
      </c>
      <c r="U1629" t="inlineStr">
        <is>
          <t>2005-12-01</t>
        </is>
      </c>
      <c r="V1629" t="inlineStr">
        <is>
          <t>2005-12-01</t>
        </is>
      </c>
      <c r="W1629" t="inlineStr">
        <is>
          <t>2005-12-01</t>
        </is>
      </c>
      <c r="X1629" t="inlineStr">
        <is>
          <t>2005-12-01</t>
        </is>
      </c>
      <c r="Y1629" t="n">
        <v>412</v>
      </c>
      <c r="Z1629" t="n">
        <v>396</v>
      </c>
      <c r="AA1629" t="n">
        <v>414</v>
      </c>
      <c r="AB1629" t="n">
        <v>1</v>
      </c>
      <c r="AC1629" t="n">
        <v>1</v>
      </c>
      <c r="AD1629" t="n">
        <v>9</v>
      </c>
      <c r="AE1629" t="n">
        <v>9</v>
      </c>
      <c r="AF1629" t="n">
        <v>5</v>
      </c>
      <c r="AG1629" t="n">
        <v>5</v>
      </c>
      <c r="AH1629" t="n">
        <v>1</v>
      </c>
      <c r="AI1629" t="n">
        <v>1</v>
      </c>
      <c r="AJ1629" t="n">
        <v>6</v>
      </c>
      <c r="AK1629" t="n">
        <v>6</v>
      </c>
      <c r="AL1629" t="n">
        <v>0</v>
      </c>
      <c r="AM1629" t="n">
        <v>0</v>
      </c>
      <c r="AN1629" t="n">
        <v>0</v>
      </c>
      <c r="AO1629" t="n">
        <v>0</v>
      </c>
      <c r="AP1629" t="inlineStr">
        <is>
          <t>No</t>
        </is>
      </c>
      <c r="AQ1629" t="inlineStr">
        <is>
          <t>Yes</t>
        </is>
      </c>
      <c r="AR1629">
        <f>HYPERLINK("http://catalog.hathitrust.org/Record/005545424","HathiTrust Record")</f>
        <v/>
      </c>
      <c r="AS1629">
        <f>HYPERLINK("https://creighton-primo.hosted.exlibrisgroup.com/primo-explore/search?tab=default_tab&amp;search_scope=EVERYTHING&amp;vid=01CRU&amp;lang=en_US&amp;offset=0&amp;query=any,contains,991004693599702656","Catalog Record")</f>
        <v/>
      </c>
      <c r="AT1629">
        <f>HYPERLINK("http://www.worldcat.org/oclc/61247329","WorldCat Record")</f>
        <v/>
      </c>
      <c r="AU1629" t="inlineStr">
        <is>
          <t>2463794:eng</t>
        </is>
      </c>
      <c r="AV1629" t="inlineStr">
        <is>
          <t>61247329</t>
        </is>
      </c>
      <c r="AW1629" t="inlineStr">
        <is>
          <t>991004693599702656</t>
        </is>
      </c>
      <c r="AX1629" t="inlineStr">
        <is>
          <t>991004693599702656</t>
        </is>
      </c>
      <c r="AY1629" t="inlineStr">
        <is>
          <t>2255293020002656</t>
        </is>
      </c>
      <c r="AZ1629" t="inlineStr">
        <is>
          <t>BOOK</t>
        </is>
      </c>
      <c r="BB1629" t="inlineStr">
        <is>
          <t>9780743280693</t>
        </is>
      </c>
      <c r="BC1629" t="inlineStr">
        <is>
          <t>32285005150676</t>
        </is>
      </c>
      <c r="BD1629" t="inlineStr">
        <is>
          <t>893624977</t>
        </is>
      </c>
    </row>
    <row r="1630">
      <c r="A1630" t="inlineStr">
        <is>
          <t>No</t>
        </is>
      </c>
      <c r="B1630" t="inlineStr">
        <is>
          <t>GV884.A1 J66 1996</t>
        </is>
      </c>
      <c r="C1630" t="inlineStr">
        <is>
          <t>0                      GV 0884000A  1                  J  66          1996</t>
        </is>
      </c>
      <c r="D1630" t="inlineStr">
        <is>
          <t>Hoop dreams : a true story of hardship and triumph / Ben Joravsky ; introduction by Charles Barkley.</t>
        </is>
      </c>
      <c r="F1630" t="inlineStr">
        <is>
          <t>No</t>
        </is>
      </c>
      <c r="G1630" t="inlineStr">
        <is>
          <t>1</t>
        </is>
      </c>
      <c r="H1630" t="inlineStr">
        <is>
          <t>No</t>
        </is>
      </c>
      <c r="I1630" t="inlineStr">
        <is>
          <t>No</t>
        </is>
      </c>
      <c r="J1630" t="inlineStr">
        <is>
          <t>0</t>
        </is>
      </c>
      <c r="K1630" t="inlineStr">
        <is>
          <t>Joravsky, Ben.</t>
        </is>
      </c>
      <c r="L1630" t="inlineStr">
        <is>
          <t>New York : HarperCollins, 1996.</t>
        </is>
      </c>
      <c r="M1630" t="inlineStr">
        <is>
          <t>1996</t>
        </is>
      </c>
      <c r="N1630" t="inlineStr">
        <is>
          <t>1st HarperPerennial ed.</t>
        </is>
      </c>
      <c r="O1630" t="inlineStr">
        <is>
          <t>eng</t>
        </is>
      </c>
      <c r="P1630" t="inlineStr">
        <is>
          <t>nyu</t>
        </is>
      </c>
      <c r="R1630" t="inlineStr">
        <is>
          <t xml:space="preserve">GV </t>
        </is>
      </c>
      <c r="S1630" t="n">
        <v>3</v>
      </c>
      <c r="T1630" t="n">
        <v>3</v>
      </c>
      <c r="U1630" t="inlineStr">
        <is>
          <t>2001-06-11</t>
        </is>
      </c>
      <c r="V1630" t="inlineStr">
        <is>
          <t>2001-06-11</t>
        </is>
      </c>
      <c r="W1630" t="inlineStr">
        <is>
          <t>1998-06-10</t>
        </is>
      </c>
      <c r="X1630" t="inlineStr">
        <is>
          <t>1998-06-10</t>
        </is>
      </c>
      <c r="Y1630" t="n">
        <v>395</v>
      </c>
      <c r="Z1630" t="n">
        <v>378</v>
      </c>
      <c r="AA1630" t="n">
        <v>1083</v>
      </c>
      <c r="AB1630" t="n">
        <v>3</v>
      </c>
      <c r="AC1630" t="n">
        <v>9</v>
      </c>
      <c r="AD1630" t="n">
        <v>5</v>
      </c>
      <c r="AE1630" t="n">
        <v>16</v>
      </c>
      <c r="AF1630" t="n">
        <v>3</v>
      </c>
      <c r="AG1630" t="n">
        <v>8</v>
      </c>
      <c r="AH1630" t="n">
        <v>0</v>
      </c>
      <c r="AI1630" t="n">
        <v>2</v>
      </c>
      <c r="AJ1630" t="n">
        <v>2</v>
      </c>
      <c r="AK1630" t="n">
        <v>7</v>
      </c>
      <c r="AL1630" t="n">
        <v>0</v>
      </c>
      <c r="AM1630" t="n">
        <v>1</v>
      </c>
      <c r="AN1630" t="n">
        <v>0</v>
      </c>
      <c r="AO1630" t="n">
        <v>0</v>
      </c>
      <c r="AP1630" t="inlineStr">
        <is>
          <t>No</t>
        </is>
      </c>
      <c r="AQ1630" t="inlineStr">
        <is>
          <t>No</t>
        </is>
      </c>
      <c r="AS1630">
        <f>HYPERLINK("https://creighton-primo.hosted.exlibrisgroup.com/primo-explore/search?tab=default_tab&amp;search_scope=EVERYTHING&amp;vid=01CRU&amp;lang=en_US&amp;offset=0&amp;query=any,contains,991002573129702656","Catalog Record")</f>
        <v/>
      </c>
      <c r="AT1630">
        <f>HYPERLINK("http://www.worldcat.org/oclc/33440447","WorldCat Record")</f>
        <v/>
      </c>
      <c r="AU1630" t="inlineStr">
        <is>
          <t>980027:eng</t>
        </is>
      </c>
      <c r="AV1630" t="inlineStr">
        <is>
          <t>33440447</t>
        </is>
      </c>
      <c r="AW1630" t="inlineStr">
        <is>
          <t>991002573129702656</t>
        </is>
      </c>
      <c r="AX1630" t="inlineStr">
        <is>
          <t>991002573129702656</t>
        </is>
      </c>
      <c r="AY1630" t="inlineStr">
        <is>
          <t>2266060530002656</t>
        </is>
      </c>
      <c r="AZ1630" t="inlineStr">
        <is>
          <t>BOOK</t>
        </is>
      </c>
      <c r="BB1630" t="inlineStr">
        <is>
          <t>9780060976897</t>
        </is>
      </c>
      <c r="BC1630" t="inlineStr">
        <is>
          <t>32285003414421</t>
        </is>
      </c>
      <c r="BD1630" t="inlineStr">
        <is>
          <t>893262358</t>
        </is>
      </c>
    </row>
    <row r="1631">
      <c r="A1631" t="inlineStr">
        <is>
          <t>No</t>
        </is>
      </c>
      <c r="B1631" t="inlineStr">
        <is>
          <t>GV884.A1 S25 1987</t>
        </is>
      </c>
      <c r="C1631" t="inlineStr">
        <is>
          <t>0                      GV 0884000A  1                  S  25          1987</t>
        </is>
      </c>
      <c r="D1631" t="inlineStr">
        <is>
          <t>From set shot to slam dunk : the glory days of basketball in the words of those who played it / Charles Salzberg.</t>
        </is>
      </c>
      <c r="F1631" t="inlineStr">
        <is>
          <t>No</t>
        </is>
      </c>
      <c r="G1631" t="inlineStr">
        <is>
          <t>1</t>
        </is>
      </c>
      <c r="H1631" t="inlineStr">
        <is>
          <t>No</t>
        </is>
      </c>
      <c r="I1631" t="inlineStr">
        <is>
          <t>No</t>
        </is>
      </c>
      <c r="J1631" t="inlineStr">
        <is>
          <t>0</t>
        </is>
      </c>
      <c r="K1631" t="inlineStr">
        <is>
          <t>Salzberg, Charles.</t>
        </is>
      </c>
      <c r="L1631" t="inlineStr">
        <is>
          <t>New York : E.P. Dutton, c1987.</t>
        </is>
      </c>
      <c r="M1631" t="inlineStr">
        <is>
          <t>1987</t>
        </is>
      </c>
      <c r="N1631" t="inlineStr">
        <is>
          <t>1st ed.</t>
        </is>
      </c>
      <c r="O1631" t="inlineStr">
        <is>
          <t>eng</t>
        </is>
      </c>
      <c r="P1631" t="inlineStr">
        <is>
          <t>nyu</t>
        </is>
      </c>
      <c r="R1631" t="inlineStr">
        <is>
          <t xml:space="preserve">GV </t>
        </is>
      </c>
      <c r="S1631" t="n">
        <v>1</v>
      </c>
      <c r="T1631" t="n">
        <v>1</v>
      </c>
      <c r="U1631" t="inlineStr">
        <is>
          <t>2006-09-19</t>
        </is>
      </c>
      <c r="V1631" t="inlineStr">
        <is>
          <t>2006-09-19</t>
        </is>
      </c>
      <c r="W1631" t="inlineStr">
        <is>
          <t>2006-09-19</t>
        </is>
      </c>
      <c r="X1631" t="inlineStr">
        <is>
          <t>2006-09-19</t>
        </is>
      </c>
      <c r="Y1631" t="n">
        <v>308</v>
      </c>
      <c r="Z1631" t="n">
        <v>304</v>
      </c>
      <c r="AA1631" t="n">
        <v>355</v>
      </c>
      <c r="AB1631" t="n">
        <v>2</v>
      </c>
      <c r="AC1631" t="n">
        <v>4</v>
      </c>
      <c r="AD1631" t="n">
        <v>5</v>
      </c>
      <c r="AE1631" t="n">
        <v>7</v>
      </c>
      <c r="AF1631" t="n">
        <v>2</v>
      </c>
      <c r="AG1631" t="n">
        <v>2</v>
      </c>
      <c r="AH1631" t="n">
        <v>1</v>
      </c>
      <c r="AI1631" t="n">
        <v>1</v>
      </c>
      <c r="AJ1631" t="n">
        <v>3</v>
      </c>
      <c r="AK1631" t="n">
        <v>3</v>
      </c>
      <c r="AL1631" t="n">
        <v>0</v>
      </c>
      <c r="AM1631" t="n">
        <v>2</v>
      </c>
      <c r="AN1631" t="n">
        <v>0</v>
      </c>
      <c r="AO1631" t="n">
        <v>0</v>
      </c>
      <c r="AP1631" t="inlineStr">
        <is>
          <t>No</t>
        </is>
      </c>
      <c r="AQ1631" t="inlineStr">
        <is>
          <t>Yes</t>
        </is>
      </c>
      <c r="AR1631">
        <f>HYPERLINK("http://catalog.hathitrust.org/Record/009919538","HathiTrust Record")</f>
        <v/>
      </c>
      <c r="AS1631">
        <f>HYPERLINK("https://creighton-primo.hosted.exlibrisgroup.com/primo-explore/search?tab=default_tab&amp;search_scope=EVERYTHING&amp;vid=01CRU&amp;lang=en_US&amp;offset=0&amp;query=any,contains,991004923349702656","Catalog Record")</f>
        <v/>
      </c>
      <c r="AT1631">
        <f>HYPERLINK("http://www.worldcat.org/oclc/15221092","WorldCat Record")</f>
        <v/>
      </c>
      <c r="AU1631" t="inlineStr">
        <is>
          <t>612191:eng</t>
        </is>
      </c>
      <c r="AV1631" t="inlineStr">
        <is>
          <t>15221092</t>
        </is>
      </c>
      <c r="AW1631" t="inlineStr">
        <is>
          <t>991004923349702656</t>
        </is>
      </c>
      <c r="AX1631" t="inlineStr">
        <is>
          <t>991004923349702656</t>
        </is>
      </c>
      <c r="AY1631" t="inlineStr">
        <is>
          <t>2262891150002656</t>
        </is>
      </c>
      <c r="AZ1631" t="inlineStr">
        <is>
          <t>BOOK</t>
        </is>
      </c>
      <c r="BB1631" t="inlineStr">
        <is>
          <t>9780525245551</t>
        </is>
      </c>
      <c r="BC1631" t="inlineStr">
        <is>
          <t>32285005224075</t>
        </is>
      </c>
      <c r="BD1631" t="inlineStr">
        <is>
          <t>893230004</t>
        </is>
      </c>
    </row>
    <row r="1632">
      <c r="A1632" t="inlineStr">
        <is>
          <t>No</t>
        </is>
      </c>
      <c r="B1632" t="inlineStr">
        <is>
          <t>GV884.A1 T39 2005</t>
        </is>
      </c>
      <c r="C1632" t="inlineStr">
        <is>
          <t>0                      GV 0884000A  1                  T  39          2005</t>
        </is>
      </c>
      <c r="D1632" t="inlineStr">
        <is>
          <t>The rivalry : Bill Russell, Wilt Chamberlain, and the golden age of basketball / John Taylor.</t>
        </is>
      </c>
      <c r="F1632" t="inlineStr">
        <is>
          <t>No</t>
        </is>
      </c>
      <c r="G1632" t="inlineStr">
        <is>
          <t>1</t>
        </is>
      </c>
      <c r="H1632" t="inlineStr">
        <is>
          <t>No</t>
        </is>
      </c>
      <c r="I1632" t="inlineStr">
        <is>
          <t>No</t>
        </is>
      </c>
      <c r="J1632" t="inlineStr">
        <is>
          <t>0</t>
        </is>
      </c>
      <c r="K1632" t="inlineStr">
        <is>
          <t>Taylor, John, 1955-</t>
        </is>
      </c>
      <c r="L1632" t="inlineStr">
        <is>
          <t>New York : Random House, c2005.</t>
        </is>
      </c>
      <c r="M1632" t="inlineStr">
        <is>
          <t>2005</t>
        </is>
      </c>
      <c r="N1632" t="inlineStr">
        <is>
          <t>1st ed.</t>
        </is>
      </c>
      <c r="O1632" t="inlineStr">
        <is>
          <t>eng</t>
        </is>
      </c>
      <c r="P1632" t="inlineStr">
        <is>
          <t>nyu</t>
        </is>
      </c>
      <c r="R1632" t="inlineStr">
        <is>
          <t xml:space="preserve">GV </t>
        </is>
      </c>
      <c r="S1632" t="n">
        <v>5</v>
      </c>
      <c r="T1632" t="n">
        <v>5</v>
      </c>
      <c r="U1632" t="inlineStr">
        <is>
          <t>2009-06-23</t>
        </is>
      </c>
      <c r="V1632" t="inlineStr">
        <is>
          <t>2009-06-23</t>
        </is>
      </c>
      <c r="W1632" t="inlineStr">
        <is>
          <t>2005-11-08</t>
        </is>
      </c>
      <c r="X1632" t="inlineStr">
        <is>
          <t>2005-11-08</t>
        </is>
      </c>
      <c r="Y1632" t="n">
        <v>776</v>
      </c>
      <c r="Z1632" t="n">
        <v>762</v>
      </c>
      <c r="AA1632" t="n">
        <v>847</v>
      </c>
      <c r="AB1632" t="n">
        <v>7</v>
      </c>
      <c r="AC1632" t="n">
        <v>8</v>
      </c>
      <c r="AD1632" t="n">
        <v>10</v>
      </c>
      <c r="AE1632" t="n">
        <v>11</v>
      </c>
      <c r="AF1632" t="n">
        <v>4</v>
      </c>
      <c r="AG1632" t="n">
        <v>5</v>
      </c>
      <c r="AH1632" t="n">
        <v>2</v>
      </c>
      <c r="AI1632" t="n">
        <v>2</v>
      </c>
      <c r="AJ1632" t="n">
        <v>3</v>
      </c>
      <c r="AK1632" t="n">
        <v>3</v>
      </c>
      <c r="AL1632" t="n">
        <v>3</v>
      </c>
      <c r="AM1632" t="n">
        <v>3</v>
      </c>
      <c r="AN1632" t="n">
        <v>0</v>
      </c>
      <c r="AO1632" t="n">
        <v>0</v>
      </c>
      <c r="AP1632" t="inlineStr">
        <is>
          <t>No</t>
        </is>
      </c>
      <c r="AQ1632" t="inlineStr">
        <is>
          <t>Yes</t>
        </is>
      </c>
      <c r="AR1632">
        <f>HYPERLINK("http://catalog.hathitrust.org/Record/005089076","HathiTrust Record")</f>
        <v/>
      </c>
      <c r="AS1632">
        <f>HYPERLINK("https://creighton-primo.hosted.exlibrisgroup.com/primo-explore/search?tab=default_tab&amp;search_scope=EVERYTHING&amp;vid=01CRU&amp;lang=en_US&amp;offset=0&amp;query=any,contains,991004655679702656","Catalog Record")</f>
        <v/>
      </c>
      <c r="AT1632">
        <f>HYPERLINK("http://www.worldcat.org/oclc/57652229","WorldCat Record")</f>
        <v/>
      </c>
      <c r="AU1632" t="inlineStr">
        <is>
          <t>889344651:eng</t>
        </is>
      </c>
      <c r="AV1632" t="inlineStr">
        <is>
          <t>57652229</t>
        </is>
      </c>
      <c r="AW1632" t="inlineStr">
        <is>
          <t>991004655679702656</t>
        </is>
      </c>
      <c r="AX1632" t="inlineStr">
        <is>
          <t>991004655679702656</t>
        </is>
      </c>
      <c r="AY1632" t="inlineStr">
        <is>
          <t>2255342730002656</t>
        </is>
      </c>
      <c r="AZ1632" t="inlineStr">
        <is>
          <t>BOOK</t>
        </is>
      </c>
      <c r="BB1632" t="inlineStr">
        <is>
          <t>9781400061143</t>
        </is>
      </c>
      <c r="BC1632" t="inlineStr">
        <is>
          <t>32285005145486</t>
        </is>
      </c>
      <c r="BD1632" t="inlineStr">
        <is>
          <t>893253955</t>
        </is>
      </c>
    </row>
    <row r="1633">
      <c r="A1633" t="inlineStr">
        <is>
          <t>No</t>
        </is>
      </c>
      <c r="B1633" t="inlineStr">
        <is>
          <t>GV884.A24 A32 2007</t>
        </is>
      </c>
      <c r="C1633" t="inlineStr">
        <is>
          <t>0                      GV 0884000A  24                 A  32          2007</t>
        </is>
      </c>
      <c r="D1633" t="inlineStr">
        <is>
          <t>On the shoulders of giants : my journey through the Harlem Renaissance / Kareem Abdul-Jabbar with Raymond Obstfeld.</t>
        </is>
      </c>
      <c r="F1633" t="inlineStr">
        <is>
          <t>No</t>
        </is>
      </c>
      <c r="G1633" t="inlineStr">
        <is>
          <t>1</t>
        </is>
      </c>
      <c r="H1633" t="inlineStr">
        <is>
          <t>No</t>
        </is>
      </c>
      <c r="I1633" t="inlineStr">
        <is>
          <t>No</t>
        </is>
      </c>
      <c r="J1633" t="inlineStr">
        <is>
          <t>0</t>
        </is>
      </c>
      <c r="K1633" t="inlineStr">
        <is>
          <t>Abdul-Jabbar, Kareem, 1947-</t>
        </is>
      </c>
      <c r="L1633" t="inlineStr">
        <is>
          <t>New York : Simon &amp; Schuster, 2007.</t>
        </is>
      </c>
      <c r="M1633" t="inlineStr">
        <is>
          <t>2007</t>
        </is>
      </c>
      <c r="O1633" t="inlineStr">
        <is>
          <t>eng</t>
        </is>
      </c>
      <c r="P1633" t="inlineStr">
        <is>
          <t>nyu</t>
        </is>
      </c>
      <c r="R1633" t="inlineStr">
        <is>
          <t xml:space="preserve">GV </t>
        </is>
      </c>
      <c r="S1633" t="n">
        <v>1</v>
      </c>
      <c r="T1633" t="n">
        <v>1</v>
      </c>
      <c r="U1633" t="inlineStr">
        <is>
          <t>2007-05-22</t>
        </is>
      </c>
      <c r="V1633" t="inlineStr">
        <is>
          <t>2007-05-22</t>
        </is>
      </c>
      <c r="W1633" t="inlineStr">
        <is>
          <t>2007-05-22</t>
        </is>
      </c>
      <c r="X1633" t="inlineStr">
        <is>
          <t>2007-05-22</t>
        </is>
      </c>
      <c r="Y1633" t="n">
        <v>1167</v>
      </c>
      <c r="Z1633" t="n">
        <v>1139</v>
      </c>
      <c r="AA1633" t="n">
        <v>1220</v>
      </c>
      <c r="AB1633" t="n">
        <v>13</v>
      </c>
      <c r="AC1633" t="n">
        <v>13</v>
      </c>
      <c r="AD1633" t="n">
        <v>13</v>
      </c>
      <c r="AE1633" t="n">
        <v>13</v>
      </c>
      <c r="AF1633" t="n">
        <v>7</v>
      </c>
      <c r="AG1633" t="n">
        <v>7</v>
      </c>
      <c r="AH1633" t="n">
        <v>3</v>
      </c>
      <c r="AI1633" t="n">
        <v>3</v>
      </c>
      <c r="AJ1633" t="n">
        <v>2</v>
      </c>
      <c r="AK1633" t="n">
        <v>2</v>
      </c>
      <c r="AL1633" t="n">
        <v>2</v>
      </c>
      <c r="AM1633" t="n">
        <v>2</v>
      </c>
      <c r="AN1633" t="n">
        <v>0</v>
      </c>
      <c r="AO1633" t="n">
        <v>0</v>
      </c>
      <c r="AP1633" t="inlineStr">
        <is>
          <t>No</t>
        </is>
      </c>
      <c r="AQ1633" t="inlineStr">
        <is>
          <t>Yes</t>
        </is>
      </c>
      <c r="AR1633">
        <f>HYPERLINK("http://catalog.hathitrust.org/Record/005547513","HathiTrust Record")</f>
        <v/>
      </c>
      <c r="AS1633">
        <f>HYPERLINK("https://creighton-primo.hosted.exlibrisgroup.com/primo-explore/search?tab=default_tab&amp;search_scope=EVERYTHING&amp;vid=01CRU&amp;lang=en_US&amp;offset=0&amp;query=any,contains,991005081829702656","Catalog Record")</f>
        <v/>
      </c>
      <c r="AT1633">
        <f>HYPERLINK("http://www.worldcat.org/oclc/76168045","WorldCat Record")</f>
        <v/>
      </c>
      <c r="AU1633" t="inlineStr">
        <is>
          <t>1152800529:eng</t>
        </is>
      </c>
      <c r="AV1633" t="inlineStr">
        <is>
          <t>76168045</t>
        </is>
      </c>
      <c r="AW1633" t="inlineStr">
        <is>
          <t>991005081829702656</t>
        </is>
      </c>
      <c r="AX1633" t="inlineStr">
        <is>
          <t>991005081829702656</t>
        </is>
      </c>
      <c r="AY1633" t="inlineStr">
        <is>
          <t>2267162910002656</t>
        </is>
      </c>
      <c r="AZ1633" t="inlineStr">
        <is>
          <t>BOOK</t>
        </is>
      </c>
      <c r="BB1633" t="inlineStr">
        <is>
          <t>9781416534884</t>
        </is>
      </c>
      <c r="BC1633" t="inlineStr">
        <is>
          <t>32285005313522</t>
        </is>
      </c>
      <c r="BD1633" t="inlineStr">
        <is>
          <t>893776796</t>
        </is>
      </c>
    </row>
    <row r="1634">
      <c r="A1634" t="inlineStr">
        <is>
          <t>No</t>
        </is>
      </c>
      <c r="B1634" t="inlineStr">
        <is>
          <t>GV884.B53 C65 1989</t>
        </is>
      </c>
      <c r="C1634" t="inlineStr">
        <is>
          <t>0                      GV 0884000B  53                 C  65          1989</t>
        </is>
      </c>
      <c r="D1634" t="inlineStr">
        <is>
          <t>Never too young to die : the death of Len Bias / Lewis Cole.</t>
        </is>
      </c>
      <c r="F1634" t="inlineStr">
        <is>
          <t>No</t>
        </is>
      </c>
      <c r="G1634" t="inlineStr">
        <is>
          <t>1</t>
        </is>
      </c>
      <c r="H1634" t="inlineStr">
        <is>
          <t>No</t>
        </is>
      </c>
      <c r="I1634" t="inlineStr">
        <is>
          <t>No</t>
        </is>
      </c>
      <c r="J1634" t="inlineStr">
        <is>
          <t>0</t>
        </is>
      </c>
      <c r="K1634" t="inlineStr">
        <is>
          <t>Cole, Lewis.</t>
        </is>
      </c>
      <c r="L1634" t="inlineStr">
        <is>
          <t>New York : Pantheon Books, 1989.</t>
        </is>
      </c>
      <c r="M1634" t="inlineStr">
        <is>
          <t>1989</t>
        </is>
      </c>
      <c r="N1634" t="inlineStr">
        <is>
          <t>1st ed.</t>
        </is>
      </c>
      <c r="O1634" t="inlineStr">
        <is>
          <t>eng</t>
        </is>
      </c>
      <c r="P1634" t="inlineStr">
        <is>
          <t>nyu</t>
        </is>
      </c>
      <c r="R1634" t="inlineStr">
        <is>
          <t xml:space="preserve">GV </t>
        </is>
      </c>
      <c r="S1634" t="n">
        <v>7</v>
      </c>
      <c r="T1634" t="n">
        <v>7</v>
      </c>
      <c r="U1634" t="inlineStr">
        <is>
          <t>2001-06-11</t>
        </is>
      </c>
      <c r="V1634" t="inlineStr">
        <is>
          <t>2001-06-11</t>
        </is>
      </c>
      <c r="W1634" t="inlineStr">
        <is>
          <t>1989-12-29</t>
        </is>
      </c>
      <c r="X1634" t="inlineStr">
        <is>
          <t>1989-12-29</t>
        </is>
      </c>
      <c r="Y1634" t="n">
        <v>735</v>
      </c>
      <c r="Z1634" t="n">
        <v>724</v>
      </c>
      <c r="AA1634" t="n">
        <v>726</v>
      </c>
      <c r="AB1634" t="n">
        <v>5</v>
      </c>
      <c r="AC1634" t="n">
        <v>5</v>
      </c>
      <c r="AD1634" t="n">
        <v>7</v>
      </c>
      <c r="AE1634" t="n">
        <v>7</v>
      </c>
      <c r="AF1634" t="n">
        <v>4</v>
      </c>
      <c r="AG1634" t="n">
        <v>4</v>
      </c>
      <c r="AH1634" t="n">
        <v>0</v>
      </c>
      <c r="AI1634" t="n">
        <v>0</v>
      </c>
      <c r="AJ1634" t="n">
        <v>2</v>
      </c>
      <c r="AK1634" t="n">
        <v>2</v>
      </c>
      <c r="AL1634" t="n">
        <v>1</v>
      </c>
      <c r="AM1634" t="n">
        <v>1</v>
      </c>
      <c r="AN1634" t="n">
        <v>0</v>
      </c>
      <c r="AO1634" t="n">
        <v>0</v>
      </c>
      <c r="AP1634" t="inlineStr">
        <is>
          <t>No</t>
        </is>
      </c>
      <c r="AQ1634" t="inlineStr">
        <is>
          <t>Yes</t>
        </is>
      </c>
      <c r="AR1634">
        <f>HYPERLINK("http://catalog.hathitrust.org/Record/001815463","HathiTrust Record")</f>
        <v/>
      </c>
      <c r="AS1634">
        <f>HYPERLINK("https://creighton-primo.hosted.exlibrisgroup.com/primo-explore/search?tab=default_tab&amp;search_scope=EVERYTHING&amp;vid=01CRU&amp;lang=en_US&amp;offset=0&amp;query=any,contains,991001508339702656","Catalog Record")</f>
        <v/>
      </c>
      <c r="AT1634">
        <f>HYPERLINK("http://www.worldcat.org/oclc/19850124","WorldCat Record")</f>
        <v/>
      </c>
      <c r="AU1634" t="inlineStr">
        <is>
          <t>21083760:eng</t>
        </is>
      </c>
      <c r="AV1634" t="inlineStr">
        <is>
          <t>19850124</t>
        </is>
      </c>
      <c r="AW1634" t="inlineStr">
        <is>
          <t>991001508339702656</t>
        </is>
      </c>
      <c r="AX1634" t="inlineStr">
        <is>
          <t>991001508339702656</t>
        </is>
      </c>
      <c r="AY1634" t="inlineStr">
        <is>
          <t>2269818660002656</t>
        </is>
      </c>
      <c r="AZ1634" t="inlineStr">
        <is>
          <t>BOOK</t>
        </is>
      </c>
      <c r="BB1634" t="inlineStr">
        <is>
          <t>9780394564401</t>
        </is>
      </c>
      <c r="BC1634" t="inlineStr">
        <is>
          <t>32285000025774</t>
        </is>
      </c>
      <c r="BD1634" t="inlineStr">
        <is>
          <t>893340484</t>
        </is>
      </c>
    </row>
    <row r="1635">
      <c r="A1635" t="inlineStr">
        <is>
          <t>No</t>
        </is>
      </c>
      <c r="B1635" t="inlineStr">
        <is>
          <t>GV884.D36 V35 1990</t>
        </is>
      </c>
      <c r="C1635" t="inlineStr">
        <is>
          <t>0                      GV 0884000D  36                 V  35          1990</t>
        </is>
      </c>
      <c r="D1635" t="inlineStr">
        <is>
          <t>Swee' Pea and other playground legends : tales of drugs, violence, and basketball / by John Valenti with Ron Naclerio.</t>
        </is>
      </c>
      <c r="F1635" t="inlineStr">
        <is>
          <t>No</t>
        </is>
      </c>
      <c r="G1635" t="inlineStr">
        <is>
          <t>1</t>
        </is>
      </c>
      <c r="H1635" t="inlineStr">
        <is>
          <t>No</t>
        </is>
      </c>
      <c r="I1635" t="inlineStr">
        <is>
          <t>No</t>
        </is>
      </c>
      <c r="J1635" t="inlineStr">
        <is>
          <t>0</t>
        </is>
      </c>
      <c r="K1635" t="inlineStr">
        <is>
          <t>Valenti, John, 1960-</t>
        </is>
      </c>
      <c r="L1635" t="inlineStr">
        <is>
          <t>New York : M. Kesend Pub., c1990.</t>
        </is>
      </c>
      <c r="M1635" t="inlineStr">
        <is>
          <t>1990</t>
        </is>
      </c>
      <c r="N1635" t="inlineStr">
        <is>
          <t>1st ed.</t>
        </is>
      </c>
      <c r="O1635" t="inlineStr">
        <is>
          <t>eng</t>
        </is>
      </c>
      <c r="P1635" t="inlineStr">
        <is>
          <t>nyu</t>
        </is>
      </c>
      <c r="R1635" t="inlineStr">
        <is>
          <t xml:space="preserve">GV </t>
        </is>
      </c>
      <c r="S1635" t="n">
        <v>10</v>
      </c>
      <c r="T1635" t="n">
        <v>10</v>
      </c>
      <c r="U1635" t="inlineStr">
        <is>
          <t>2001-06-11</t>
        </is>
      </c>
      <c r="V1635" t="inlineStr">
        <is>
          <t>2001-06-11</t>
        </is>
      </c>
      <c r="W1635" t="inlineStr">
        <is>
          <t>1993-01-04</t>
        </is>
      </c>
      <c r="X1635" t="inlineStr">
        <is>
          <t>1993-01-04</t>
        </is>
      </c>
      <c r="Y1635" t="n">
        <v>327</v>
      </c>
      <c r="Z1635" t="n">
        <v>320</v>
      </c>
      <c r="AA1635" t="n">
        <v>328</v>
      </c>
      <c r="AB1635" t="n">
        <v>3</v>
      </c>
      <c r="AC1635" t="n">
        <v>3</v>
      </c>
      <c r="AD1635" t="n">
        <v>5</v>
      </c>
      <c r="AE1635" t="n">
        <v>5</v>
      </c>
      <c r="AF1635" t="n">
        <v>1</v>
      </c>
      <c r="AG1635" t="n">
        <v>1</v>
      </c>
      <c r="AH1635" t="n">
        <v>1</v>
      </c>
      <c r="AI1635" t="n">
        <v>1</v>
      </c>
      <c r="AJ1635" t="n">
        <v>4</v>
      </c>
      <c r="AK1635" t="n">
        <v>4</v>
      </c>
      <c r="AL1635" t="n">
        <v>0</v>
      </c>
      <c r="AM1635" t="n">
        <v>0</v>
      </c>
      <c r="AN1635" t="n">
        <v>0</v>
      </c>
      <c r="AO1635" t="n">
        <v>0</v>
      </c>
      <c r="AP1635" t="inlineStr">
        <is>
          <t>No</t>
        </is>
      </c>
      <c r="AQ1635" t="inlineStr">
        <is>
          <t>No</t>
        </is>
      </c>
      <c r="AS1635">
        <f>HYPERLINK("https://creighton-primo.hosted.exlibrisgroup.com/primo-explore/search?tab=default_tab&amp;search_scope=EVERYTHING&amp;vid=01CRU&amp;lang=en_US&amp;offset=0&amp;query=any,contains,991001758449702656","Catalog Record")</f>
        <v/>
      </c>
      <c r="AT1635">
        <f>HYPERLINK("http://www.worldcat.org/oclc/22240431","WorldCat Record")</f>
        <v/>
      </c>
      <c r="AU1635" t="inlineStr">
        <is>
          <t>3740827040:eng</t>
        </is>
      </c>
      <c r="AV1635" t="inlineStr">
        <is>
          <t>22240431</t>
        </is>
      </c>
      <c r="AW1635" t="inlineStr">
        <is>
          <t>991001758449702656</t>
        </is>
      </c>
      <c r="AX1635" t="inlineStr">
        <is>
          <t>991001758449702656</t>
        </is>
      </c>
      <c r="AY1635" t="inlineStr">
        <is>
          <t>2271473170002656</t>
        </is>
      </c>
      <c r="AZ1635" t="inlineStr">
        <is>
          <t>BOOK</t>
        </is>
      </c>
      <c r="BB1635" t="inlineStr">
        <is>
          <t>9780935576382</t>
        </is>
      </c>
      <c r="BC1635" t="inlineStr">
        <is>
          <t>32285001466605</t>
        </is>
      </c>
      <c r="BD1635" t="inlineStr">
        <is>
          <t>893866452</t>
        </is>
      </c>
    </row>
    <row r="1636">
      <c r="A1636" t="inlineStr">
        <is>
          <t>No</t>
        </is>
      </c>
      <c r="B1636" t="inlineStr">
        <is>
          <t>GV884.H26 A29 2006</t>
        </is>
      </c>
      <c r="C1636" t="inlineStr">
        <is>
          <t>0                      GV 0884000H  26                 A  29          2006</t>
        </is>
      </c>
      <c r="D1636" t="inlineStr">
        <is>
          <t>Glory road : my story of the 1966 NCAA basketball championship and how one team triumphed against the odds and changed America forever / Don Haskins with Dan Wetzel.</t>
        </is>
      </c>
      <c r="F1636" t="inlineStr">
        <is>
          <t>No</t>
        </is>
      </c>
      <c r="G1636" t="inlineStr">
        <is>
          <t>1</t>
        </is>
      </c>
      <c r="H1636" t="inlineStr">
        <is>
          <t>No</t>
        </is>
      </c>
      <c r="I1636" t="inlineStr">
        <is>
          <t>No</t>
        </is>
      </c>
      <c r="J1636" t="inlineStr">
        <is>
          <t>0</t>
        </is>
      </c>
      <c r="K1636" t="inlineStr">
        <is>
          <t>Haskins, Don, 1930-2008.</t>
        </is>
      </c>
      <c r="L1636" t="inlineStr">
        <is>
          <t>New York : Hyperion, c2006.</t>
        </is>
      </c>
      <c r="M1636" t="inlineStr">
        <is>
          <t>2006</t>
        </is>
      </c>
      <c r="N1636" t="inlineStr">
        <is>
          <t>1st ed.</t>
        </is>
      </c>
      <c r="O1636" t="inlineStr">
        <is>
          <t>eng</t>
        </is>
      </c>
      <c r="P1636" t="inlineStr">
        <is>
          <t>nyu</t>
        </is>
      </c>
      <c r="R1636" t="inlineStr">
        <is>
          <t xml:space="preserve">GV </t>
        </is>
      </c>
      <c r="S1636" t="n">
        <v>2</v>
      </c>
      <c r="T1636" t="n">
        <v>2</v>
      </c>
      <c r="U1636" t="inlineStr">
        <is>
          <t>2006-03-16</t>
        </is>
      </c>
      <c r="V1636" t="inlineStr">
        <is>
          <t>2006-03-16</t>
        </is>
      </c>
      <c r="W1636" t="inlineStr">
        <is>
          <t>2006-02-03</t>
        </is>
      </c>
      <c r="X1636" t="inlineStr">
        <is>
          <t>2006-02-03</t>
        </is>
      </c>
      <c r="Y1636" t="n">
        <v>759</v>
      </c>
      <c r="Z1636" t="n">
        <v>751</v>
      </c>
      <c r="AA1636" t="n">
        <v>764</v>
      </c>
      <c r="AB1636" t="n">
        <v>8</v>
      </c>
      <c r="AC1636" t="n">
        <v>8</v>
      </c>
      <c r="AD1636" t="n">
        <v>10</v>
      </c>
      <c r="AE1636" t="n">
        <v>10</v>
      </c>
      <c r="AF1636" t="n">
        <v>3</v>
      </c>
      <c r="AG1636" t="n">
        <v>3</v>
      </c>
      <c r="AH1636" t="n">
        <v>3</v>
      </c>
      <c r="AI1636" t="n">
        <v>3</v>
      </c>
      <c r="AJ1636" t="n">
        <v>6</v>
      </c>
      <c r="AK1636" t="n">
        <v>6</v>
      </c>
      <c r="AL1636" t="n">
        <v>1</v>
      </c>
      <c r="AM1636" t="n">
        <v>1</v>
      </c>
      <c r="AN1636" t="n">
        <v>0</v>
      </c>
      <c r="AO1636" t="n">
        <v>0</v>
      </c>
      <c r="AP1636" t="inlineStr">
        <is>
          <t>No</t>
        </is>
      </c>
      <c r="AQ1636" t="inlineStr">
        <is>
          <t>Yes</t>
        </is>
      </c>
      <c r="AR1636">
        <f>HYPERLINK("http://catalog.hathitrust.org/Record/007146479","HathiTrust Record")</f>
        <v/>
      </c>
      <c r="AS1636">
        <f>HYPERLINK("https://creighton-primo.hosted.exlibrisgroup.com/primo-explore/search?tab=default_tab&amp;search_scope=EVERYTHING&amp;vid=01CRU&amp;lang=en_US&amp;offset=0&amp;query=any,contains,991004732179702656","Catalog Record")</f>
        <v/>
      </c>
      <c r="AT1636">
        <f>HYPERLINK("http://www.worldcat.org/oclc/61151616","WorldCat Record")</f>
        <v/>
      </c>
      <c r="AU1636" t="inlineStr">
        <is>
          <t>46869606:eng</t>
        </is>
      </c>
      <c r="AV1636" t="inlineStr">
        <is>
          <t>61151616</t>
        </is>
      </c>
      <c r="AW1636" t="inlineStr">
        <is>
          <t>991004732179702656</t>
        </is>
      </c>
      <c r="AX1636" t="inlineStr">
        <is>
          <t>991004732179702656</t>
        </is>
      </c>
      <c r="AY1636" t="inlineStr">
        <is>
          <t>2262557370002656</t>
        </is>
      </c>
      <c r="AZ1636" t="inlineStr">
        <is>
          <t>BOOK</t>
        </is>
      </c>
      <c r="BB1636" t="inlineStr">
        <is>
          <t>9781401307912</t>
        </is>
      </c>
      <c r="BC1636" t="inlineStr">
        <is>
          <t>32285005159453</t>
        </is>
      </c>
      <c r="BD1636" t="inlineStr">
        <is>
          <t>893795214</t>
        </is>
      </c>
    </row>
    <row r="1637">
      <c r="A1637" t="inlineStr">
        <is>
          <t>No</t>
        </is>
      </c>
      <c r="B1637" t="inlineStr">
        <is>
          <t>GV884.J63 A35 1983</t>
        </is>
      </c>
      <c r="C1637" t="inlineStr">
        <is>
          <t>0                      GV 0884000J  63                 A  35          1983</t>
        </is>
      </c>
      <c r="D1637" t="inlineStr">
        <is>
          <t>Magic / Earvin "Magic" Johnson and Richard Levin.</t>
        </is>
      </c>
      <c r="F1637" t="inlineStr">
        <is>
          <t>No</t>
        </is>
      </c>
      <c r="G1637" t="inlineStr">
        <is>
          <t>1</t>
        </is>
      </c>
      <c r="H1637" t="inlineStr">
        <is>
          <t>No</t>
        </is>
      </c>
      <c r="I1637" t="inlineStr">
        <is>
          <t>No</t>
        </is>
      </c>
      <c r="J1637" t="inlineStr">
        <is>
          <t>0</t>
        </is>
      </c>
      <c r="K1637" t="inlineStr">
        <is>
          <t>Johnson, Earvin, 1959-</t>
        </is>
      </c>
      <c r="L1637" t="inlineStr">
        <is>
          <t>New York : Viking Press, 1983.</t>
        </is>
      </c>
      <c r="M1637" t="inlineStr">
        <is>
          <t>1983</t>
        </is>
      </c>
      <c r="O1637" t="inlineStr">
        <is>
          <t>eng</t>
        </is>
      </c>
      <c r="P1637" t="inlineStr">
        <is>
          <t>nyu</t>
        </is>
      </c>
      <c r="R1637" t="inlineStr">
        <is>
          <t xml:space="preserve">GV </t>
        </is>
      </c>
      <c r="S1637" t="n">
        <v>8</v>
      </c>
      <c r="T1637" t="n">
        <v>8</v>
      </c>
      <c r="U1637" t="inlineStr">
        <is>
          <t>2004-12-15</t>
        </is>
      </c>
      <c r="V1637" t="inlineStr">
        <is>
          <t>2004-12-15</t>
        </is>
      </c>
      <c r="W1637" t="inlineStr">
        <is>
          <t>1990-10-24</t>
        </is>
      </c>
      <c r="X1637" t="inlineStr">
        <is>
          <t>1990-10-24</t>
        </is>
      </c>
      <c r="Y1637" t="n">
        <v>460</v>
      </c>
      <c r="Z1637" t="n">
        <v>453</v>
      </c>
      <c r="AA1637" t="n">
        <v>471</v>
      </c>
      <c r="AB1637" t="n">
        <v>3</v>
      </c>
      <c r="AC1637" t="n">
        <v>3</v>
      </c>
      <c r="AD1637" t="n">
        <v>0</v>
      </c>
      <c r="AE1637" t="n">
        <v>0</v>
      </c>
      <c r="AF1637" t="n">
        <v>0</v>
      </c>
      <c r="AG1637" t="n">
        <v>0</v>
      </c>
      <c r="AH1637" t="n">
        <v>0</v>
      </c>
      <c r="AI1637" t="n">
        <v>0</v>
      </c>
      <c r="AJ1637" t="n">
        <v>0</v>
      </c>
      <c r="AK1637" t="n">
        <v>0</v>
      </c>
      <c r="AL1637" t="n">
        <v>0</v>
      </c>
      <c r="AM1637" t="n">
        <v>0</v>
      </c>
      <c r="AN1637" t="n">
        <v>0</v>
      </c>
      <c r="AO1637" t="n">
        <v>0</v>
      </c>
      <c r="AP1637" t="inlineStr">
        <is>
          <t>No</t>
        </is>
      </c>
      <c r="AQ1637" t="inlineStr">
        <is>
          <t>No</t>
        </is>
      </c>
      <c r="AS1637">
        <f>HYPERLINK("https://creighton-primo.hosted.exlibrisgroup.com/primo-explore/search?tab=default_tab&amp;search_scope=EVERYTHING&amp;vid=01CRU&amp;lang=en_US&amp;offset=0&amp;query=any,contains,991000161789702656","Catalog Record")</f>
        <v/>
      </c>
      <c r="AT1637">
        <f>HYPERLINK("http://www.worldcat.org/oclc/9280626","WorldCat Record")</f>
        <v/>
      </c>
      <c r="AU1637" t="inlineStr">
        <is>
          <t>28392235:eng</t>
        </is>
      </c>
      <c r="AV1637" t="inlineStr">
        <is>
          <t>9280626</t>
        </is>
      </c>
      <c r="AW1637" t="inlineStr">
        <is>
          <t>991000161789702656</t>
        </is>
      </c>
      <c r="AX1637" t="inlineStr">
        <is>
          <t>991000161789702656</t>
        </is>
      </c>
      <c r="AY1637" t="inlineStr">
        <is>
          <t>2260716250002656</t>
        </is>
      </c>
      <c r="AZ1637" t="inlineStr">
        <is>
          <t>BOOK</t>
        </is>
      </c>
      <c r="BB1637" t="inlineStr">
        <is>
          <t>9780670448050</t>
        </is>
      </c>
      <c r="BC1637" t="inlineStr">
        <is>
          <t>32285000344316</t>
        </is>
      </c>
      <c r="BD1637" t="inlineStr">
        <is>
          <t>893777750</t>
        </is>
      </c>
    </row>
    <row r="1638">
      <c r="A1638" t="inlineStr">
        <is>
          <t>No</t>
        </is>
      </c>
      <c r="B1638" t="inlineStr">
        <is>
          <t>GV884.J67 H35 1999</t>
        </is>
      </c>
      <c r="C1638" t="inlineStr">
        <is>
          <t>0                      GV 0884000J  67                 H  35          1999</t>
        </is>
      </c>
      <c r="D1638" t="inlineStr">
        <is>
          <t>Playing for keeps : Michael Jordan and the world he made / David Halberstam.</t>
        </is>
      </c>
      <c r="F1638" t="inlineStr">
        <is>
          <t>No</t>
        </is>
      </c>
      <c r="G1638" t="inlineStr">
        <is>
          <t>1</t>
        </is>
      </c>
      <c r="H1638" t="inlineStr">
        <is>
          <t>No</t>
        </is>
      </c>
      <c r="I1638" t="inlineStr">
        <is>
          <t>No</t>
        </is>
      </c>
      <c r="J1638" t="inlineStr">
        <is>
          <t>0</t>
        </is>
      </c>
      <c r="K1638" t="inlineStr">
        <is>
          <t>Halberstam, David.</t>
        </is>
      </c>
      <c r="L1638" t="inlineStr">
        <is>
          <t>New York : Random House, c1999.</t>
        </is>
      </c>
      <c r="M1638" t="inlineStr">
        <is>
          <t>1999</t>
        </is>
      </c>
      <c r="N1638" t="inlineStr">
        <is>
          <t>1st trade ed.</t>
        </is>
      </c>
      <c r="O1638" t="inlineStr">
        <is>
          <t>eng</t>
        </is>
      </c>
      <c r="P1638" t="inlineStr">
        <is>
          <t>nyu</t>
        </is>
      </c>
      <c r="R1638" t="inlineStr">
        <is>
          <t xml:space="preserve">GV </t>
        </is>
      </c>
      <c r="S1638" t="n">
        <v>19</v>
      </c>
      <c r="T1638" t="n">
        <v>19</v>
      </c>
      <c r="U1638" t="inlineStr">
        <is>
          <t>2009-10-04</t>
        </is>
      </c>
      <c r="V1638" t="inlineStr">
        <is>
          <t>2009-10-04</t>
        </is>
      </c>
      <c r="W1638" t="inlineStr">
        <is>
          <t>1999-03-02</t>
        </is>
      </c>
      <c r="X1638" t="inlineStr">
        <is>
          <t>1999-03-02</t>
        </is>
      </c>
      <c r="Y1638" t="n">
        <v>2208</v>
      </c>
      <c r="Z1638" t="n">
        <v>2134</v>
      </c>
      <c r="AA1638" t="n">
        <v>2416</v>
      </c>
      <c r="AB1638" t="n">
        <v>24</v>
      </c>
      <c r="AC1638" t="n">
        <v>25</v>
      </c>
      <c r="AD1638" t="n">
        <v>33</v>
      </c>
      <c r="AE1638" t="n">
        <v>39</v>
      </c>
      <c r="AF1638" t="n">
        <v>16</v>
      </c>
      <c r="AG1638" t="n">
        <v>18</v>
      </c>
      <c r="AH1638" t="n">
        <v>4</v>
      </c>
      <c r="AI1638" t="n">
        <v>6</v>
      </c>
      <c r="AJ1638" t="n">
        <v>11</v>
      </c>
      <c r="AK1638" t="n">
        <v>13</v>
      </c>
      <c r="AL1638" t="n">
        <v>8</v>
      </c>
      <c r="AM1638" t="n">
        <v>9</v>
      </c>
      <c r="AN1638" t="n">
        <v>0</v>
      </c>
      <c r="AO1638" t="n">
        <v>0</v>
      </c>
      <c r="AP1638" t="inlineStr">
        <is>
          <t>No</t>
        </is>
      </c>
      <c r="AQ1638" t="inlineStr">
        <is>
          <t>Yes</t>
        </is>
      </c>
      <c r="AR1638">
        <f>HYPERLINK("http://catalog.hathitrust.org/Record/004008858","HathiTrust Record")</f>
        <v/>
      </c>
      <c r="AS1638">
        <f>HYPERLINK("https://creighton-primo.hosted.exlibrisgroup.com/primo-explore/search?tab=default_tab&amp;search_scope=EVERYTHING&amp;vid=01CRU&amp;lang=en_US&amp;offset=0&amp;query=any,contains,991002988429702656","Catalog Record")</f>
        <v/>
      </c>
      <c r="AT1638">
        <f>HYPERLINK("http://www.worldcat.org/oclc/40305631","WorldCat Record")</f>
        <v/>
      </c>
      <c r="AU1638" t="inlineStr">
        <is>
          <t>796329542:eng</t>
        </is>
      </c>
      <c r="AV1638" t="inlineStr">
        <is>
          <t>40305631</t>
        </is>
      </c>
      <c r="AW1638" t="inlineStr">
        <is>
          <t>991002988429702656</t>
        </is>
      </c>
      <c r="AX1638" t="inlineStr">
        <is>
          <t>991002988429702656</t>
        </is>
      </c>
      <c r="AY1638" t="inlineStr">
        <is>
          <t>2262335600002656</t>
        </is>
      </c>
      <c r="AZ1638" t="inlineStr">
        <is>
          <t>BOOK</t>
        </is>
      </c>
      <c r="BB1638" t="inlineStr">
        <is>
          <t>9780679415626</t>
        </is>
      </c>
      <c r="BC1638" t="inlineStr">
        <is>
          <t>32285003527990</t>
        </is>
      </c>
      <c r="BD1638" t="inlineStr">
        <is>
          <t>893505065</t>
        </is>
      </c>
    </row>
    <row r="1639">
      <c r="A1639" t="inlineStr">
        <is>
          <t>No</t>
        </is>
      </c>
      <c r="B1639" t="inlineStr">
        <is>
          <t>GV884.J67 L34 1999</t>
        </is>
      </c>
      <c r="C1639" t="inlineStr">
        <is>
          <t>0                      GV 0884000J  67                 L  34          1999</t>
        </is>
      </c>
      <c r="D1639" t="inlineStr">
        <is>
          <t>Michael Jordan and the new global capitalism / Walter LaFeber.</t>
        </is>
      </c>
      <c r="F1639" t="inlineStr">
        <is>
          <t>No</t>
        </is>
      </c>
      <c r="G1639" t="inlineStr">
        <is>
          <t>1</t>
        </is>
      </c>
      <c r="H1639" t="inlineStr">
        <is>
          <t>No</t>
        </is>
      </c>
      <c r="I1639" t="inlineStr">
        <is>
          <t>No</t>
        </is>
      </c>
      <c r="J1639" t="inlineStr">
        <is>
          <t>0</t>
        </is>
      </c>
      <c r="K1639" t="inlineStr">
        <is>
          <t>LaFeber, Walter.</t>
        </is>
      </c>
      <c r="L1639" t="inlineStr">
        <is>
          <t>New York : W.W. Norton, c1999.</t>
        </is>
      </c>
      <c r="M1639" t="inlineStr">
        <is>
          <t>1999</t>
        </is>
      </c>
      <c r="N1639" t="inlineStr">
        <is>
          <t>1st ed.</t>
        </is>
      </c>
      <c r="O1639" t="inlineStr">
        <is>
          <t>eng</t>
        </is>
      </c>
      <c r="P1639" t="inlineStr">
        <is>
          <t>nyu</t>
        </is>
      </c>
      <c r="R1639" t="inlineStr">
        <is>
          <t xml:space="preserve">GV </t>
        </is>
      </c>
      <c r="S1639" t="n">
        <v>11</v>
      </c>
      <c r="T1639" t="n">
        <v>11</v>
      </c>
      <c r="U1639" t="inlineStr">
        <is>
          <t>2007-09-14</t>
        </is>
      </c>
      <c r="V1639" t="inlineStr">
        <is>
          <t>2007-09-14</t>
        </is>
      </c>
      <c r="W1639" t="inlineStr">
        <is>
          <t>1999-09-20</t>
        </is>
      </c>
      <c r="X1639" t="inlineStr">
        <is>
          <t>1999-09-20</t>
        </is>
      </c>
      <c r="Y1639" t="n">
        <v>1079</v>
      </c>
      <c r="Z1639" t="n">
        <v>955</v>
      </c>
      <c r="AA1639" t="n">
        <v>1119</v>
      </c>
      <c r="AB1639" t="n">
        <v>7</v>
      </c>
      <c r="AC1639" t="n">
        <v>9</v>
      </c>
      <c r="AD1639" t="n">
        <v>31</v>
      </c>
      <c r="AE1639" t="n">
        <v>37</v>
      </c>
      <c r="AF1639" t="n">
        <v>13</v>
      </c>
      <c r="AG1639" t="n">
        <v>15</v>
      </c>
      <c r="AH1639" t="n">
        <v>5</v>
      </c>
      <c r="AI1639" t="n">
        <v>7</v>
      </c>
      <c r="AJ1639" t="n">
        <v>16</v>
      </c>
      <c r="AK1639" t="n">
        <v>17</v>
      </c>
      <c r="AL1639" t="n">
        <v>4</v>
      </c>
      <c r="AM1639" t="n">
        <v>6</v>
      </c>
      <c r="AN1639" t="n">
        <v>0</v>
      </c>
      <c r="AO1639" t="n">
        <v>0</v>
      </c>
      <c r="AP1639" t="inlineStr">
        <is>
          <t>No</t>
        </is>
      </c>
      <c r="AQ1639" t="inlineStr">
        <is>
          <t>No</t>
        </is>
      </c>
      <c r="AS1639">
        <f>HYPERLINK("https://creighton-primo.hosted.exlibrisgroup.com/primo-explore/search?tab=default_tab&amp;search_scope=EVERYTHING&amp;vid=01CRU&amp;lang=en_US&amp;offset=0&amp;query=any,contains,991005429909702656","Catalog Record")</f>
        <v/>
      </c>
      <c r="AT1639">
        <f>HYPERLINK("http://www.worldcat.org/oclc/40562317","WorldCat Record")</f>
        <v/>
      </c>
      <c r="AU1639" t="inlineStr">
        <is>
          <t>900433:eng</t>
        </is>
      </c>
      <c r="AV1639" t="inlineStr">
        <is>
          <t>40562317</t>
        </is>
      </c>
      <c r="AW1639" t="inlineStr">
        <is>
          <t>991005429909702656</t>
        </is>
      </c>
      <c r="AX1639" t="inlineStr">
        <is>
          <t>991005429909702656</t>
        </is>
      </c>
      <c r="AY1639" t="inlineStr">
        <is>
          <t>2263603580002656</t>
        </is>
      </c>
      <c r="AZ1639" t="inlineStr">
        <is>
          <t>BOOK</t>
        </is>
      </c>
      <c r="BB1639" t="inlineStr">
        <is>
          <t>9780393047479</t>
        </is>
      </c>
      <c r="BC1639" t="inlineStr">
        <is>
          <t>32285003589750</t>
        </is>
      </c>
      <c r="BD1639" t="inlineStr">
        <is>
          <t>893723004</t>
        </is>
      </c>
    </row>
    <row r="1640">
      <c r="A1640" t="inlineStr">
        <is>
          <t>No</t>
        </is>
      </c>
      <c r="B1640" t="inlineStr">
        <is>
          <t>GV884.K58 F44 1986</t>
        </is>
      </c>
      <c r="C1640" t="inlineStr">
        <is>
          <t>0                      GV 0884000K  58                 F  44          1986</t>
        </is>
      </c>
      <c r="D1640" t="inlineStr">
        <is>
          <t>A season on the brink : a year with Bob Knight and the Indiana Hoosiers / John Feinstein.</t>
        </is>
      </c>
      <c r="F1640" t="inlineStr">
        <is>
          <t>No</t>
        </is>
      </c>
      <c r="G1640" t="inlineStr">
        <is>
          <t>1</t>
        </is>
      </c>
      <c r="H1640" t="inlineStr">
        <is>
          <t>No</t>
        </is>
      </c>
      <c r="I1640" t="inlineStr">
        <is>
          <t>No</t>
        </is>
      </c>
      <c r="J1640" t="inlineStr">
        <is>
          <t>0</t>
        </is>
      </c>
      <c r="K1640" t="inlineStr">
        <is>
          <t>Feinstein, John.</t>
        </is>
      </c>
      <c r="L1640" t="inlineStr">
        <is>
          <t>New York : Macmillan, c1986.</t>
        </is>
      </c>
      <c r="M1640" t="inlineStr">
        <is>
          <t>1986</t>
        </is>
      </c>
      <c r="O1640" t="inlineStr">
        <is>
          <t>eng</t>
        </is>
      </c>
      <c r="P1640" t="inlineStr">
        <is>
          <t>nyu</t>
        </is>
      </c>
      <c r="R1640" t="inlineStr">
        <is>
          <t xml:space="preserve">GV </t>
        </is>
      </c>
      <c r="S1640" t="n">
        <v>6</v>
      </c>
      <c r="T1640" t="n">
        <v>6</v>
      </c>
      <c r="U1640" t="inlineStr">
        <is>
          <t>1996-04-08</t>
        </is>
      </c>
      <c r="V1640" t="inlineStr">
        <is>
          <t>1996-04-08</t>
        </is>
      </c>
      <c r="W1640" t="inlineStr">
        <is>
          <t>1991-12-10</t>
        </is>
      </c>
      <c r="X1640" t="inlineStr">
        <is>
          <t>1991-12-10</t>
        </is>
      </c>
      <c r="Y1640" t="n">
        <v>1227</v>
      </c>
      <c r="Z1640" t="n">
        <v>1214</v>
      </c>
      <c r="AA1640" t="n">
        <v>1519</v>
      </c>
      <c r="AB1640" t="n">
        <v>12</v>
      </c>
      <c r="AC1640" t="n">
        <v>13</v>
      </c>
      <c r="AD1640" t="n">
        <v>14</v>
      </c>
      <c r="AE1640" t="n">
        <v>21</v>
      </c>
      <c r="AF1640" t="n">
        <v>7</v>
      </c>
      <c r="AG1640" t="n">
        <v>10</v>
      </c>
      <c r="AH1640" t="n">
        <v>2</v>
      </c>
      <c r="AI1640" t="n">
        <v>4</v>
      </c>
      <c r="AJ1640" t="n">
        <v>4</v>
      </c>
      <c r="AK1640" t="n">
        <v>6</v>
      </c>
      <c r="AL1640" t="n">
        <v>4</v>
      </c>
      <c r="AM1640" t="n">
        <v>4</v>
      </c>
      <c r="AN1640" t="n">
        <v>0</v>
      </c>
      <c r="AO1640" t="n">
        <v>0</v>
      </c>
      <c r="AP1640" t="inlineStr">
        <is>
          <t>No</t>
        </is>
      </c>
      <c r="AQ1640" t="inlineStr">
        <is>
          <t>No</t>
        </is>
      </c>
      <c r="AS1640">
        <f>HYPERLINK("https://creighton-primo.hosted.exlibrisgroup.com/primo-explore/search?tab=default_tab&amp;search_scope=EVERYTHING&amp;vid=01CRU&amp;lang=en_US&amp;offset=0&amp;query=any,contains,991000893199702656","Catalog Record")</f>
        <v/>
      </c>
      <c r="AT1640">
        <f>HYPERLINK("http://www.worldcat.org/oclc/13946779","WorldCat Record")</f>
        <v/>
      </c>
      <c r="AU1640" t="inlineStr">
        <is>
          <t>887513:eng</t>
        </is>
      </c>
      <c r="AV1640" t="inlineStr">
        <is>
          <t>13946779</t>
        </is>
      </c>
      <c r="AW1640" t="inlineStr">
        <is>
          <t>991000893199702656</t>
        </is>
      </c>
      <c r="AX1640" t="inlineStr">
        <is>
          <t>991000893199702656</t>
        </is>
      </c>
      <c r="AY1640" t="inlineStr">
        <is>
          <t>2256248710002656</t>
        </is>
      </c>
      <c r="AZ1640" t="inlineStr">
        <is>
          <t>BOOK</t>
        </is>
      </c>
      <c r="BB1640" t="inlineStr">
        <is>
          <t>9780025372306</t>
        </is>
      </c>
      <c r="BC1640" t="inlineStr">
        <is>
          <t>32285000886035</t>
        </is>
      </c>
      <c r="BD1640" t="inlineStr">
        <is>
          <t>893602146</t>
        </is>
      </c>
    </row>
    <row r="1641">
      <c r="A1641" t="inlineStr">
        <is>
          <t>No</t>
        </is>
      </c>
      <c r="B1641" t="inlineStr">
        <is>
          <t>GV884.M63 R67 2003</t>
        </is>
      </c>
      <c r="C1641" t="inlineStr">
        <is>
          <t>0                      GV 0884000M  63                 R  67          2003</t>
        </is>
      </c>
      <c r="D1641" t="inlineStr">
        <is>
          <t>The wizard of odds : how Jack Molinas almost destroyed the game of basketball / Charley Rosen.</t>
        </is>
      </c>
      <c r="F1641" t="inlineStr">
        <is>
          <t>No</t>
        </is>
      </c>
      <c r="G1641" t="inlineStr">
        <is>
          <t>1</t>
        </is>
      </c>
      <c r="H1641" t="inlineStr">
        <is>
          <t>No</t>
        </is>
      </c>
      <c r="I1641" t="inlineStr">
        <is>
          <t>No</t>
        </is>
      </c>
      <c r="J1641" t="inlineStr">
        <is>
          <t>0</t>
        </is>
      </c>
      <c r="K1641" t="inlineStr">
        <is>
          <t>Rosen, Charles.</t>
        </is>
      </c>
      <c r="L1641" t="inlineStr">
        <is>
          <t>New York : Seven Stories Press, 2003, c2001.</t>
        </is>
      </c>
      <c r="M1641" t="inlineStr">
        <is>
          <t>2003</t>
        </is>
      </c>
      <c r="N1641" t="inlineStr">
        <is>
          <t>1st trade pbk. ed.</t>
        </is>
      </c>
      <c r="O1641" t="inlineStr">
        <is>
          <t>eng</t>
        </is>
      </c>
      <c r="P1641" t="inlineStr">
        <is>
          <t>nyu</t>
        </is>
      </c>
      <c r="R1641" t="inlineStr">
        <is>
          <t xml:space="preserve">GV </t>
        </is>
      </c>
      <c r="S1641" t="n">
        <v>1</v>
      </c>
      <c r="T1641" t="n">
        <v>1</v>
      </c>
      <c r="U1641" t="inlineStr">
        <is>
          <t>2009-04-23</t>
        </is>
      </c>
      <c r="V1641" t="inlineStr">
        <is>
          <t>2009-04-23</t>
        </is>
      </c>
      <c r="W1641" t="inlineStr">
        <is>
          <t>2009-04-23</t>
        </is>
      </c>
      <c r="X1641" t="inlineStr">
        <is>
          <t>2009-04-23</t>
        </is>
      </c>
      <c r="Y1641" t="n">
        <v>20</v>
      </c>
      <c r="Z1641" t="n">
        <v>20</v>
      </c>
      <c r="AA1641" t="n">
        <v>214</v>
      </c>
      <c r="AB1641" t="n">
        <v>1</v>
      </c>
      <c r="AC1641" t="n">
        <v>2</v>
      </c>
      <c r="AD1641" t="n">
        <v>0</v>
      </c>
      <c r="AE1641" t="n">
        <v>2</v>
      </c>
      <c r="AF1641" t="n">
        <v>0</v>
      </c>
      <c r="AG1641" t="n">
        <v>0</v>
      </c>
      <c r="AH1641" t="n">
        <v>0</v>
      </c>
      <c r="AI1641" t="n">
        <v>0</v>
      </c>
      <c r="AJ1641" t="n">
        <v>0</v>
      </c>
      <c r="AK1641" t="n">
        <v>1</v>
      </c>
      <c r="AL1641" t="n">
        <v>0</v>
      </c>
      <c r="AM1641" t="n">
        <v>1</v>
      </c>
      <c r="AN1641" t="n">
        <v>0</v>
      </c>
      <c r="AO1641" t="n">
        <v>0</v>
      </c>
      <c r="AP1641" t="inlineStr">
        <is>
          <t>No</t>
        </is>
      </c>
      <c r="AQ1641" t="inlineStr">
        <is>
          <t>No</t>
        </is>
      </c>
      <c r="AS1641">
        <f>HYPERLINK("https://creighton-primo.hosted.exlibrisgroup.com/primo-explore/search?tab=default_tab&amp;search_scope=EVERYTHING&amp;vid=01CRU&amp;lang=en_US&amp;offset=0&amp;query=any,contains,991005312519702656","Catalog Record")</f>
        <v/>
      </c>
      <c r="AT1641">
        <f>HYPERLINK("http://www.worldcat.org/oclc/51589235","WorldCat Record")</f>
        <v/>
      </c>
      <c r="AU1641" t="inlineStr">
        <is>
          <t>9674209:eng</t>
        </is>
      </c>
      <c r="AV1641" t="inlineStr">
        <is>
          <t>51589235</t>
        </is>
      </c>
      <c r="AW1641" t="inlineStr">
        <is>
          <t>991005312519702656</t>
        </is>
      </c>
      <c r="AX1641" t="inlineStr">
        <is>
          <t>991005312519702656</t>
        </is>
      </c>
      <c r="AY1641" t="inlineStr">
        <is>
          <t>2263511560002656</t>
        </is>
      </c>
      <c r="AZ1641" t="inlineStr">
        <is>
          <t>BOOK</t>
        </is>
      </c>
      <c r="BB1641" t="inlineStr">
        <is>
          <t>9781583225622</t>
        </is>
      </c>
      <c r="BC1641" t="inlineStr">
        <is>
          <t>32285005518245</t>
        </is>
      </c>
      <c r="BD1641" t="inlineStr">
        <is>
          <t>893320433</t>
        </is>
      </c>
    </row>
    <row r="1642">
      <c r="A1642" t="inlineStr">
        <is>
          <t>No</t>
        </is>
      </c>
      <c r="B1642" t="inlineStr">
        <is>
          <t>GV884.R86 A35</t>
        </is>
      </c>
      <c r="C1642" t="inlineStr">
        <is>
          <t>0                      GV 0884000R  86                 A  35</t>
        </is>
      </c>
      <c r="D1642" t="inlineStr">
        <is>
          <t>Second wind : the memoirs of an opinionated man / Bill Russell and Taylor Branch.</t>
        </is>
      </c>
      <c r="F1642" t="inlineStr">
        <is>
          <t>No</t>
        </is>
      </c>
      <c r="G1642" t="inlineStr">
        <is>
          <t>1</t>
        </is>
      </c>
      <c r="H1642" t="inlineStr">
        <is>
          <t>No</t>
        </is>
      </c>
      <c r="I1642" t="inlineStr">
        <is>
          <t>No</t>
        </is>
      </c>
      <c r="J1642" t="inlineStr">
        <is>
          <t>0</t>
        </is>
      </c>
      <c r="K1642" t="inlineStr">
        <is>
          <t>Russell, Bill, 1934-</t>
        </is>
      </c>
      <c r="L1642" t="inlineStr">
        <is>
          <t>New York : Random House, c1979.</t>
        </is>
      </c>
      <c r="M1642" t="inlineStr">
        <is>
          <t>1979</t>
        </is>
      </c>
      <c r="N1642" t="inlineStr">
        <is>
          <t>1st ed.</t>
        </is>
      </c>
      <c r="O1642" t="inlineStr">
        <is>
          <t>eng</t>
        </is>
      </c>
      <c r="P1642" t="inlineStr">
        <is>
          <t>nyu</t>
        </is>
      </c>
      <c r="R1642" t="inlineStr">
        <is>
          <t xml:space="preserve">GV </t>
        </is>
      </c>
      <c r="S1642" t="n">
        <v>2</v>
      </c>
      <c r="T1642" t="n">
        <v>2</v>
      </c>
      <c r="U1642" t="inlineStr">
        <is>
          <t>2006-02-21</t>
        </is>
      </c>
      <c r="V1642" t="inlineStr">
        <is>
          <t>2006-02-21</t>
        </is>
      </c>
      <c r="W1642" t="inlineStr">
        <is>
          <t>1990-10-24</t>
        </is>
      </c>
      <c r="X1642" t="inlineStr">
        <is>
          <t>1990-10-24</t>
        </is>
      </c>
      <c r="Y1642" t="n">
        <v>884</v>
      </c>
      <c r="Z1642" t="n">
        <v>868</v>
      </c>
      <c r="AA1642" t="n">
        <v>916</v>
      </c>
      <c r="AB1642" t="n">
        <v>5</v>
      </c>
      <c r="AC1642" t="n">
        <v>5</v>
      </c>
      <c r="AD1642" t="n">
        <v>9</v>
      </c>
      <c r="AE1642" t="n">
        <v>11</v>
      </c>
      <c r="AF1642" t="n">
        <v>3</v>
      </c>
      <c r="AG1642" t="n">
        <v>3</v>
      </c>
      <c r="AH1642" t="n">
        <v>3</v>
      </c>
      <c r="AI1642" t="n">
        <v>4</v>
      </c>
      <c r="AJ1642" t="n">
        <v>5</v>
      </c>
      <c r="AK1642" t="n">
        <v>6</v>
      </c>
      <c r="AL1642" t="n">
        <v>1</v>
      </c>
      <c r="AM1642" t="n">
        <v>1</v>
      </c>
      <c r="AN1642" t="n">
        <v>0</v>
      </c>
      <c r="AO1642" t="n">
        <v>0</v>
      </c>
      <c r="AP1642" t="inlineStr">
        <is>
          <t>No</t>
        </is>
      </c>
      <c r="AQ1642" t="inlineStr">
        <is>
          <t>Yes</t>
        </is>
      </c>
      <c r="AR1642">
        <f>HYPERLINK("http://catalog.hathitrust.org/Record/000300841","HathiTrust Record")</f>
        <v/>
      </c>
      <c r="AS1642">
        <f>HYPERLINK("https://creighton-primo.hosted.exlibrisgroup.com/primo-explore/search?tab=default_tab&amp;search_scope=EVERYTHING&amp;vid=01CRU&amp;lang=en_US&amp;offset=0&amp;query=any,contains,991004750229702656","Catalog Record")</f>
        <v/>
      </c>
      <c r="AT1642">
        <f>HYPERLINK("http://www.worldcat.org/oclc/4933176","WorldCat Record")</f>
        <v/>
      </c>
      <c r="AU1642" t="inlineStr">
        <is>
          <t>449600:eng</t>
        </is>
      </c>
      <c r="AV1642" t="inlineStr">
        <is>
          <t>4933176</t>
        </is>
      </c>
      <c r="AW1642" t="inlineStr">
        <is>
          <t>991004750229702656</t>
        </is>
      </c>
      <c r="AX1642" t="inlineStr">
        <is>
          <t>991004750229702656</t>
        </is>
      </c>
      <c r="AY1642" t="inlineStr">
        <is>
          <t>2268933780002656</t>
        </is>
      </c>
      <c r="AZ1642" t="inlineStr">
        <is>
          <t>BOOK</t>
        </is>
      </c>
      <c r="BB1642" t="inlineStr">
        <is>
          <t>9780394503851</t>
        </is>
      </c>
      <c r="BC1642" t="inlineStr">
        <is>
          <t>32285000344332</t>
        </is>
      </c>
      <c r="BD1642" t="inlineStr">
        <is>
          <t>893229783</t>
        </is>
      </c>
    </row>
    <row r="1643">
      <c r="A1643" t="inlineStr">
        <is>
          <t>No</t>
        </is>
      </c>
      <c r="B1643" t="inlineStr">
        <is>
          <t>GV884.T44 O36 2005</t>
        </is>
      </c>
      <c r="C1643" t="inlineStr">
        <is>
          <t>0                      GV 0884000T  44                 O  36          2005</t>
        </is>
      </c>
      <c r="D1643" t="inlineStr">
        <is>
          <t>The jump : Sebastian Telfair and the high stakes business of high school ball / Ian O'Connor.</t>
        </is>
      </c>
      <c r="F1643" t="inlineStr">
        <is>
          <t>No</t>
        </is>
      </c>
      <c r="G1643" t="inlineStr">
        <is>
          <t>1</t>
        </is>
      </c>
      <c r="H1643" t="inlineStr">
        <is>
          <t>No</t>
        </is>
      </c>
      <c r="I1643" t="inlineStr">
        <is>
          <t>No</t>
        </is>
      </c>
      <c r="J1643" t="inlineStr">
        <is>
          <t>0</t>
        </is>
      </c>
      <c r="K1643" t="inlineStr">
        <is>
          <t>O'Connor, Ian.</t>
        </is>
      </c>
      <c r="L1643" t="inlineStr">
        <is>
          <t>[Emmaus, Pa.] : Rodale ; [New York] : Distributed to the trade by Holtzbrinck Publishers, c2005.</t>
        </is>
      </c>
      <c r="M1643" t="inlineStr">
        <is>
          <t>2005</t>
        </is>
      </c>
      <c r="O1643" t="inlineStr">
        <is>
          <t>eng</t>
        </is>
      </c>
      <c r="P1643" t="inlineStr">
        <is>
          <t>pau</t>
        </is>
      </c>
      <c r="R1643" t="inlineStr">
        <is>
          <t xml:space="preserve">GV </t>
        </is>
      </c>
      <c r="S1643" t="n">
        <v>3</v>
      </c>
      <c r="T1643" t="n">
        <v>3</v>
      </c>
      <c r="U1643" t="inlineStr">
        <is>
          <t>2005-10-07</t>
        </is>
      </c>
      <c r="V1643" t="inlineStr">
        <is>
          <t>2005-10-07</t>
        </is>
      </c>
      <c r="W1643" t="inlineStr">
        <is>
          <t>2005-04-30</t>
        </is>
      </c>
      <c r="X1643" t="inlineStr">
        <is>
          <t>2005-04-30</t>
        </is>
      </c>
      <c r="Y1643" t="n">
        <v>424</v>
      </c>
      <c r="Z1643" t="n">
        <v>414</v>
      </c>
      <c r="AA1643" t="n">
        <v>462</v>
      </c>
      <c r="AB1643" t="n">
        <v>3</v>
      </c>
      <c r="AC1643" t="n">
        <v>3</v>
      </c>
      <c r="AD1643" t="n">
        <v>3</v>
      </c>
      <c r="AE1643" t="n">
        <v>3</v>
      </c>
      <c r="AF1643" t="n">
        <v>1</v>
      </c>
      <c r="AG1643" t="n">
        <v>1</v>
      </c>
      <c r="AH1643" t="n">
        <v>1</v>
      </c>
      <c r="AI1643" t="n">
        <v>1</v>
      </c>
      <c r="AJ1643" t="n">
        <v>2</v>
      </c>
      <c r="AK1643" t="n">
        <v>2</v>
      </c>
      <c r="AL1643" t="n">
        <v>0</v>
      </c>
      <c r="AM1643" t="n">
        <v>0</v>
      </c>
      <c r="AN1643" t="n">
        <v>0</v>
      </c>
      <c r="AO1643" t="n">
        <v>0</v>
      </c>
      <c r="AP1643" t="inlineStr">
        <is>
          <t>No</t>
        </is>
      </c>
      <c r="AQ1643" t="inlineStr">
        <is>
          <t>No</t>
        </is>
      </c>
      <c r="AS1643">
        <f>HYPERLINK("https://creighton-primo.hosted.exlibrisgroup.com/primo-explore/search?tab=default_tab&amp;search_scope=EVERYTHING&amp;vid=01CRU&amp;lang=en_US&amp;offset=0&amp;query=any,contains,991004532769702656","Catalog Record")</f>
        <v/>
      </c>
      <c r="AT1643">
        <f>HYPERLINK("http://www.worldcat.org/oclc/57004013","WorldCat Record")</f>
        <v/>
      </c>
      <c r="AU1643" t="inlineStr">
        <is>
          <t>1789:eng</t>
        </is>
      </c>
      <c r="AV1643" t="inlineStr">
        <is>
          <t>57004013</t>
        </is>
      </c>
      <c r="AW1643" t="inlineStr">
        <is>
          <t>991004532769702656</t>
        </is>
      </c>
      <c r="AX1643" t="inlineStr">
        <is>
          <t>991004532769702656</t>
        </is>
      </c>
      <c r="AY1643" t="inlineStr">
        <is>
          <t>2269138010002656</t>
        </is>
      </c>
      <c r="AZ1643" t="inlineStr">
        <is>
          <t>BOOK</t>
        </is>
      </c>
      <c r="BB1643" t="inlineStr">
        <is>
          <t>9781594861079</t>
        </is>
      </c>
      <c r="BC1643" t="inlineStr">
        <is>
          <t>32285005034201</t>
        </is>
      </c>
      <c r="BD1643" t="inlineStr">
        <is>
          <t>893423924</t>
        </is>
      </c>
    </row>
    <row r="1644">
      <c r="A1644" t="inlineStr">
        <is>
          <t>No</t>
        </is>
      </c>
      <c r="B1644" t="inlineStr">
        <is>
          <t>GV884.V37 A3 1997</t>
        </is>
      </c>
      <c r="C1644" t="inlineStr">
        <is>
          <t>0                      GV 0884000V  37                 A  3           1997</t>
        </is>
      </c>
      <c r="D1644" t="inlineStr">
        <is>
          <t>Shooting from the outside : how a coach and her Olympic team transformed women's basketball / Tara VanDerveer with Joan Ryan.</t>
        </is>
      </c>
      <c r="F1644" t="inlineStr">
        <is>
          <t>No</t>
        </is>
      </c>
      <c r="G1644" t="inlineStr">
        <is>
          <t>1</t>
        </is>
      </c>
      <c r="H1644" t="inlineStr">
        <is>
          <t>No</t>
        </is>
      </c>
      <c r="I1644" t="inlineStr">
        <is>
          <t>No</t>
        </is>
      </c>
      <c r="J1644" t="inlineStr">
        <is>
          <t>0</t>
        </is>
      </c>
      <c r="K1644" t="inlineStr">
        <is>
          <t>VanDerveer, Tara.</t>
        </is>
      </c>
      <c r="L1644" t="inlineStr">
        <is>
          <t>New York : Avon Books, c1997.</t>
        </is>
      </c>
      <c r="M1644" t="inlineStr">
        <is>
          <t>1997</t>
        </is>
      </c>
      <c r="N1644" t="inlineStr">
        <is>
          <t>1st ed.</t>
        </is>
      </c>
      <c r="O1644" t="inlineStr">
        <is>
          <t>eng</t>
        </is>
      </c>
      <c r="P1644" t="inlineStr">
        <is>
          <t>nyu</t>
        </is>
      </c>
      <c r="R1644" t="inlineStr">
        <is>
          <t xml:space="preserve">GV </t>
        </is>
      </c>
      <c r="S1644" t="n">
        <v>3</v>
      </c>
      <c r="T1644" t="n">
        <v>3</v>
      </c>
      <c r="U1644" t="inlineStr">
        <is>
          <t>1999-04-10</t>
        </is>
      </c>
      <c r="V1644" t="inlineStr">
        <is>
          <t>1999-04-10</t>
        </is>
      </c>
      <c r="W1644" t="inlineStr">
        <is>
          <t>1997-11-24</t>
        </is>
      </c>
      <c r="X1644" t="inlineStr">
        <is>
          <t>1997-11-24</t>
        </is>
      </c>
      <c r="Y1644" t="n">
        <v>543</v>
      </c>
      <c r="Z1644" t="n">
        <v>525</v>
      </c>
      <c r="AA1644" t="n">
        <v>559</v>
      </c>
      <c r="AB1644" t="n">
        <v>6</v>
      </c>
      <c r="AC1644" t="n">
        <v>6</v>
      </c>
      <c r="AD1644" t="n">
        <v>7</v>
      </c>
      <c r="AE1644" t="n">
        <v>7</v>
      </c>
      <c r="AF1644" t="n">
        <v>0</v>
      </c>
      <c r="AG1644" t="n">
        <v>0</v>
      </c>
      <c r="AH1644" t="n">
        <v>1</v>
      </c>
      <c r="AI1644" t="n">
        <v>1</v>
      </c>
      <c r="AJ1644" t="n">
        <v>2</v>
      </c>
      <c r="AK1644" t="n">
        <v>2</v>
      </c>
      <c r="AL1644" t="n">
        <v>4</v>
      </c>
      <c r="AM1644" t="n">
        <v>4</v>
      </c>
      <c r="AN1644" t="n">
        <v>0</v>
      </c>
      <c r="AO1644" t="n">
        <v>0</v>
      </c>
      <c r="AP1644" t="inlineStr">
        <is>
          <t>No</t>
        </is>
      </c>
      <c r="AQ1644" t="inlineStr">
        <is>
          <t>No</t>
        </is>
      </c>
      <c r="AS1644">
        <f>HYPERLINK("https://creighton-primo.hosted.exlibrisgroup.com/primo-explore/search?tab=default_tab&amp;search_scope=EVERYTHING&amp;vid=01CRU&amp;lang=en_US&amp;offset=0&amp;query=any,contains,991002788429702656","Catalog Record")</f>
        <v/>
      </c>
      <c r="AT1644">
        <f>HYPERLINK("http://www.worldcat.org/oclc/36629871","WorldCat Record")</f>
        <v/>
      </c>
      <c r="AU1644" t="inlineStr">
        <is>
          <t>534888:eng</t>
        </is>
      </c>
      <c r="AV1644" t="inlineStr">
        <is>
          <t>36629871</t>
        </is>
      </c>
      <c r="AW1644" t="inlineStr">
        <is>
          <t>991002788429702656</t>
        </is>
      </c>
      <c r="AX1644" t="inlineStr">
        <is>
          <t>991002788429702656</t>
        </is>
      </c>
      <c r="AY1644" t="inlineStr">
        <is>
          <t>2263468970002656</t>
        </is>
      </c>
      <c r="AZ1644" t="inlineStr">
        <is>
          <t>BOOK</t>
        </is>
      </c>
      <c r="BB1644" t="inlineStr">
        <is>
          <t>9780380975884</t>
        </is>
      </c>
      <c r="BC1644" t="inlineStr">
        <is>
          <t>32285003273637</t>
        </is>
      </c>
      <c r="BD1644" t="inlineStr">
        <is>
          <t>893317254</t>
        </is>
      </c>
    </row>
    <row r="1645">
      <c r="A1645" t="inlineStr">
        <is>
          <t>No</t>
        </is>
      </c>
      <c r="B1645" t="inlineStr">
        <is>
          <t>GV885 .B375 1985</t>
        </is>
      </c>
      <c r="C1645" t="inlineStr">
        <is>
          <t>0                      GV 0885000B  375         1985</t>
        </is>
      </c>
      <c r="D1645" t="inlineStr">
        <is>
          <t>Butch Beard's Basic basketball : the complete player / by Butch Beard with Glenn Popowitz &amp; David Samson. Foreword by "Dr.J." Julius Erving.</t>
        </is>
      </c>
      <c r="F1645" t="inlineStr">
        <is>
          <t>No</t>
        </is>
      </c>
      <c r="G1645" t="inlineStr">
        <is>
          <t>1</t>
        </is>
      </c>
      <c r="H1645" t="inlineStr">
        <is>
          <t>No</t>
        </is>
      </c>
      <c r="I1645" t="inlineStr">
        <is>
          <t>No</t>
        </is>
      </c>
      <c r="J1645" t="inlineStr">
        <is>
          <t>0</t>
        </is>
      </c>
      <c r="K1645" t="inlineStr">
        <is>
          <t>Beard, Butch, 1947-</t>
        </is>
      </c>
      <c r="L1645" t="inlineStr">
        <is>
          <t>New York : M. Kesend, 1985.</t>
        </is>
      </c>
      <c r="M1645" t="inlineStr">
        <is>
          <t>1985</t>
        </is>
      </c>
      <c r="O1645" t="inlineStr">
        <is>
          <t>eng</t>
        </is>
      </c>
      <c r="P1645" t="inlineStr">
        <is>
          <t>nyu</t>
        </is>
      </c>
      <c r="R1645" t="inlineStr">
        <is>
          <t xml:space="preserve">GV </t>
        </is>
      </c>
      <c r="S1645" t="n">
        <v>14</v>
      </c>
      <c r="T1645" t="n">
        <v>14</v>
      </c>
      <c r="U1645" t="inlineStr">
        <is>
          <t>2006-06-28</t>
        </is>
      </c>
      <c r="V1645" t="inlineStr">
        <is>
          <t>2006-06-28</t>
        </is>
      </c>
      <c r="W1645" t="inlineStr">
        <is>
          <t>1995-01-25</t>
        </is>
      </c>
      <c r="X1645" t="inlineStr">
        <is>
          <t>1995-01-25</t>
        </is>
      </c>
      <c r="Y1645" t="n">
        <v>336</v>
      </c>
      <c r="Z1645" t="n">
        <v>325</v>
      </c>
      <c r="AA1645" t="n">
        <v>364</v>
      </c>
      <c r="AB1645" t="n">
        <v>3</v>
      </c>
      <c r="AC1645" t="n">
        <v>3</v>
      </c>
      <c r="AD1645" t="n">
        <v>0</v>
      </c>
      <c r="AE1645" t="n">
        <v>0</v>
      </c>
      <c r="AF1645" t="n">
        <v>0</v>
      </c>
      <c r="AG1645" t="n">
        <v>0</v>
      </c>
      <c r="AH1645" t="n">
        <v>0</v>
      </c>
      <c r="AI1645" t="n">
        <v>0</v>
      </c>
      <c r="AJ1645" t="n">
        <v>0</v>
      </c>
      <c r="AK1645" t="n">
        <v>0</v>
      </c>
      <c r="AL1645" t="n">
        <v>0</v>
      </c>
      <c r="AM1645" t="n">
        <v>0</v>
      </c>
      <c r="AN1645" t="n">
        <v>0</v>
      </c>
      <c r="AO1645" t="n">
        <v>0</v>
      </c>
      <c r="AP1645" t="inlineStr">
        <is>
          <t>No</t>
        </is>
      </c>
      <c r="AQ1645" t="inlineStr">
        <is>
          <t>Yes</t>
        </is>
      </c>
      <c r="AR1645">
        <f>HYPERLINK("http://catalog.hathitrust.org/Record/009822317","HathiTrust Record")</f>
        <v/>
      </c>
      <c r="AS1645">
        <f>HYPERLINK("https://creighton-primo.hosted.exlibrisgroup.com/primo-explore/search?tab=default_tab&amp;search_scope=EVERYTHING&amp;vid=01CRU&amp;lang=en_US&amp;offset=0&amp;query=any,contains,991000678369702656","Catalog Record")</f>
        <v/>
      </c>
      <c r="AT1645">
        <f>HYPERLINK("http://www.worldcat.org/oclc/12371007","WorldCat Record")</f>
        <v/>
      </c>
      <c r="AU1645" t="inlineStr">
        <is>
          <t>5030996:eng</t>
        </is>
      </c>
      <c r="AV1645" t="inlineStr">
        <is>
          <t>12371007</t>
        </is>
      </c>
      <c r="AW1645" t="inlineStr">
        <is>
          <t>991000678369702656</t>
        </is>
      </c>
      <c r="AX1645" t="inlineStr">
        <is>
          <t>991000678369702656</t>
        </is>
      </c>
      <c r="AY1645" t="inlineStr">
        <is>
          <t>2261708120002656</t>
        </is>
      </c>
      <c r="AZ1645" t="inlineStr">
        <is>
          <t>BOOK</t>
        </is>
      </c>
      <c r="BB1645" t="inlineStr">
        <is>
          <t>9780935576146</t>
        </is>
      </c>
      <c r="BC1645" t="inlineStr">
        <is>
          <t>32285001778983</t>
        </is>
      </c>
      <c r="BD1645" t="inlineStr">
        <is>
          <t>893802989</t>
        </is>
      </c>
    </row>
    <row r="1646">
      <c r="A1646" t="inlineStr">
        <is>
          <t>No</t>
        </is>
      </c>
      <c r="B1646" t="inlineStr">
        <is>
          <t>GV885 .C623 1987</t>
        </is>
      </c>
      <c r="C1646" t="inlineStr">
        <is>
          <t>0                      GV 0885000C  623         1987</t>
        </is>
      </c>
      <c r="D1646" t="inlineStr">
        <is>
          <t>Basketball : player movement skills / John M. Cooper.</t>
        </is>
      </c>
      <c r="F1646" t="inlineStr">
        <is>
          <t>No</t>
        </is>
      </c>
      <c r="G1646" t="inlineStr">
        <is>
          <t>1</t>
        </is>
      </c>
      <c r="H1646" t="inlineStr">
        <is>
          <t>No</t>
        </is>
      </c>
      <c r="I1646" t="inlineStr">
        <is>
          <t>No</t>
        </is>
      </c>
      <c r="J1646" t="inlineStr">
        <is>
          <t>0</t>
        </is>
      </c>
      <c r="K1646" t="inlineStr">
        <is>
          <t>Cooper, John M. (John Miller), 1912-2010.</t>
        </is>
      </c>
      <c r="L1646" t="inlineStr">
        <is>
          <t>Indianapolis, Ind. : Benchmark Press, c1987.</t>
        </is>
      </c>
      <c r="M1646" t="inlineStr">
        <is>
          <t>1987</t>
        </is>
      </c>
      <c r="O1646" t="inlineStr">
        <is>
          <t>eng</t>
        </is>
      </c>
      <c r="P1646" t="inlineStr">
        <is>
          <t>inu</t>
        </is>
      </c>
      <c r="R1646" t="inlineStr">
        <is>
          <t xml:space="preserve">GV </t>
        </is>
      </c>
      <c r="S1646" t="n">
        <v>22</v>
      </c>
      <c r="T1646" t="n">
        <v>22</v>
      </c>
      <c r="U1646" t="inlineStr">
        <is>
          <t>2006-06-28</t>
        </is>
      </c>
      <c r="V1646" t="inlineStr">
        <is>
          <t>2006-06-28</t>
        </is>
      </c>
      <c r="W1646" t="inlineStr">
        <is>
          <t>1990-10-29</t>
        </is>
      </c>
      <c r="X1646" t="inlineStr">
        <is>
          <t>1990-10-29</t>
        </is>
      </c>
      <c r="Y1646" t="n">
        <v>159</v>
      </c>
      <c r="Z1646" t="n">
        <v>148</v>
      </c>
      <c r="AA1646" t="n">
        <v>148</v>
      </c>
      <c r="AB1646" t="n">
        <v>4</v>
      </c>
      <c r="AC1646" t="n">
        <v>4</v>
      </c>
      <c r="AD1646" t="n">
        <v>5</v>
      </c>
      <c r="AE1646" t="n">
        <v>5</v>
      </c>
      <c r="AF1646" t="n">
        <v>2</v>
      </c>
      <c r="AG1646" t="n">
        <v>2</v>
      </c>
      <c r="AH1646" t="n">
        <v>0</v>
      </c>
      <c r="AI1646" t="n">
        <v>0</v>
      </c>
      <c r="AJ1646" t="n">
        <v>0</v>
      </c>
      <c r="AK1646" t="n">
        <v>0</v>
      </c>
      <c r="AL1646" t="n">
        <v>3</v>
      </c>
      <c r="AM1646" t="n">
        <v>3</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HYPERLINK("https://creighton-primo.hosted.exlibrisgroup.com/primo-explore/search?tab=default_tab&amp;search_scope=EVERYTHING&amp;vid=01CRU&amp;lang=en_US&amp;offset=0&amp;query=any,contains,991001175859702656","Catalog Record")</f>
        <v/>
      </c>
      <c r="AT1646">
        <f>HYPERLINK("http://www.worldcat.org/oclc/17007189","WorldCat Record")</f>
        <v/>
      </c>
      <c r="AU1646" t="inlineStr">
        <is>
          <t>1024478828:eng</t>
        </is>
      </c>
      <c r="AV1646" t="inlineStr">
        <is>
          <t>17007189</t>
        </is>
      </c>
      <c r="AW1646" t="inlineStr">
        <is>
          <t>991001175859702656</t>
        </is>
      </c>
      <c r="AX1646" t="inlineStr">
        <is>
          <t>991001175859702656</t>
        </is>
      </c>
      <c r="AY1646" t="inlineStr">
        <is>
          <t>2266764670002656</t>
        </is>
      </c>
      <c r="AZ1646" t="inlineStr">
        <is>
          <t>BOOK</t>
        </is>
      </c>
      <c r="BB1646" t="inlineStr">
        <is>
          <t>9780936157115</t>
        </is>
      </c>
      <c r="BC1646" t="inlineStr">
        <is>
          <t>32285000344423</t>
        </is>
      </c>
      <c r="BD1646" t="inlineStr">
        <is>
          <t>893702813</t>
        </is>
      </c>
    </row>
    <row r="1647">
      <c r="A1647" t="inlineStr">
        <is>
          <t>No</t>
        </is>
      </c>
      <c r="B1647" t="inlineStr">
        <is>
          <t>GV885 .L4</t>
        </is>
      </c>
      <c r="C1647" t="inlineStr">
        <is>
          <t>0                      GV 0885000L  4</t>
        </is>
      </c>
      <c r="D1647" t="inlineStr">
        <is>
          <t>Basketball fundamentals : teaching techniques for winning / Jack Lehane.</t>
        </is>
      </c>
      <c r="F1647" t="inlineStr">
        <is>
          <t>No</t>
        </is>
      </c>
      <c r="G1647" t="inlineStr">
        <is>
          <t>1</t>
        </is>
      </c>
      <c r="H1647" t="inlineStr">
        <is>
          <t>No</t>
        </is>
      </c>
      <c r="I1647" t="inlineStr">
        <is>
          <t>No</t>
        </is>
      </c>
      <c r="J1647" t="inlineStr">
        <is>
          <t>0</t>
        </is>
      </c>
      <c r="K1647" t="inlineStr">
        <is>
          <t>Lehane, Jack, 1935-</t>
        </is>
      </c>
      <c r="L1647" t="inlineStr">
        <is>
          <t>Boston : Allyn and Bacon, c1981.</t>
        </is>
      </c>
      <c r="M1647" t="inlineStr">
        <is>
          <t>1981</t>
        </is>
      </c>
      <c r="O1647" t="inlineStr">
        <is>
          <t>eng</t>
        </is>
      </c>
      <c r="P1647" t="inlineStr">
        <is>
          <t>mau</t>
        </is>
      </c>
      <c r="R1647" t="inlineStr">
        <is>
          <t xml:space="preserve">GV </t>
        </is>
      </c>
      <c r="S1647" t="n">
        <v>16</v>
      </c>
      <c r="T1647" t="n">
        <v>16</v>
      </c>
      <c r="U1647" t="inlineStr">
        <is>
          <t>2006-09-25</t>
        </is>
      </c>
      <c r="V1647" t="inlineStr">
        <is>
          <t>2006-09-25</t>
        </is>
      </c>
      <c r="W1647" t="inlineStr">
        <is>
          <t>1990-10-29</t>
        </is>
      </c>
      <c r="X1647" t="inlineStr">
        <is>
          <t>1990-10-29</t>
        </is>
      </c>
      <c r="Y1647" t="n">
        <v>155</v>
      </c>
      <c r="Z1647" t="n">
        <v>126</v>
      </c>
      <c r="AA1647" t="n">
        <v>128</v>
      </c>
      <c r="AB1647" t="n">
        <v>2</v>
      </c>
      <c r="AC1647" t="n">
        <v>2</v>
      </c>
      <c r="AD1647" t="n">
        <v>3</v>
      </c>
      <c r="AE1647" t="n">
        <v>3</v>
      </c>
      <c r="AF1647" t="n">
        <v>1</v>
      </c>
      <c r="AG1647" t="n">
        <v>1</v>
      </c>
      <c r="AH1647" t="n">
        <v>1</v>
      </c>
      <c r="AI1647" t="n">
        <v>1</v>
      </c>
      <c r="AJ1647" t="n">
        <v>0</v>
      </c>
      <c r="AK1647" t="n">
        <v>0</v>
      </c>
      <c r="AL1647" t="n">
        <v>1</v>
      </c>
      <c r="AM1647" t="n">
        <v>1</v>
      </c>
      <c r="AN1647" t="n">
        <v>0</v>
      </c>
      <c r="AO1647" t="n">
        <v>0</v>
      </c>
      <c r="AP1647" t="inlineStr">
        <is>
          <t>No</t>
        </is>
      </c>
      <c r="AQ1647" t="inlineStr">
        <is>
          <t>Yes</t>
        </is>
      </c>
      <c r="AR1647">
        <f>HYPERLINK("http://catalog.hathitrust.org/Record/009822348","HathiTrust Record")</f>
        <v/>
      </c>
      <c r="AS1647">
        <f>HYPERLINK("https://creighton-primo.hosted.exlibrisgroup.com/primo-explore/search?tab=default_tab&amp;search_scope=EVERYTHING&amp;vid=01CRU&amp;lang=en_US&amp;offset=0&amp;query=any,contains,991004999279702656","Catalog Record")</f>
        <v/>
      </c>
      <c r="AT1647">
        <f>HYPERLINK("http://www.worldcat.org/oclc/6533105","WorldCat Record")</f>
        <v/>
      </c>
      <c r="AU1647" t="inlineStr">
        <is>
          <t>426909098:eng</t>
        </is>
      </c>
      <c r="AV1647" t="inlineStr">
        <is>
          <t>6533105</t>
        </is>
      </c>
      <c r="AW1647" t="inlineStr">
        <is>
          <t>991004999279702656</t>
        </is>
      </c>
      <c r="AX1647" t="inlineStr">
        <is>
          <t>991004999279702656</t>
        </is>
      </c>
      <c r="AY1647" t="inlineStr">
        <is>
          <t>2262441370002656</t>
        </is>
      </c>
      <c r="AZ1647" t="inlineStr">
        <is>
          <t>BOOK</t>
        </is>
      </c>
      <c r="BB1647" t="inlineStr">
        <is>
          <t>9780205071197</t>
        </is>
      </c>
      <c r="BC1647" t="inlineStr">
        <is>
          <t>32285000344456</t>
        </is>
      </c>
      <c r="BD1647" t="inlineStr">
        <is>
          <t>893606697</t>
        </is>
      </c>
    </row>
    <row r="1648">
      <c r="A1648" t="inlineStr">
        <is>
          <t>No</t>
        </is>
      </c>
      <c r="B1648" t="inlineStr">
        <is>
          <t>GV885 .W373 2007</t>
        </is>
      </c>
      <c r="C1648" t="inlineStr">
        <is>
          <t>0                      GV 0885000W  373         2007</t>
        </is>
      </c>
      <c r="D1648" t="inlineStr">
        <is>
          <t>Life in the valley of death : some aspects of race in men's basketball in the Missouri Valley Conference, 1959-1960 to 1963-1964 / Edward R. Ward.</t>
        </is>
      </c>
      <c r="F1648" t="inlineStr">
        <is>
          <t>No</t>
        </is>
      </c>
      <c r="G1648" t="inlineStr">
        <is>
          <t>1</t>
        </is>
      </c>
      <c r="H1648" t="inlineStr">
        <is>
          <t>No</t>
        </is>
      </c>
      <c r="I1648" t="inlineStr">
        <is>
          <t>No</t>
        </is>
      </c>
      <c r="J1648" t="inlineStr">
        <is>
          <t>0</t>
        </is>
      </c>
      <c r="K1648" t="inlineStr">
        <is>
          <t>Ward, Edward R., 1946-</t>
        </is>
      </c>
      <c r="L1648" t="inlineStr">
        <is>
          <t>West Chicago, Ill. : Graphix Products, c2007.</t>
        </is>
      </c>
      <c r="M1648" t="inlineStr">
        <is>
          <t>2007</t>
        </is>
      </c>
      <c r="O1648" t="inlineStr">
        <is>
          <t>eng</t>
        </is>
      </c>
      <c r="P1648" t="inlineStr">
        <is>
          <t>ilu</t>
        </is>
      </c>
      <c r="R1648" t="inlineStr">
        <is>
          <t xml:space="preserve">GV </t>
        </is>
      </c>
      <c r="S1648" t="n">
        <v>1</v>
      </c>
      <c r="T1648" t="n">
        <v>1</v>
      </c>
      <c r="U1648" t="inlineStr">
        <is>
          <t>2008-01-09</t>
        </is>
      </c>
      <c r="V1648" t="inlineStr">
        <is>
          <t>2008-01-09</t>
        </is>
      </c>
      <c r="W1648" t="inlineStr">
        <is>
          <t>2008-01-09</t>
        </is>
      </c>
      <c r="X1648" t="inlineStr">
        <is>
          <t>2008-01-09</t>
        </is>
      </c>
      <c r="Y1648" t="n">
        <v>17</v>
      </c>
      <c r="Z1648" t="n">
        <v>17</v>
      </c>
      <c r="AA1648" t="n">
        <v>17</v>
      </c>
      <c r="AB1648" t="n">
        <v>1</v>
      </c>
      <c r="AC1648" t="n">
        <v>1</v>
      </c>
      <c r="AD1648" t="n">
        <v>3</v>
      </c>
      <c r="AE1648" t="n">
        <v>3</v>
      </c>
      <c r="AF1648" t="n">
        <v>2</v>
      </c>
      <c r="AG1648" t="n">
        <v>2</v>
      </c>
      <c r="AH1648" t="n">
        <v>0</v>
      </c>
      <c r="AI1648" t="n">
        <v>0</v>
      </c>
      <c r="AJ1648" t="n">
        <v>1</v>
      </c>
      <c r="AK1648" t="n">
        <v>1</v>
      </c>
      <c r="AL1648" t="n">
        <v>0</v>
      </c>
      <c r="AM1648" t="n">
        <v>0</v>
      </c>
      <c r="AN1648" t="n">
        <v>0</v>
      </c>
      <c r="AO1648" t="n">
        <v>0</v>
      </c>
      <c r="AP1648" t="inlineStr">
        <is>
          <t>No</t>
        </is>
      </c>
      <c r="AQ1648" t="inlineStr">
        <is>
          <t>No</t>
        </is>
      </c>
      <c r="AS1648">
        <f>HYPERLINK("https://creighton-primo.hosted.exlibrisgroup.com/primo-explore/search?tab=default_tab&amp;search_scope=EVERYTHING&amp;vid=01CRU&amp;lang=en_US&amp;offset=0&amp;query=any,contains,991005168919702656","Catalog Record")</f>
        <v/>
      </c>
      <c r="AT1648">
        <f>HYPERLINK("http://www.worldcat.org/oclc/156848462","WorldCat Record")</f>
        <v/>
      </c>
      <c r="AU1648" t="inlineStr">
        <is>
          <t>105064908:eng</t>
        </is>
      </c>
      <c r="AV1648" t="inlineStr">
        <is>
          <t>156848462</t>
        </is>
      </c>
      <c r="AW1648" t="inlineStr">
        <is>
          <t>991005168919702656</t>
        </is>
      </c>
      <c r="AX1648" t="inlineStr">
        <is>
          <t>991005168919702656</t>
        </is>
      </c>
      <c r="AY1648" t="inlineStr">
        <is>
          <t>2267903020002656</t>
        </is>
      </c>
      <c r="AZ1648" t="inlineStr">
        <is>
          <t>BOOK</t>
        </is>
      </c>
      <c r="BB1648" t="inlineStr">
        <is>
          <t>9780974998916</t>
        </is>
      </c>
      <c r="BC1648" t="inlineStr">
        <is>
          <t>32285005375752</t>
        </is>
      </c>
      <c r="BD1648" t="inlineStr">
        <is>
          <t>893722810</t>
        </is>
      </c>
    </row>
    <row r="1649">
      <c r="A1649" t="inlineStr">
        <is>
          <t>No</t>
        </is>
      </c>
      <c r="B1649" t="inlineStr">
        <is>
          <t>GV885 .W484 1991</t>
        </is>
      </c>
      <c r="C1649" t="inlineStr">
        <is>
          <t>0                      GV 0885000W  484         1991</t>
        </is>
      </c>
      <c r="D1649" t="inlineStr">
        <is>
          <t>Teaching basketball / N. Sue Whiddon, Howard Reynolds.</t>
        </is>
      </c>
      <c r="F1649" t="inlineStr">
        <is>
          <t>No</t>
        </is>
      </c>
      <c r="G1649" t="inlineStr">
        <is>
          <t>1</t>
        </is>
      </c>
      <c r="H1649" t="inlineStr">
        <is>
          <t>No</t>
        </is>
      </c>
      <c r="I1649" t="inlineStr">
        <is>
          <t>No</t>
        </is>
      </c>
      <c r="J1649" t="inlineStr">
        <is>
          <t>0</t>
        </is>
      </c>
      <c r="K1649" t="inlineStr">
        <is>
          <t>Whiddon, N. Sue.</t>
        </is>
      </c>
      <c r="L1649" t="inlineStr">
        <is>
          <t>Prospect Heights, Ill. : Waveland Press, 1991, c1983.</t>
        </is>
      </c>
      <c r="M1649" t="inlineStr">
        <is>
          <t>1991</t>
        </is>
      </c>
      <c r="O1649" t="inlineStr">
        <is>
          <t>eng</t>
        </is>
      </c>
      <c r="P1649" t="inlineStr">
        <is>
          <t>ilu</t>
        </is>
      </c>
      <c r="R1649" t="inlineStr">
        <is>
          <t xml:space="preserve">GV </t>
        </is>
      </c>
      <c r="S1649" t="n">
        <v>16</v>
      </c>
      <c r="T1649" t="n">
        <v>16</v>
      </c>
      <c r="U1649" t="inlineStr">
        <is>
          <t>2000-02-01</t>
        </is>
      </c>
      <c r="V1649" t="inlineStr">
        <is>
          <t>2000-02-01</t>
        </is>
      </c>
      <c r="W1649" t="inlineStr">
        <is>
          <t>1992-01-30</t>
        </is>
      </c>
      <c r="X1649" t="inlineStr">
        <is>
          <t>1992-01-30</t>
        </is>
      </c>
      <c r="Y1649" t="n">
        <v>32</v>
      </c>
      <c r="Z1649" t="n">
        <v>32</v>
      </c>
      <c r="AA1649" t="n">
        <v>108</v>
      </c>
      <c r="AB1649" t="n">
        <v>1</v>
      </c>
      <c r="AC1649" t="n">
        <v>2</v>
      </c>
      <c r="AD1649" t="n">
        <v>0</v>
      </c>
      <c r="AE1649" t="n">
        <v>1</v>
      </c>
      <c r="AF1649" t="n">
        <v>0</v>
      </c>
      <c r="AG1649" t="n">
        <v>0</v>
      </c>
      <c r="AH1649" t="n">
        <v>0</v>
      </c>
      <c r="AI1649" t="n">
        <v>0</v>
      </c>
      <c r="AJ1649" t="n">
        <v>0</v>
      </c>
      <c r="AK1649" t="n">
        <v>0</v>
      </c>
      <c r="AL1649" t="n">
        <v>0</v>
      </c>
      <c r="AM1649" t="n">
        <v>1</v>
      </c>
      <c r="AN1649" t="n">
        <v>0</v>
      </c>
      <c r="AO1649" t="n">
        <v>0</v>
      </c>
      <c r="AP1649" t="inlineStr">
        <is>
          <t>No</t>
        </is>
      </c>
      <c r="AQ1649" t="inlineStr">
        <is>
          <t>No</t>
        </is>
      </c>
      <c r="AS1649">
        <f>HYPERLINK("https://creighton-primo.hosted.exlibrisgroup.com/primo-explore/search?tab=default_tab&amp;search_scope=EVERYTHING&amp;vid=01CRU&amp;lang=en_US&amp;offset=0&amp;query=any,contains,991001962009702656","Catalog Record")</f>
        <v/>
      </c>
      <c r="AT1649">
        <f>HYPERLINK("http://www.worldcat.org/oclc/24858615","WorldCat Record")</f>
        <v/>
      </c>
      <c r="AU1649" t="inlineStr">
        <is>
          <t>22185234:eng</t>
        </is>
      </c>
      <c r="AV1649" t="inlineStr">
        <is>
          <t>24858615</t>
        </is>
      </c>
      <c r="AW1649" t="inlineStr">
        <is>
          <t>991001962009702656</t>
        </is>
      </c>
      <c r="AX1649" t="inlineStr">
        <is>
          <t>991001962009702656</t>
        </is>
      </c>
      <c r="AY1649" t="inlineStr">
        <is>
          <t>2259025060002656</t>
        </is>
      </c>
      <c r="AZ1649" t="inlineStr">
        <is>
          <t>BOOK</t>
        </is>
      </c>
      <c r="BB1649" t="inlineStr">
        <is>
          <t>9780881335811</t>
        </is>
      </c>
      <c r="BC1649" t="inlineStr">
        <is>
          <t>32285000945096</t>
        </is>
      </c>
      <c r="BD1649" t="inlineStr">
        <is>
          <t>893497571</t>
        </is>
      </c>
    </row>
    <row r="1650">
      <c r="A1650" t="inlineStr">
        <is>
          <t>No</t>
        </is>
      </c>
      <c r="B1650" t="inlineStr">
        <is>
          <t>GV885.1 .A53 1988</t>
        </is>
      </c>
      <c r="C1650" t="inlineStr">
        <is>
          <t>0                      GV 0885100A  53          1988</t>
        </is>
      </c>
      <c r="D1650" t="inlineStr">
        <is>
          <t>The story of basketball / Dave Anderson ; foreword by Julius Erving.</t>
        </is>
      </c>
      <c r="F1650" t="inlineStr">
        <is>
          <t>No</t>
        </is>
      </c>
      <c r="G1650" t="inlineStr">
        <is>
          <t>1</t>
        </is>
      </c>
      <c r="H1650" t="inlineStr">
        <is>
          <t>No</t>
        </is>
      </c>
      <c r="I1650" t="inlineStr">
        <is>
          <t>No</t>
        </is>
      </c>
      <c r="J1650" t="inlineStr">
        <is>
          <t>0</t>
        </is>
      </c>
      <c r="K1650" t="inlineStr">
        <is>
          <t>Anderson, Dave.</t>
        </is>
      </c>
      <c r="L1650" t="inlineStr">
        <is>
          <t>New York : W. Morrow, c1988.</t>
        </is>
      </c>
      <c r="M1650" t="inlineStr">
        <is>
          <t>1988</t>
        </is>
      </c>
      <c r="O1650" t="inlineStr">
        <is>
          <t>eng</t>
        </is>
      </c>
      <c r="P1650" t="inlineStr">
        <is>
          <t>nyu</t>
        </is>
      </c>
      <c r="R1650" t="inlineStr">
        <is>
          <t xml:space="preserve">GV </t>
        </is>
      </c>
      <c r="S1650" t="n">
        <v>1</v>
      </c>
      <c r="T1650" t="n">
        <v>1</v>
      </c>
      <c r="U1650" t="inlineStr">
        <is>
          <t>2006-11-28</t>
        </is>
      </c>
      <c r="V1650" t="inlineStr">
        <is>
          <t>2006-11-28</t>
        </is>
      </c>
      <c r="W1650" t="inlineStr">
        <is>
          <t>2006-11-28</t>
        </is>
      </c>
      <c r="X1650" t="inlineStr">
        <is>
          <t>2006-11-28</t>
        </is>
      </c>
      <c r="Y1650" t="n">
        <v>547</v>
      </c>
      <c r="Z1650" t="n">
        <v>534</v>
      </c>
      <c r="AA1650" t="n">
        <v>820</v>
      </c>
      <c r="AB1650" t="n">
        <v>2</v>
      </c>
      <c r="AC1650" t="n">
        <v>4</v>
      </c>
      <c r="AD1650" t="n">
        <v>1</v>
      </c>
      <c r="AE1650" t="n">
        <v>4</v>
      </c>
      <c r="AF1650" t="n">
        <v>0</v>
      </c>
      <c r="AG1650" t="n">
        <v>1</v>
      </c>
      <c r="AH1650" t="n">
        <v>1</v>
      </c>
      <c r="AI1650" t="n">
        <v>1</v>
      </c>
      <c r="AJ1650" t="n">
        <v>1</v>
      </c>
      <c r="AK1650" t="n">
        <v>2</v>
      </c>
      <c r="AL1650" t="n">
        <v>0</v>
      </c>
      <c r="AM1650" t="n">
        <v>1</v>
      </c>
      <c r="AN1650" t="n">
        <v>0</v>
      </c>
      <c r="AO1650" t="n">
        <v>0</v>
      </c>
      <c r="AP1650" t="inlineStr">
        <is>
          <t>No</t>
        </is>
      </c>
      <c r="AQ1650" t="inlineStr">
        <is>
          <t>No</t>
        </is>
      </c>
      <c r="AS1650">
        <f>HYPERLINK("https://creighton-primo.hosted.exlibrisgroup.com/primo-explore/search?tab=default_tab&amp;search_scope=EVERYTHING&amp;vid=01CRU&amp;lang=en_US&amp;offset=0&amp;query=any,contains,991004988089702656","Catalog Record")</f>
        <v/>
      </c>
      <c r="AT1650">
        <f>HYPERLINK("http://www.worldcat.org/oclc/17730965","WorldCat Record")</f>
        <v/>
      </c>
      <c r="AU1650" t="inlineStr">
        <is>
          <t>3943486797:eng</t>
        </is>
      </c>
      <c r="AV1650" t="inlineStr">
        <is>
          <t>17730965</t>
        </is>
      </c>
      <c r="AW1650" t="inlineStr">
        <is>
          <t>991004988089702656</t>
        </is>
      </c>
      <c r="AX1650" t="inlineStr">
        <is>
          <t>991004988089702656</t>
        </is>
      </c>
      <c r="AY1650" t="inlineStr">
        <is>
          <t>2269615410002656</t>
        </is>
      </c>
      <c r="AZ1650" t="inlineStr">
        <is>
          <t>BOOK</t>
        </is>
      </c>
      <c r="BB1650" t="inlineStr">
        <is>
          <t>9780688067489</t>
        </is>
      </c>
      <c r="BC1650" t="inlineStr">
        <is>
          <t>32285005262976</t>
        </is>
      </c>
      <c r="BD1650" t="inlineStr">
        <is>
          <t>893492915</t>
        </is>
      </c>
    </row>
    <row r="1651">
      <c r="A1651" t="inlineStr">
        <is>
          <t>No</t>
        </is>
      </c>
      <c r="B1651" t="inlineStr">
        <is>
          <t>GV885.2 .M54</t>
        </is>
      </c>
      <c r="C1651" t="inlineStr">
        <is>
          <t>0                      GV 0885200M  54</t>
        </is>
      </c>
      <c r="D1651" t="inlineStr">
        <is>
          <t>Official's manual, basketball : includes official rules, mechanics, illustrated rules / Gary L. Miller.</t>
        </is>
      </c>
      <c r="F1651" t="inlineStr">
        <is>
          <t>No</t>
        </is>
      </c>
      <c r="G1651" t="inlineStr">
        <is>
          <t>1</t>
        </is>
      </c>
      <c r="H1651" t="inlineStr">
        <is>
          <t>No</t>
        </is>
      </c>
      <c r="I1651" t="inlineStr">
        <is>
          <t>No</t>
        </is>
      </c>
      <c r="J1651" t="inlineStr">
        <is>
          <t>0</t>
        </is>
      </c>
      <c r="K1651" t="inlineStr">
        <is>
          <t>Miller, Gary L.</t>
        </is>
      </c>
      <c r="L1651" t="inlineStr">
        <is>
          <t>West Point, N.Y. : Leisure Press, c1979, 1981 printing.</t>
        </is>
      </c>
      <c r="M1651" t="inlineStr">
        <is>
          <t>1979</t>
        </is>
      </c>
      <c r="O1651" t="inlineStr">
        <is>
          <t>eng</t>
        </is>
      </c>
      <c r="P1651" t="inlineStr">
        <is>
          <t>nyu</t>
        </is>
      </c>
      <c r="R1651" t="inlineStr">
        <is>
          <t xml:space="preserve">GV </t>
        </is>
      </c>
      <c r="S1651" t="n">
        <v>2</v>
      </c>
      <c r="T1651" t="n">
        <v>2</v>
      </c>
      <c r="U1651" t="inlineStr">
        <is>
          <t>1993-02-03</t>
        </is>
      </c>
      <c r="V1651" t="inlineStr">
        <is>
          <t>1993-02-03</t>
        </is>
      </c>
      <c r="W1651" t="inlineStr">
        <is>
          <t>1990-03-21</t>
        </is>
      </c>
      <c r="X1651" t="inlineStr">
        <is>
          <t>1990-03-21</t>
        </is>
      </c>
      <c r="Y1651" t="n">
        <v>89</v>
      </c>
      <c r="Z1651" t="n">
        <v>84</v>
      </c>
      <c r="AA1651" t="n">
        <v>124</v>
      </c>
      <c r="AB1651" t="n">
        <v>1</v>
      </c>
      <c r="AC1651" t="n">
        <v>1</v>
      </c>
      <c r="AD1651" t="n">
        <v>1</v>
      </c>
      <c r="AE1651" t="n">
        <v>2</v>
      </c>
      <c r="AF1651" t="n">
        <v>1</v>
      </c>
      <c r="AG1651" t="n">
        <v>1</v>
      </c>
      <c r="AH1651" t="n">
        <v>0</v>
      </c>
      <c r="AI1651" t="n">
        <v>1</v>
      </c>
      <c r="AJ1651" t="n">
        <v>0</v>
      </c>
      <c r="AK1651" t="n">
        <v>0</v>
      </c>
      <c r="AL1651" t="n">
        <v>0</v>
      </c>
      <c r="AM1651" t="n">
        <v>0</v>
      </c>
      <c r="AN1651" t="n">
        <v>0</v>
      </c>
      <c r="AO1651" t="n">
        <v>0</v>
      </c>
      <c r="AP1651" t="inlineStr">
        <is>
          <t>No</t>
        </is>
      </c>
      <c r="AQ1651" t="inlineStr">
        <is>
          <t>No</t>
        </is>
      </c>
      <c r="AS1651">
        <f>HYPERLINK("https://creighton-primo.hosted.exlibrisgroup.com/primo-explore/search?tab=default_tab&amp;search_scope=EVERYTHING&amp;vid=01CRU&amp;lang=en_US&amp;offset=0&amp;query=any,contains,991000057769702656","Catalog Record")</f>
        <v/>
      </c>
      <c r="AT1651">
        <f>HYPERLINK("http://www.worldcat.org/oclc/8709732","WorldCat Record")</f>
        <v/>
      </c>
      <c r="AU1651" t="inlineStr">
        <is>
          <t>42889270:eng</t>
        </is>
      </c>
      <c r="AV1651" t="inlineStr">
        <is>
          <t>8709732</t>
        </is>
      </c>
      <c r="AW1651" t="inlineStr">
        <is>
          <t>991000057769702656</t>
        </is>
      </c>
      <c r="AX1651" t="inlineStr">
        <is>
          <t>991000057769702656</t>
        </is>
      </c>
      <c r="AY1651" t="inlineStr">
        <is>
          <t>2256682030002656</t>
        </is>
      </c>
      <c r="AZ1651" t="inlineStr">
        <is>
          <t>BOOK</t>
        </is>
      </c>
      <c r="BB1651" t="inlineStr">
        <is>
          <t>9780918438478</t>
        </is>
      </c>
      <c r="BC1651" t="inlineStr">
        <is>
          <t>32285000089267</t>
        </is>
      </c>
      <c r="BD1651" t="inlineStr">
        <is>
          <t>893871365</t>
        </is>
      </c>
    </row>
    <row r="1652">
      <c r="A1652" t="inlineStr">
        <is>
          <t>No</t>
        </is>
      </c>
      <c r="B1652" t="inlineStr">
        <is>
          <t>GV885.3 .C63 2001</t>
        </is>
      </c>
      <c r="C1652" t="inlineStr">
        <is>
          <t>0                      GV 0885300C  63          2001</t>
        </is>
      </c>
      <c r="D1652" t="inlineStr">
        <is>
          <t>Coaching youth basketball / American Sport Education Program.</t>
        </is>
      </c>
      <c r="F1652" t="inlineStr">
        <is>
          <t>No</t>
        </is>
      </c>
      <c r="G1652" t="inlineStr">
        <is>
          <t>1</t>
        </is>
      </c>
      <c r="H1652" t="inlineStr">
        <is>
          <t>No</t>
        </is>
      </c>
      <c r="I1652" t="inlineStr">
        <is>
          <t>No</t>
        </is>
      </c>
      <c r="J1652" t="inlineStr">
        <is>
          <t>0</t>
        </is>
      </c>
      <c r="L1652" t="inlineStr">
        <is>
          <t>Champaign, IL : Human Kinetics, c2001.</t>
        </is>
      </c>
      <c r="M1652" t="inlineStr">
        <is>
          <t>2001</t>
        </is>
      </c>
      <c r="N1652" t="inlineStr">
        <is>
          <t>3rd ed.</t>
        </is>
      </c>
      <c r="O1652" t="inlineStr">
        <is>
          <t>eng</t>
        </is>
      </c>
      <c r="P1652" t="inlineStr">
        <is>
          <t>ilu</t>
        </is>
      </c>
      <c r="R1652" t="inlineStr">
        <is>
          <t xml:space="preserve">GV </t>
        </is>
      </c>
      <c r="S1652" t="n">
        <v>2</v>
      </c>
      <c r="T1652" t="n">
        <v>2</v>
      </c>
      <c r="U1652" t="inlineStr">
        <is>
          <t>2006-09-08</t>
        </is>
      </c>
      <c r="V1652" t="inlineStr">
        <is>
          <t>2006-09-08</t>
        </is>
      </c>
      <c r="W1652" t="inlineStr">
        <is>
          <t>2001-10-01</t>
        </is>
      </c>
      <c r="X1652" t="inlineStr">
        <is>
          <t>2001-10-01</t>
        </is>
      </c>
      <c r="Y1652" t="n">
        <v>415</v>
      </c>
      <c r="Z1652" t="n">
        <v>353</v>
      </c>
      <c r="AA1652" t="n">
        <v>1368</v>
      </c>
      <c r="AB1652" t="n">
        <v>6</v>
      </c>
      <c r="AC1652" t="n">
        <v>12</v>
      </c>
      <c r="AD1652" t="n">
        <v>2</v>
      </c>
      <c r="AE1652" t="n">
        <v>12</v>
      </c>
      <c r="AF1652" t="n">
        <v>0</v>
      </c>
      <c r="AG1652" t="n">
        <v>5</v>
      </c>
      <c r="AH1652" t="n">
        <v>0</v>
      </c>
      <c r="AI1652" t="n">
        <v>3</v>
      </c>
      <c r="AJ1652" t="n">
        <v>0</v>
      </c>
      <c r="AK1652" t="n">
        <v>4</v>
      </c>
      <c r="AL1652" t="n">
        <v>2</v>
      </c>
      <c r="AM1652" t="n">
        <v>5</v>
      </c>
      <c r="AN1652" t="n">
        <v>0</v>
      </c>
      <c r="AO1652" t="n">
        <v>0</v>
      </c>
      <c r="AP1652" t="inlineStr">
        <is>
          <t>No</t>
        </is>
      </c>
      <c r="AQ1652" t="inlineStr">
        <is>
          <t>No</t>
        </is>
      </c>
      <c r="AS1652">
        <f>HYPERLINK("https://creighton-primo.hosted.exlibrisgroup.com/primo-explore/search?tab=default_tab&amp;search_scope=EVERYTHING&amp;vid=01CRU&amp;lang=en_US&amp;offset=0&amp;query=any,contains,991003616469702656","Catalog Record")</f>
        <v/>
      </c>
      <c r="AT1652">
        <f>HYPERLINK("http://www.worldcat.org/oclc/45784376","WorldCat Record")</f>
        <v/>
      </c>
      <c r="AU1652" t="inlineStr">
        <is>
          <t>917510871:eng</t>
        </is>
      </c>
      <c r="AV1652" t="inlineStr">
        <is>
          <t>45784376</t>
        </is>
      </c>
      <c r="AW1652" t="inlineStr">
        <is>
          <t>991003616469702656</t>
        </is>
      </c>
      <c r="AX1652" t="inlineStr">
        <is>
          <t>991003616469702656</t>
        </is>
      </c>
      <c r="AY1652" t="inlineStr">
        <is>
          <t>2257046750002656</t>
        </is>
      </c>
      <c r="AZ1652" t="inlineStr">
        <is>
          <t>BOOK</t>
        </is>
      </c>
      <c r="BB1652" t="inlineStr">
        <is>
          <t>9780736037150</t>
        </is>
      </c>
      <c r="BC1652" t="inlineStr">
        <is>
          <t>32285004393327</t>
        </is>
      </c>
      <c r="BD1652" t="inlineStr">
        <is>
          <t>893428991</t>
        </is>
      </c>
    </row>
    <row r="1653">
      <c r="A1653" t="inlineStr">
        <is>
          <t>No</t>
        </is>
      </c>
      <c r="B1653" t="inlineStr">
        <is>
          <t>GV885.3 .C87 2003</t>
        </is>
      </c>
      <c r="C1653" t="inlineStr">
        <is>
          <t>0                      GV 0885300C  87          2003</t>
        </is>
      </c>
      <c r="D1653" t="inlineStr">
        <is>
          <t>The men of March : a season inside the lives of college basketball coaches / Brian Curtis.</t>
        </is>
      </c>
      <c r="F1653" t="inlineStr">
        <is>
          <t>No</t>
        </is>
      </c>
      <c r="G1653" t="inlineStr">
        <is>
          <t>1</t>
        </is>
      </c>
      <c r="H1653" t="inlineStr">
        <is>
          <t>No</t>
        </is>
      </c>
      <c r="I1653" t="inlineStr">
        <is>
          <t>No</t>
        </is>
      </c>
      <c r="J1653" t="inlineStr">
        <is>
          <t>0</t>
        </is>
      </c>
      <c r="K1653" t="inlineStr">
        <is>
          <t>Curtis, Brian, 1971-</t>
        </is>
      </c>
      <c r="L1653" t="inlineStr">
        <is>
          <t>Lanham, Md. : Taylor Trade Pub., c2003.</t>
        </is>
      </c>
      <c r="M1653" t="inlineStr">
        <is>
          <t>2003</t>
        </is>
      </c>
      <c r="O1653" t="inlineStr">
        <is>
          <t>eng</t>
        </is>
      </c>
      <c r="P1653" t="inlineStr">
        <is>
          <t>mdu</t>
        </is>
      </c>
      <c r="R1653" t="inlineStr">
        <is>
          <t xml:space="preserve">GV </t>
        </is>
      </c>
      <c r="S1653" t="n">
        <v>3</v>
      </c>
      <c r="T1653" t="n">
        <v>3</v>
      </c>
      <c r="U1653" t="inlineStr">
        <is>
          <t>2010-02-22</t>
        </is>
      </c>
      <c r="V1653" t="inlineStr">
        <is>
          <t>2010-02-22</t>
        </is>
      </c>
      <c r="W1653" t="inlineStr">
        <is>
          <t>2009-06-24</t>
        </is>
      </c>
      <c r="X1653" t="inlineStr">
        <is>
          <t>2009-06-24</t>
        </is>
      </c>
      <c r="Y1653" t="n">
        <v>198</v>
      </c>
      <c r="Z1653" t="n">
        <v>196</v>
      </c>
      <c r="AA1653" t="n">
        <v>201</v>
      </c>
      <c r="AB1653" t="n">
        <v>3</v>
      </c>
      <c r="AC1653" t="n">
        <v>3</v>
      </c>
      <c r="AD1653" t="n">
        <v>6</v>
      </c>
      <c r="AE1653" t="n">
        <v>6</v>
      </c>
      <c r="AF1653" t="n">
        <v>3</v>
      </c>
      <c r="AG1653" t="n">
        <v>3</v>
      </c>
      <c r="AH1653" t="n">
        <v>1</v>
      </c>
      <c r="AI1653" t="n">
        <v>1</v>
      </c>
      <c r="AJ1653" t="n">
        <v>1</v>
      </c>
      <c r="AK1653" t="n">
        <v>1</v>
      </c>
      <c r="AL1653" t="n">
        <v>2</v>
      </c>
      <c r="AM1653" t="n">
        <v>2</v>
      </c>
      <c r="AN1653" t="n">
        <v>0</v>
      </c>
      <c r="AO1653" t="n">
        <v>0</v>
      </c>
      <c r="AP1653" t="inlineStr">
        <is>
          <t>No</t>
        </is>
      </c>
      <c r="AQ1653" t="inlineStr">
        <is>
          <t>No</t>
        </is>
      </c>
      <c r="AS1653">
        <f>HYPERLINK("https://creighton-primo.hosted.exlibrisgroup.com/primo-explore/search?tab=default_tab&amp;search_scope=EVERYTHING&amp;vid=01CRU&amp;lang=en_US&amp;offset=0&amp;query=any,contains,991005324539702656","Catalog Record")</f>
        <v/>
      </c>
      <c r="AT1653">
        <f>HYPERLINK("http://www.worldcat.org/oclc/50803379","WorldCat Record")</f>
        <v/>
      </c>
      <c r="AU1653" t="inlineStr">
        <is>
          <t>10162012640:eng</t>
        </is>
      </c>
      <c r="AV1653" t="inlineStr">
        <is>
          <t>50803379</t>
        </is>
      </c>
      <c r="AW1653" t="inlineStr">
        <is>
          <t>991005324539702656</t>
        </is>
      </c>
      <c r="AX1653" t="inlineStr">
        <is>
          <t>991005324539702656</t>
        </is>
      </c>
      <c r="AY1653" t="inlineStr">
        <is>
          <t>2270865050002656</t>
        </is>
      </c>
      <c r="AZ1653" t="inlineStr">
        <is>
          <t>BOOK</t>
        </is>
      </c>
      <c r="BB1653" t="inlineStr">
        <is>
          <t>9780878333134</t>
        </is>
      </c>
      <c r="BC1653" t="inlineStr">
        <is>
          <t>32285005536734</t>
        </is>
      </c>
      <c r="BD1653" t="inlineStr">
        <is>
          <t>893536551</t>
        </is>
      </c>
    </row>
    <row r="1654">
      <c r="A1654" t="inlineStr">
        <is>
          <t>No</t>
        </is>
      </c>
      <c r="B1654" t="inlineStr">
        <is>
          <t>GV885.3 .M27 1991</t>
        </is>
      </c>
      <c r="C1654" t="inlineStr">
        <is>
          <t>0                      GV 0885300M  27          1991</t>
        </is>
      </c>
      <c r="D1654" t="inlineStr">
        <is>
          <t>Basketball basics : drills, techniques, and strategies for coaches / Howard Marcus.</t>
        </is>
      </c>
      <c r="F1654" t="inlineStr">
        <is>
          <t>No</t>
        </is>
      </c>
      <c r="G1654" t="inlineStr">
        <is>
          <t>1</t>
        </is>
      </c>
      <c r="H1654" t="inlineStr">
        <is>
          <t>No</t>
        </is>
      </c>
      <c r="I1654" t="inlineStr">
        <is>
          <t>No</t>
        </is>
      </c>
      <c r="J1654" t="inlineStr">
        <is>
          <t>0</t>
        </is>
      </c>
      <c r="K1654" t="inlineStr">
        <is>
          <t>Marcus, Howard.</t>
        </is>
      </c>
      <c r="L1654" t="inlineStr">
        <is>
          <t>Chicago : Contemporary Books, c1991.</t>
        </is>
      </c>
      <c r="M1654" t="inlineStr">
        <is>
          <t>1991</t>
        </is>
      </c>
      <c r="O1654" t="inlineStr">
        <is>
          <t>eng</t>
        </is>
      </c>
      <c r="P1654" t="inlineStr">
        <is>
          <t>ilu</t>
        </is>
      </c>
      <c r="R1654" t="inlineStr">
        <is>
          <t xml:space="preserve">GV </t>
        </is>
      </c>
      <c r="S1654" t="n">
        <v>19</v>
      </c>
      <c r="T1654" t="n">
        <v>19</v>
      </c>
      <c r="U1654" t="inlineStr">
        <is>
          <t>2006-06-28</t>
        </is>
      </c>
      <c r="V1654" t="inlineStr">
        <is>
          <t>2006-06-28</t>
        </is>
      </c>
      <c r="W1654" t="inlineStr">
        <is>
          <t>1992-04-02</t>
        </is>
      </c>
      <c r="X1654" t="inlineStr">
        <is>
          <t>1992-04-02</t>
        </is>
      </c>
      <c r="Y1654" t="n">
        <v>389</v>
      </c>
      <c r="Z1654" t="n">
        <v>339</v>
      </c>
      <c r="AA1654" t="n">
        <v>346</v>
      </c>
      <c r="AB1654" t="n">
        <v>3</v>
      </c>
      <c r="AC1654" t="n">
        <v>3</v>
      </c>
      <c r="AD1654" t="n">
        <v>4</v>
      </c>
      <c r="AE1654" t="n">
        <v>4</v>
      </c>
      <c r="AF1654" t="n">
        <v>4</v>
      </c>
      <c r="AG1654" t="n">
        <v>4</v>
      </c>
      <c r="AH1654" t="n">
        <v>1</v>
      </c>
      <c r="AI1654" t="n">
        <v>1</v>
      </c>
      <c r="AJ1654" t="n">
        <v>1</v>
      </c>
      <c r="AK1654" t="n">
        <v>1</v>
      </c>
      <c r="AL1654" t="n">
        <v>0</v>
      </c>
      <c r="AM1654" t="n">
        <v>0</v>
      </c>
      <c r="AN1654" t="n">
        <v>0</v>
      </c>
      <c r="AO1654" t="n">
        <v>0</v>
      </c>
      <c r="AP1654" t="inlineStr">
        <is>
          <t>No</t>
        </is>
      </c>
      <c r="AQ1654" t="inlineStr">
        <is>
          <t>No</t>
        </is>
      </c>
      <c r="AS1654">
        <f>HYPERLINK("https://creighton-primo.hosted.exlibrisgroup.com/primo-explore/search?tab=default_tab&amp;search_scope=EVERYTHING&amp;vid=01CRU&amp;lang=en_US&amp;offset=0&amp;query=any,contains,991001906629702656","Catalog Record")</f>
        <v/>
      </c>
      <c r="AT1654">
        <f>HYPERLINK("http://www.worldcat.org/oclc/24068800","WorldCat Record")</f>
        <v/>
      </c>
      <c r="AU1654" t="inlineStr">
        <is>
          <t>308644169:eng</t>
        </is>
      </c>
      <c r="AV1654" t="inlineStr">
        <is>
          <t>24068800</t>
        </is>
      </c>
      <c r="AW1654" t="inlineStr">
        <is>
          <t>991001906629702656</t>
        </is>
      </c>
      <c r="AX1654" t="inlineStr">
        <is>
          <t>991001906629702656</t>
        </is>
      </c>
      <c r="AY1654" t="inlineStr">
        <is>
          <t>2261379490002656</t>
        </is>
      </c>
      <c r="AZ1654" t="inlineStr">
        <is>
          <t>BOOK</t>
        </is>
      </c>
      <c r="BB1654" t="inlineStr">
        <is>
          <t>9780809239580</t>
        </is>
      </c>
      <c r="BC1654" t="inlineStr">
        <is>
          <t>32285001007912</t>
        </is>
      </c>
      <c r="BD1654" t="inlineStr">
        <is>
          <t>893340811</t>
        </is>
      </c>
    </row>
    <row r="1655">
      <c r="A1655" t="inlineStr">
        <is>
          <t>No</t>
        </is>
      </c>
      <c r="B1655" t="inlineStr">
        <is>
          <t>GV885.3 .M35 1998</t>
        </is>
      </c>
      <c r="C1655" t="inlineStr">
        <is>
          <t>0                      GV 0885300M  35          1998</t>
        </is>
      </c>
      <c r="D1655" t="inlineStr">
        <is>
          <t>Hoop drills : the coach's guide / Vincent M. Malozzi.</t>
        </is>
      </c>
      <c r="F1655" t="inlineStr">
        <is>
          <t>No</t>
        </is>
      </c>
      <c r="G1655" t="inlineStr">
        <is>
          <t>1</t>
        </is>
      </c>
      <c r="H1655" t="inlineStr">
        <is>
          <t>No</t>
        </is>
      </c>
      <c r="I1655" t="inlineStr">
        <is>
          <t>No</t>
        </is>
      </c>
      <c r="J1655" t="inlineStr">
        <is>
          <t>0</t>
        </is>
      </c>
      <c r="K1655" t="inlineStr">
        <is>
          <t>Malozzi, Vinny.</t>
        </is>
      </c>
      <c r="L1655" t="inlineStr">
        <is>
          <t>Willowdale, Ont. : Firefly Books, 1998.</t>
        </is>
      </c>
      <c r="M1655" t="inlineStr">
        <is>
          <t>1998</t>
        </is>
      </c>
      <c r="O1655" t="inlineStr">
        <is>
          <t>eng</t>
        </is>
      </c>
      <c r="P1655" t="inlineStr">
        <is>
          <t>onc</t>
        </is>
      </c>
      <c r="R1655" t="inlineStr">
        <is>
          <t xml:space="preserve">GV </t>
        </is>
      </c>
      <c r="S1655" t="n">
        <v>3</v>
      </c>
      <c r="T1655" t="n">
        <v>3</v>
      </c>
      <c r="U1655" t="inlineStr">
        <is>
          <t>2002-08-22</t>
        </is>
      </c>
      <c r="V1655" t="inlineStr">
        <is>
          <t>2002-08-22</t>
        </is>
      </c>
      <c r="W1655" t="inlineStr">
        <is>
          <t>1999-08-05</t>
        </is>
      </c>
      <c r="X1655" t="inlineStr">
        <is>
          <t>1999-08-05</t>
        </is>
      </c>
      <c r="Y1655" t="n">
        <v>562</v>
      </c>
      <c r="Z1655" t="n">
        <v>518</v>
      </c>
      <c r="AA1655" t="n">
        <v>538</v>
      </c>
      <c r="AB1655" t="n">
        <v>7</v>
      </c>
      <c r="AC1655" t="n">
        <v>7</v>
      </c>
      <c r="AD1655" t="n">
        <v>5</v>
      </c>
      <c r="AE1655" t="n">
        <v>5</v>
      </c>
      <c r="AF1655" t="n">
        <v>3</v>
      </c>
      <c r="AG1655" t="n">
        <v>3</v>
      </c>
      <c r="AH1655" t="n">
        <v>0</v>
      </c>
      <c r="AI1655" t="n">
        <v>0</v>
      </c>
      <c r="AJ1655" t="n">
        <v>3</v>
      </c>
      <c r="AK1655" t="n">
        <v>3</v>
      </c>
      <c r="AL1655" t="n">
        <v>1</v>
      </c>
      <c r="AM1655" t="n">
        <v>1</v>
      </c>
      <c r="AN1655" t="n">
        <v>0</v>
      </c>
      <c r="AO1655" t="n">
        <v>0</v>
      </c>
      <c r="AP1655" t="inlineStr">
        <is>
          <t>No</t>
        </is>
      </c>
      <c r="AQ1655" t="inlineStr">
        <is>
          <t>Yes</t>
        </is>
      </c>
      <c r="AR1655">
        <f>HYPERLINK("http://catalog.hathitrust.org/Record/009805508","HathiTrust Record")</f>
        <v/>
      </c>
      <c r="AS1655">
        <f>HYPERLINK("https://creighton-primo.hosted.exlibrisgroup.com/primo-explore/search?tab=default_tab&amp;search_scope=EVERYTHING&amp;vid=01CRU&amp;lang=en_US&amp;offset=0&amp;query=any,contains,991002908309702656","Catalog Record")</f>
        <v/>
      </c>
      <c r="AT1655">
        <f>HYPERLINK("http://www.worldcat.org/oclc/38431578","WorldCat Record")</f>
        <v/>
      </c>
      <c r="AU1655" t="inlineStr">
        <is>
          <t>837053332:eng</t>
        </is>
      </c>
      <c r="AV1655" t="inlineStr">
        <is>
          <t>38431578</t>
        </is>
      </c>
      <c r="AW1655" t="inlineStr">
        <is>
          <t>991002908309702656</t>
        </is>
      </c>
      <c r="AX1655" t="inlineStr">
        <is>
          <t>991002908309702656</t>
        </is>
      </c>
      <c r="AY1655" t="inlineStr">
        <is>
          <t>2257860470002656</t>
        </is>
      </c>
      <c r="AZ1655" t="inlineStr">
        <is>
          <t>BOOK</t>
        </is>
      </c>
      <c r="BB1655" t="inlineStr">
        <is>
          <t>9781552091975</t>
        </is>
      </c>
      <c r="BC1655" t="inlineStr">
        <is>
          <t>32285003580494</t>
        </is>
      </c>
      <c r="BD1655" t="inlineStr">
        <is>
          <t>893511344</t>
        </is>
      </c>
    </row>
    <row r="1656">
      <c r="A1656" t="inlineStr">
        <is>
          <t>No</t>
        </is>
      </c>
      <c r="B1656" t="inlineStr">
        <is>
          <t>GV885.3 .W54 1982</t>
        </is>
      </c>
      <c r="C1656" t="inlineStr">
        <is>
          <t>0                      GV 0885300W  54          1982</t>
        </is>
      </c>
      <c r="D1656" t="inlineStr">
        <is>
          <t>Fundamentals of coaching basketball / Glenn Wilkes.</t>
        </is>
      </c>
      <c r="F1656" t="inlineStr">
        <is>
          <t>No</t>
        </is>
      </c>
      <c r="G1656" t="inlineStr">
        <is>
          <t>1</t>
        </is>
      </c>
      <c r="H1656" t="inlineStr">
        <is>
          <t>No</t>
        </is>
      </c>
      <c r="I1656" t="inlineStr">
        <is>
          <t>No</t>
        </is>
      </c>
      <c r="J1656" t="inlineStr">
        <is>
          <t>0</t>
        </is>
      </c>
      <c r="K1656" t="inlineStr">
        <is>
          <t>Wilkes, Glenn.</t>
        </is>
      </c>
      <c r="L1656" t="inlineStr">
        <is>
          <t>Dubuque, Iowa : W.C. Brown, c1982.</t>
        </is>
      </c>
      <c r="M1656" t="inlineStr">
        <is>
          <t>1982</t>
        </is>
      </c>
      <c r="O1656" t="inlineStr">
        <is>
          <t>eng</t>
        </is>
      </c>
      <c r="P1656" t="inlineStr">
        <is>
          <t>iau</t>
        </is>
      </c>
      <c r="R1656" t="inlineStr">
        <is>
          <t xml:space="preserve">GV </t>
        </is>
      </c>
      <c r="S1656" t="n">
        <v>7</v>
      </c>
      <c r="T1656" t="n">
        <v>7</v>
      </c>
      <c r="U1656" t="inlineStr">
        <is>
          <t>2006-09-25</t>
        </is>
      </c>
      <c r="V1656" t="inlineStr">
        <is>
          <t>2006-09-25</t>
        </is>
      </c>
      <c r="W1656" t="inlineStr">
        <is>
          <t>1991-11-19</t>
        </is>
      </c>
      <c r="X1656" t="inlineStr">
        <is>
          <t>1991-11-19</t>
        </is>
      </c>
      <c r="Y1656" t="n">
        <v>120</v>
      </c>
      <c r="Z1656" t="n">
        <v>102</v>
      </c>
      <c r="AA1656" t="n">
        <v>102</v>
      </c>
      <c r="AB1656" t="n">
        <v>2</v>
      </c>
      <c r="AC1656" t="n">
        <v>2</v>
      </c>
      <c r="AD1656" t="n">
        <v>4</v>
      </c>
      <c r="AE1656" t="n">
        <v>4</v>
      </c>
      <c r="AF1656" t="n">
        <v>2</v>
      </c>
      <c r="AG1656" t="n">
        <v>2</v>
      </c>
      <c r="AH1656" t="n">
        <v>1</v>
      </c>
      <c r="AI1656" t="n">
        <v>1</v>
      </c>
      <c r="AJ1656" t="n">
        <v>0</v>
      </c>
      <c r="AK1656" t="n">
        <v>0</v>
      </c>
      <c r="AL1656" t="n">
        <v>1</v>
      </c>
      <c r="AM1656" t="n">
        <v>1</v>
      </c>
      <c r="AN1656" t="n">
        <v>0</v>
      </c>
      <c r="AO1656" t="n">
        <v>0</v>
      </c>
      <c r="AP1656" t="inlineStr">
        <is>
          <t>No</t>
        </is>
      </c>
      <c r="AQ1656" t="inlineStr">
        <is>
          <t>No</t>
        </is>
      </c>
      <c r="AS1656">
        <f>HYPERLINK("https://creighton-primo.hosted.exlibrisgroup.com/primo-explore/search?tab=default_tab&amp;search_scope=EVERYTHING&amp;vid=01CRU&amp;lang=en_US&amp;offset=0&amp;query=any,contains,991005246679702656","Catalog Record")</f>
        <v/>
      </c>
      <c r="AT1656">
        <f>HYPERLINK("http://www.worldcat.org/oclc/8472466","WorldCat Record")</f>
        <v/>
      </c>
      <c r="AU1656" t="inlineStr">
        <is>
          <t>443346:eng</t>
        </is>
      </c>
      <c r="AV1656" t="inlineStr">
        <is>
          <t>8472466</t>
        </is>
      </c>
      <c r="AW1656" t="inlineStr">
        <is>
          <t>991005246679702656</t>
        </is>
      </c>
      <c r="AX1656" t="inlineStr">
        <is>
          <t>991005246679702656</t>
        </is>
      </c>
      <c r="AY1656" t="inlineStr">
        <is>
          <t>2258654170002656</t>
        </is>
      </c>
      <c r="AZ1656" t="inlineStr">
        <is>
          <t>BOOK</t>
        </is>
      </c>
      <c r="BB1656" t="inlineStr">
        <is>
          <t>9780697071866</t>
        </is>
      </c>
      <c r="BC1656" t="inlineStr">
        <is>
          <t>32285000824432</t>
        </is>
      </c>
      <c r="BD1656" t="inlineStr">
        <is>
          <t>893896131</t>
        </is>
      </c>
    </row>
    <row r="1657">
      <c r="A1657" t="inlineStr">
        <is>
          <t>No</t>
        </is>
      </c>
      <c r="B1657" t="inlineStr">
        <is>
          <t>GV885.3 .W67 1992</t>
        </is>
      </c>
      <c r="C1657" t="inlineStr">
        <is>
          <t>0                      GV 0885300W  67          1992</t>
        </is>
      </c>
      <c r="D1657" t="inlineStr">
        <is>
          <t>Coaching basketball successfully / Morgan Wootten with Dave Gilbert.</t>
        </is>
      </c>
      <c r="F1657" t="inlineStr">
        <is>
          <t>No</t>
        </is>
      </c>
      <c r="G1657" t="inlineStr">
        <is>
          <t>1</t>
        </is>
      </c>
      <c r="H1657" t="inlineStr">
        <is>
          <t>No</t>
        </is>
      </c>
      <c r="I1657" t="inlineStr">
        <is>
          <t>No</t>
        </is>
      </c>
      <c r="J1657" t="inlineStr">
        <is>
          <t>0</t>
        </is>
      </c>
      <c r="K1657" t="inlineStr">
        <is>
          <t>Wootten, Morgan.</t>
        </is>
      </c>
      <c r="L1657" t="inlineStr">
        <is>
          <t>Champaign, IL : Leisure Press, c1992.</t>
        </is>
      </c>
      <c r="M1657" t="inlineStr">
        <is>
          <t>1992</t>
        </is>
      </c>
      <c r="O1657" t="inlineStr">
        <is>
          <t>eng</t>
        </is>
      </c>
      <c r="P1657" t="inlineStr">
        <is>
          <t>ilu</t>
        </is>
      </c>
      <c r="R1657" t="inlineStr">
        <is>
          <t xml:space="preserve">GV </t>
        </is>
      </c>
      <c r="S1657" t="n">
        <v>14</v>
      </c>
      <c r="T1657" t="n">
        <v>14</v>
      </c>
      <c r="U1657" t="inlineStr">
        <is>
          <t>2006-09-08</t>
        </is>
      </c>
      <c r="V1657" t="inlineStr">
        <is>
          <t>2006-09-08</t>
        </is>
      </c>
      <c r="W1657" t="inlineStr">
        <is>
          <t>1992-06-01</t>
        </is>
      </c>
      <c r="X1657" t="inlineStr">
        <is>
          <t>1992-06-01</t>
        </is>
      </c>
      <c r="Y1657" t="n">
        <v>445</v>
      </c>
      <c r="Z1657" t="n">
        <v>347</v>
      </c>
      <c r="AA1657" t="n">
        <v>1051</v>
      </c>
      <c r="AB1657" t="n">
        <v>7</v>
      </c>
      <c r="AC1657" t="n">
        <v>9</v>
      </c>
      <c r="AD1657" t="n">
        <v>9</v>
      </c>
      <c r="AE1657" t="n">
        <v>18</v>
      </c>
      <c r="AF1657" t="n">
        <v>5</v>
      </c>
      <c r="AG1657" t="n">
        <v>10</v>
      </c>
      <c r="AH1657" t="n">
        <v>0</v>
      </c>
      <c r="AI1657" t="n">
        <v>2</v>
      </c>
      <c r="AJ1657" t="n">
        <v>1</v>
      </c>
      <c r="AK1657" t="n">
        <v>5</v>
      </c>
      <c r="AL1657" t="n">
        <v>4</v>
      </c>
      <c r="AM1657" t="n">
        <v>6</v>
      </c>
      <c r="AN1657" t="n">
        <v>0</v>
      </c>
      <c r="AO1657" t="n">
        <v>0</v>
      </c>
      <c r="AP1657" t="inlineStr">
        <is>
          <t>No</t>
        </is>
      </c>
      <c r="AQ1657" t="inlineStr">
        <is>
          <t>No</t>
        </is>
      </c>
      <c r="AS1657">
        <f>HYPERLINK("https://creighton-primo.hosted.exlibrisgroup.com/primo-explore/search?tab=default_tab&amp;search_scope=EVERYTHING&amp;vid=01CRU&amp;lang=en_US&amp;offset=0&amp;query=any,contains,991001892149702656","Catalog Record")</f>
        <v/>
      </c>
      <c r="AT1657">
        <f>HYPERLINK("http://www.worldcat.org/oclc/23900608","WorldCat Record")</f>
        <v/>
      </c>
      <c r="AU1657" t="inlineStr">
        <is>
          <t>733602:eng</t>
        </is>
      </c>
      <c r="AV1657" t="inlineStr">
        <is>
          <t>23900608</t>
        </is>
      </c>
      <c r="AW1657" t="inlineStr">
        <is>
          <t>991001892149702656</t>
        </is>
      </c>
      <c r="AX1657" t="inlineStr">
        <is>
          <t>991001892149702656</t>
        </is>
      </c>
      <c r="AY1657" t="inlineStr">
        <is>
          <t>2254946360002656</t>
        </is>
      </c>
      <c r="AZ1657" t="inlineStr">
        <is>
          <t>BOOK</t>
        </is>
      </c>
      <c r="BB1657" t="inlineStr">
        <is>
          <t>9780880114462</t>
        </is>
      </c>
      <c r="BC1657" t="inlineStr">
        <is>
          <t>32285001125912</t>
        </is>
      </c>
      <c r="BD1657" t="inlineStr">
        <is>
          <t>893433206</t>
        </is>
      </c>
    </row>
    <row r="1658">
      <c r="A1658" t="inlineStr">
        <is>
          <t>No</t>
        </is>
      </c>
      <c r="B1658" t="inlineStr">
        <is>
          <t>GV885.415.A85 M37 1998</t>
        </is>
      </c>
      <c r="C1658" t="inlineStr">
        <is>
          <t>0                      GV 0885415A  85                 M  37          1998</t>
        </is>
      </c>
      <c r="D1658" t="inlineStr">
        <is>
          <t>A march to madness : the view from the floor in the Atlantic Coast Conference / John Feinstein.</t>
        </is>
      </c>
      <c r="F1658" t="inlineStr">
        <is>
          <t>No</t>
        </is>
      </c>
      <c r="G1658" t="inlineStr">
        <is>
          <t>1</t>
        </is>
      </c>
      <c r="H1658" t="inlineStr">
        <is>
          <t>No</t>
        </is>
      </c>
      <c r="I1658" t="inlineStr">
        <is>
          <t>No</t>
        </is>
      </c>
      <c r="J1658" t="inlineStr">
        <is>
          <t>0</t>
        </is>
      </c>
      <c r="K1658" t="inlineStr">
        <is>
          <t>Feinstein, John.</t>
        </is>
      </c>
      <c r="L1658" t="inlineStr">
        <is>
          <t>Boston : Little, Brown and Co., c1998.</t>
        </is>
      </c>
      <c r="M1658" t="inlineStr">
        <is>
          <t>1998</t>
        </is>
      </c>
      <c r="N1658" t="inlineStr">
        <is>
          <t>1st ed.</t>
        </is>
      </c>
      <c r="O1658" t="inlineStr">
        <is>
          <t>eng</t>
        </is>
      </c>
      <c r="P1658" t="inlineStr">
        <is>
          <t>mau</t>
        </is>
      </c>
      <c r="R1658" t="inlineStr">
        <is>
          <t xml:space="preserve">GV </t>
        </is>
      </c>
      <c r="S1658" t="n">
        <v>3</v>
      </c>
      <c r="T1658" t="n">
        <v>3</v>
      </c>
      <c r="U1658" t="inlineStr">
        <is>
          <t>2010-02-22</t>
        </is>
      </c>
      <c r="V1658" t="inlineStr">
        <is>
          <t>2010-02-22</t>
        </is>
      </c>
      <c r="W1658" t="inlineStr">
        <is>
          <t>2006-11-16</t>
        </is>
      </c>
      <c r="X1658" t="inlineStr">
        <is>
          <t>2006-11-16</t>
        </is>
      </c>
      <c r="Y1658" t="n">
        <v>752</v>
      </c>
      <c r="Z1658" t="n">
        <v>731</v>
      </c>
      <c r="AA1658" t="n">
        <v>842</v>
      </c>
      <c r="AB1658" t="n">
        <v>6</v>
      </c>
      <c r="AC1658" t="n">
        <v>7</v>
      </c>
      <c r="AD1658" t="n">
        <v>10</v>
      </c>
      <c r="AE1658" t="n">
        <v>11</v>
      </c>
      <c r="AF1658" t="n">
        <v>3</v>
      </c>
      <c r="AG1658" t="n">
        <v>3</v>
      </c>
      <c r="AH1658" t="n">
        <v>3</v>
      </c>
      <c r="AI1658" t="n">
        <v>3</v>
      </c>
      <c r="AJ1658" t="n">
        <v>7</v>
      </c>
      <c r="AK1658" t="n">
        <v>7</v>
      </c>
      <c r="AL1658" t="n">
        <v>0</v>
      </c>
      <c r="AM1658" t="n">
        <v>1</v>
      </c>
      <c r="AN1658" t="n">
        <v>0</v>
      </c>
      <c r="AO1658" t="n">
        <v>0</v>
      </c>
      <c r="AP1658" t="inlineStr">
        <is>
          <t>No</t>
        </is>
      </c>
      <c r="AQ1658" t="inlineStr">
        <is>
          <t>No</t>
        </is>
      </c>
      <c r="AS1658">
        <f>HYPERLINK("https://creighton-primo.hosted.exlibrisgroup.com/primo-explore/search?tab=default_tab&amp;search_scope=EVERYTHING&amp;vid=01CRU&amp;lang=en_US&amp;offset=0&amp;query=any,contains,991004983949702656","Catalog Record")</f>
        <v/>
      </c>
      <c r="AT1658">
        <f>HYPERLINK("http://www.worldcat.org/oclc/37442608","WorldCat Record")</f>
        <v/>
      </c>
      <c r="AU1658" t="inlineStr">
        <is>
          <t>612533:eng</t>
        </is>
      </c>
      <c r="AV1658" t="inlineStr">
        <is>
          <t>37442608</t>
        </is>
      </c>
      <c r="AW1658" t="inlineStr">
        <is>
          <t>991004983949702656</t>
        </is>
      </c>
      <c r="AX1658" t="inlineStr">
        <is>
          <t>991004983949702656</t>
        </is>
      </c>
      <c r="AY1658" t="inlineStr">
        <is>
          <t>2264293190002656</t>
        </is>
      </c>
      <c r="AZ1658" t="inlineStr">
        <is>
          <t>BOOK</t>
        </is>
      </c>
      <c r="BB1658" t="inlineStr">
        <is>
          <t>9780316277402</t>
        </is>
      </c>
      <c r="BC1658" t="inlineStr">
        <is>
          <t>32285005260095</t>
        </is>
      </c>
      <c r="BD1658" t="inlineStr">
        <is>
          <t>893332243</t>
        </is>
      </c>
    </row>
    <row r="1659">
      <c r="A1659" t="inlineStr">
        <is>
          <t>No</t>
        </is>
      </c>
      <c r="B1659" t="inlineStr">
        <is>
          <t>GV885.43.B68 P67 2000</t>
        </is>
      </c>
      <c r="C1659" t="inlineStr">
        <is>
          <t>0                      GV 0885430B  68                 P  67          2000</t>
        </is>
      </c>
      <c r="D1659" t="inlineStr">
        <is>
          <t>Fixed : how goodfellas bought Boston College basketball / David Porter.</t>
        </is>
      </c>
      <c r="F1659" t="inlineStr">
        <is>
          <t>No</t>
        </is>
      </c>
      <c r="G1659" t="inlineStr">
        <is>
          <t>1</t>
        </is>
      </c>
      <c r="H1659" t="inlineStr">
        <is>
          <t>No</t>
        </is>
      </c>
      <c r="I1659" t="inlineStr">
        <is>
          <t>No</t>
        </is>
      </c>
      <c r="J1659" t="inlineStr">
        <is>
          <t>0</t>
        </is>
      </c>
      <c r="K1659" t="inlineStr">
        <is>
          <t>Porter, David, 1960-</t>
        </is>
      </c>
      <c r="L1659" t="inlineStr">
        <is>
          <t>Dallas, Tex. : Taylor Trade Pub., c2000.</t>
        </is>
      </c>
      <c r="M1659" t="inlineStr">
        <is>
          <t>2000</t>
        </is>
      </c>
      <c r="O1659" t="inlineStr">
        <is>
          <t>eng</t>
        </is>
      </c>
      <c r="P1659" t="inlineStr">
        <is>
          <t>txu</t>
        </is>
      </c>
      <c r="R1659" t="inlineStr">
        <is>
          <t xml:space="preserve">GV </t>
        </is>
      </c>
      <c r="S1659" t="n">
        <v>3</v>
      </c>
      <c r="T1659" t="n">
        <v>3</v>
      </c>
      <c r="U1659" t="inlineStr">
        <is>
          <t>2001-04-18</t>
        </is>
      </c>
      <c r="V1659" t="inlineStr">
        <is>
          <t>2001-04-18</t>
        </is>
      </c>
      <c r="W1659" t="inlineStr">
        <is>
          <t>2001-04-04</t>
        </is>
      </c>
      <c r="X1659" t="inlineStr">
        <is>
          <t>2001-04-04</t>
        </is>
      </c>
      <c r="Y1659" t="n">
        <v>169</v>
      </c>
      <c r="Z1659" t="n">
        <v>167</v>
      </c>
      <c r="AA1659" t="n">
        <v>189</v>
      </c>
      <c r="AB1659" t="n">
        <v>1</v>
      </c>
      <c r="AC1659" t="n">
        <v>1</v>
      </c>
      <c r="AD1659" t="n">
        <v>3</v>
      </c>
      <c r="AE1659" t="n">
        <v>4</v>
      </c>
      <c r="AF1659" t="n">
        <v>2</v>
      </c>
      <c r="AG1659" t="n">
        <v>3</v>
      </c>
      <c r="AH1659" t="n">
        <v>0</v>
      </c>
      <c r="AI1659" t="n">
        <v>1</v>
      </c>
      <c r="AJ1659" t="n">
        <v>2</v>
      </c>
      <c r="AK1659" t="n">
        <v>2</v>
      </c>
      <c r="AL1659" t="n">
        <v>0</v>
      </c>
      <c r="AM1659" t="n">
        <v>0</v>
      </c>
      <c r="AN1659" t="n">
        <v>0</v>
      </c>
      <c r="AO1659" t="n">
        <v>0</v>
      </c>
      <c r="AP1659" t="inlineStr">
        <is>
          <t>No</t>
        </is>
      </c>
      <c r="AQ1659" t="inlineStr">
        <is>
          <t>No</t>
        </is>
      </c>
      <c r="AS1659">
        <f>HYPERLINK("https://creighton-primo.hosted.exlibrisgroup.com/primo-explore/search?tab=default_tab&amp;search_scope=EVERYTHING&amp;vid=01CRU&amp;lang=en_US&amp;offset=0&amp;query=any,contains,991003491569702656","Catalog Record")</f>
        <v/>
      </c>
      <c r="AT1659">
        <f>HYPERLINK("http://www.worldcat.org/oclc/44777244","WorldCat Record")</f>
        <v/>
      </c>
      <c r="AU1659" t="inlineStr">
        <is>
          <t>837956056:eng</t>
        </is>
      </c>
      <c r="AV1659" t="inlineStr">
        <is>
          <t>44777244</t>
        </is>
      </c>
      <c r="AW1659" t="inlineStr">
        <is>
          <t>991003491569702656</t>
        </is>
      </c>
      <c r="AX1659" t="inlineStr">
        <is>
          <t>991003491569702656</t>
        </is>
      </c>
      <c r="AY1659" t="inlineStr">
        <is>
          <t>2261589940002656</t>
        </is>
      </c>
      <c r="AZ1659" t="inlineStr">
        <is>
          <t>BOOK</t>
        </is>
      </c>
      <c r="BB1659" t="inlineStr">
        <is>
          <t>9780878331925</t>
        </is>
      </c>
      <c r="BC1659" t="inlineStr">
        <is>
          <t>32285004309786</t>
        </is>
      </c>
      <c r="BD1659" t="inlineStr">
        <is>
          <t>893531232</t>
        </is>
      </c>
    </row>
    <row r="1660">
      <c r="A1660" t="inlineStr">
        <is>
          <t>No</t>
        </is>
      </c>
      <c r="B1660" t="inlineStr">
        <is>
          <t>GV885.43.U56 K47 1998</t>
        </is>
      </c>
      <c r="C1660" t="inlineStr">
        <is>
          <t>0                      GV 0885430U  56                 K  47          1998</t>
        </is>
      </c>
      <c r="D1660" t="inlineStr">
        <is>
          <t>Full court press : a season in the life of a winning basketball team and the women who made it happen / Lauren Kessler.</t>
        </is>
      </c>
      <c r="F1660" t="inlineStr">
        <is>
          <t>No</t>
        </is>
      </c>
      <c r="G1660" t="inlineStr">
        <is>
          <t>1</t>
        </is>
      </c>
      <c r="H1660" t="inlineStr">
        <is>
          <t>No</t>
        </is>
      </c>
      <c r="I1660" t="inlineStr">
        <is>
          <t>No</t>
        </is>
      </c>
      <c r="J1660" t="inlineStr">
        <is>
          <t>0</t>
        </is>
      </c>
      <c r="K1660" t="inlineStr">
        <is>
          <t>Kessler, Lauren.</t>
        </is>
      </c>
      <c r="L1660" t="inlineStr">
        <is>
          <t>New York : Plume, c1998.</t>
        </is>
      </c>
      <c r="M1660" t="inlineStr">
        <is>
          <t>1998</t>
        </is>
      </c>
      <c r="O1660" t="inlineStr">
        <is>
          <t>eng</t>
        </is>
      </c>
      <c r="P1660" t="inlineStr">
        <is>
          <t>nyu</t>
        </is>
      </c>
      <c r="R1660" t="inlineStr">
        <is>
          <t xml:space="preserve">GV </t>
        </is>
      </c>
      <c r="S1660" t="n">
        <v>1</v>
      </c>
      <c r="T1660" t="n">
        <v>1</v>
      </c>
      <c r="U1660" t="inlineStr">
        <is>
          <t>2006-11-16</t>
        </is>
      </c>
      <c r="V1660" t="inlineStr">
        <is>
          <t>2006-11-16</t>
        </is>
      </c>
      <c r="W1660" t="inlineStr">
        <is>
          <t>2006-11-16</t>
        </is>
      </c>
      <c r="X1660" t="inlineStr">
        <is>
          <t>2006-11-16</t>
        </is>
      </c>
      <c r="Y1660" t="n">
        <v>30</v>
      </c>
      <c r="Z1660" t="n">
        <v>30</v>
      </c>
      <c r="AA1660" t="n">
        <v>439</v>
      </c>
      <c r="AB1660" t="n">
        <v>1</v>
      </c>
      <c r="AC1660" t="n">
        <v>2</v>
      </c>
      <c r="AD1660" t="n">
        <v>1</v>
      </c>
      <c r="AE1660" t="n">
        <v>9</v>
      </c>
      <c r="AF1660" t="n">
        <v>0</v>
      </c>
      <c r="AG1660" t="n">
        <v>3</v>
      </c>
      <c r="AH1660" t="n">
        <v>0</v>
      </c>
      <c r="AI1660" t="n">
        <v>1</v>
      </c>
      <c r="AJ1660" t="n">
        <v>1</v>
      </c>
      <c r="AK1660" t="n">
        <v>5</v>
      </c>
      <c r="AL1660" t="n">
        <v>0</v>
      </c>
      <c r="AM1660" t="n">
        <v>1</v>
      </c>
      <c r="AN1660" t="n">
        <v>0</v>
      </c>
      <c r="AO1660" t="n">
        <v>0</v>
      </c>
      <c r="AP1660" t="inlineStr">
        <is>
          <t>No</t>
        </is>
      </c>
      <c r="AQ1660" t="inlineStr">
        <is>
          <t>No</t>
        </is>
      </c>
      <c r="AS1660">
        <f>HYPERLINK("https://creighton-primo.hosted.exlibrisgroup.com/primo-explore/search?tab=default_tab&amp;search_scope=EVERYTHING&amp;vid=01CRU&amp;lang=en_US&amp;offset=0&amp;query=any,contains,991004981869702656","Catalog Record")</f>
        <v/>
      </c>
      <c r="AT1660">
        <f>HYPERLINK("http://www.worldcat.org/oclc/40585030","WorldCat Record")</f>
        <v/>
      </c>
      <c r="AU1660" t="inlineStr">
        <is>
          <t>547591:eng</t>
        </is>
      </c>
      <c r="AV1660" t="inlineStr">
        <is>
          <t>40585030</t>
        </is>
      </c>
      <c r="AW1660" t="inlineStr">
        <is>
          <t>991004981869702656</t>
        </is>
      </c>
      <c r="AX1660" t="inlineStr">
        <is>
          <t>991004981869702656</t>
        </is>
      </c>
      <c r="AY1660" t="inlineStr">
        <is>
          <t>2256312800002656</t>
        </is>
      </c>
      <c r="AZ1660" t="inlineStr">
        <is>
          <t>BOOK</t>
        </is>
      </c>
      <c r="BB1660" t="inlineStr">
        <is>
          <t>9780452274877</t>
        </is>
      </c>
      <c r="BC1660" t="inlineStr">
        <is>
          <t>32285005239768</t>
        </is>
      </c>
      <c r="BD1660" t="inlineStr">
        <is>
          <t>893344470</t>
        </is>
      </c>
    </row>
    <row r="1661">
      <c r="A1661" t="inlineStr">
        <is>
          <t>No</t>
        </is>
      </c>
      <c r="B1661" t="inlineStr">
        <is>
          <t>GV885.515.N37 B46 2004</t>
        </is>
      </c>
      <c r="C1661" t="inlineStr">
        <is>
          <t>0                      GV 0885515N  37                 B  46          2004</t>
        </is>
      </c>
      <c r="D1661" t="inlineStr">
        <is>
          <t>Out of bounds : inside the NBA's culture of rape, violence, and crime / Jeff Benedict.</t>
        </is>
      </c>
      <c r="F1661" t="inlineStr">
        <is>
          <t>No</t>
        </is>
      </c>
      <c r="G1661" t="inlineStr">
        <is>
          <t>1</t>
        </is>
      </c>
      <c r="H1661" t="inlineStr">
        <is>
          <t>No</t>
        </is>
      </c>
      <c r="I1661" t="inlineStr">
        <is>
          <t>No</t>
        </is>
      </c>
      <c r="J1661" t="inlineStr">
        <is>
          <t>0</t>
        </is>
      </c>
      <c r="K1661" t="inlineStr">
        <is>
          <t>Benedict, Jeff.</t>
        </is>
      </c>
      <c r="L1661" t="inlineStr">
        <is>
          <t>New York : HarperCollins, c2004.</t>
        </is>
      </c>
      <c r="M1661" t="inlineStr">
        <is>
          <t>2004</t>
        </is>
      </c>
      <c r="O1661" t="inlineStr">
        <is>
          <t>eng</t>
        </is>
      </c>
      <c r="P1661" t="inlineStr">
        <is>
          <t>nyu</t>
        </is>
      </c>
      <c r="R1661" t="inlineStr">
        <is>
          <t xml:space="preserve">GV </t>
        </is>
      </c>
      <c r="S1661" t="n">
        <v>4</v>
      </c>
      <c r="T1661" t="n">
        <v>4</v>
      </c>
      <c r="U1661" t="inlineStr">
        <is>
          <t>2007-05-29</t>
        </is>
      </c>
      <c r="V1661" t="inlineStr">
        <is>
          <t>2007-05-29</t>
        </is>
      </c>
      <c r="W1661" t="inlineStr">
        <is>
          <t>2004-07-13</t>
        </is>
      </c>
      <c r="X1661" t="inlineStr">
        <is>
          <t>2004-07-13</t>
        </is>
      </c>
      <c r="Y1661" t="n">
        <v>571</v>
      </c>
      <c r="Z1661" t="n">
        <v>535</v>
      </c>
      <c r="AA1661" t="n">
        <v>624</v>
      </c>
      <c r="AB1661" t="n">
        <v>6</v>
      </c>
      <c r="AC1661" t="n">
        <v>6</v>
      </c>
      <c r="AD1661" t="n">
        <v>11</v>
      </c>
      <c r="AE1661" t="n">
        <v>13</v>
      </c>
      <c r="AF1661" t="n">
        <v>5</v>
      </c>
      <c r="AG1661" t="n">
        <v>6</v>
      </c>
      <c r="AH1661" t="n">
        <v>0</v>
      </c>
      <c r="AI1661" t="n">
        <v>0</v>
      </c>
      <c r="AJ1661" t="n">
        <v>1</v>
      </c>
      <c r="AK1661" t="n">
        <v>3</v>
      </c>
      <c r="AL1661" t="n">
        <v>4</v>
      </c>
      <c r="AM1661" t="n">
        <v>4</v>
      </c>
      <c r="AN1661" t="n">
        <v>2</v>
      </c>
      <c r="AO1661" t="n">
        <v>2</v>
      </c>
      <c r="AP1661" t="inlineStr">
        <is>
          <t>No</t>
        </is>
      </c>
      <c r="AQ1661" t="inlineStr">
        <is>
          <t>No</t>
        </is>
      </c>
      <c r="AS1661">
        <f>HYPERLINK("https://creighton-primo.hosted.exlibrisgroup.com/primo-explore/search?tab=default_tab&amp;search_scope=EVERYTHING&amp;vid=01CRU&amp;lang=en_US&amp;offset=0&amp;query=any,contains,991004318569702656","Catalog Record")</f>
        <v/>
      </c>
      <c r="AT1661">
        <f>HYPERLINK("http://www.worldcat.org/oclc/55646487","WorldCat Record")</f>
        <v/>
      </c>
      <c r="AU1661" t="inlineStr">
        <is>
          <t>979699:eng</t>
        </is>
      </c>
      <c r="AV1661" t="inlineStr">
        <is>
          <t>55646487</t>
        </is>
      </c>
      <c r="AW1661" t="inlineStr">
        <is>
          <t>991004318569702656</t>
        </is>
      </c>
      <c r="AX1661" t="inlineStr">
        <is>
          <t>991004318569702656</t>
        </is>
      </c>
      <c r="AY1661" t="inlineStr">
        <is>
          <t>2270199460002656</t>
        </is>
      </c>
      <c r="AZ1661" t="inlineStr">
        <is>
          <t>BOOK</t>
        </is>
      </c>
      <c r="BB1661" t="inlineStr">
        <is>
          <t>9780060726027</t>
        </is>
      </c>
      <c r="BC1661" t="inlineStr">
        <is>
          <t>32285004922638</t>
        </is>
      </c>
      <c r="BD1661" t="inlineStr">
        <is>
          <t>893901106</t>
        </is>
      </c>
    </row>
    <row r="1662">
      <c r="A1662" t="inlineStr">
        <is>
          <t>No</t>
        </is>
      </c>
      <c r="B1662" t="inlineStr">
        <is>
          <t>GV885.515.N37 R9 1987</t>
        </is>
      </c>
      <c r="C1662" t="inlineStr">
        <is>
          <t>0                      GV 0885515N  37                 R  9           1987</t>
        </is>
      </c>
      <c r="D1662" t="inlineStr">
        <is>
          <t>Forty-eight minutes : a night in the life of the NBA / Bob Ryan and Terry Pluto.</t>
        </is>
      </c>
      <c r="F1662" t="inlineStr">
        <is>
          <t>No</t>
        </is>
      </c>
      <c r="G1662" t="inlineStr">
        <is>
          <t>1</t>
        </is>
      </c>
      <c r="H1662" t="inlineStr">
        <is>
          <t>No</t>
        </is>
      </c>
      <c r="I1662" t="inlineStr">
        <is>
          <t>No</t>
        </is>
      </c>
      <c r="J1662" t="inlineStr">
        <is>
          <t>0</t>
        </is>
      </c>
      <c r="K1662" t="inlineStr">
        <is>
          <t>Ryan, Bob, 1946-</t>
        </is>
      </c>
      <c r="L1662" t="inlineStr">
        <is>
          <t>New York : Macmillan Pub. Co. ; London : Collier Macmillan, c1987.</t>
        </is>
      </c>
      <c r="M1662" t="inlineStr">
        <is>
          <t>1987</t>
        </is>
      </c>
      <c r="O1662" t="inlineStr">
        <is>
          <t>eng</t>
        </is>
      </c>
      <c r="P1662" t="inlineStr">
        <is>
          <t>nyu</t>
        </is>
      </c>
      <c r="R1662" t="inlineStr">
        <is>
          <t xml:space="preserve">GV </t>
        </is>
      </c>
      <c r="S1662" t="n">
        <v>2</v>
      </c>
      <c r="T1662" t="n">
        <v>2</v>
      </c>
      <c r="U1662" t="inlineStr">
        <is>
          <t>2006-09-07</t>
        </is>
      </c>
      <c r="V1662" t="inlineStr">
        <is>
          <t>2006-09-07</t>
        </is>
      </c>
      <c r="W1662" t="inlineStr">
        <is>
          <t>2006-09-07</t>
        </is>
      </c>
      <c r="X1662" t="inlineStr">
        <is>
          <t>2006-09-07</t>
        </is>
      </c>
      <c r="Y1662" t="n">
        <v>361</v>
      </c>
      <c r="Z1662" t="n">
        <v>356</v>
      </c>
      <c r="AA1662" t="n">
        <v>384</v>
      </c>
      <c r="AB1662" t="n">
        <v>2</v>
      </c>
      <c r="AC1662" t="n">
        <v>2</v>
      </c>
      <c r="AD1662" t="n">
        <v>2</v>
      </c>
      <c r="AE1662" t="n">
        <v>2</v>
      </c>
      <c r="AF1662" t="n">
        <v>0</v>
      </c>
      <c r="AG1662" t="n">
        <v>0</v>
      </c>
      <c r="AH1662" t="n">
        <v>0</v>
      </c>
      <c r="AI1662" t="n">
        <v>0</v>
      </c>
      <c r="AJ1662" t="n">
        <v>1</v>
      </c>
      <c r="AK1662" t="n">
        <v>1</v>
      </c>
      <c r="AL1662" t="n">
        <v>1</v>
      </c>
      <c r="AM1662" t="n">
        <v>1</v>
      </c>
      <c r="AN1662" t="n">
        <v>0</v>
      </c>
      <c r="AO1662" t="n">
        <v>0</v>
      </c>
      <c r="AP1662" t="inlineStr">
        <is>
          <t>No</t>
        </is>
      </c>
      <c r="AQ1662" t="inlineStr">
        <is>
          <t>Yes</t>
        </is>
      </c>
      <c r="AR1662">
        <f>HYPERLINK("http://catalog.hathitrust.org/Record/000845908","HathiTrust Record")</f>
        <v/>
      </c>
      <c r="AS1662">
        <f>HYPERLINK("https://creighton-primo.hosted.exlibrisgroup.com/primo-explore/search?tab=default_tab&amp;search_scope=EVERYTHING&amp;vid=01CRU&amp;lang=en_US&amp;offset=0&amp;query=any,contains,991004915559702656","Catalog Record")</f>
        <v/>
      </c>
      <c r="AT1662">
        <f>HYPERLINK("http://www.worldcat.org/oclc/16404011","WorldCat Record")</f>
        <v/>
      </c>
      <c r="AU1662" t="inlineStr">
        <is>
          <t>11917159:eng</t>
        </is>
      </c>
      <c r="AV1662" t="inlineStr">
        <is>
          <t>16404011</t>
        </is>
      </c>
      <c r="AW1662" t="inlineStr">
        <is>
          <t>991004915559702656</t>
        </is>
      </c>
      <c r="AX1662" t="inlineStr">
        <is>
          <t>991004915559702656</t>
        </is>
      </c>
      <c r="AY1662" t="inlineStr">
        <is>
          <t>2262281160002656</t>
        </is>
      </c>
      <c r="AZ1662" t="inlineStr">
        <is>
          <t>BOOK</t>
        </is>
      </c>
      <c r="BB1662" t="inlineStr">
        <is>
          <t>9780025977709</t>
        </is>
      </c>
      <c r="BC1662" t="inlineStr">
        <is>
          <t>32285005222335</t>
        </is>
      </c>
      <c r="BD1662" t="inlineStr">
        <is>
          <t>893520171</t>
        </is>
      </c>
    </row>
    <row r="1663">
      <c r="A1663" t="inlineStr">
        <is>
          <t>No</t>
        </is>
      </c>
      <c r="B1663" t="inlineStr">
        <is>
          <t>GV885.7 .B45 1990</t>
        </is>
      </c>
      <c r="C1663" t="inlineStr">
        <is>
          <t>0                      GV 0885700B  45          1990</t>
        </is>
      </c>
      <c r="D1663" t="inlineStr">
        <is>
          <t>Bob Bellotti's basketball analyst : new ideas about an old game / by Bob Bellotti.</t>
        </is>
      </c>
      <c r="F1663" t="inlineStr">
        <is>
          <t>No</t>
        </is>
      </c>
      <c r="G1663" t="inlineStr">
        <is>
          <t>1</t>
        </is>
      </c>
      <c r="H1663" t="inlineStr">
        <is>
          <t>No</t>
        </is>
      </c>
      <c r="I1663" t="inlineStr">
        <is>
          <t>No</t>
        </is>
      </c>
      <c r="J1663" t="inlineStr">
        <is>
          <t>0</t>
        </is>
      </c>
      <c r="K1663" t="inlineStr">
        <is>
          <t>Bellotti, Robert S.</t>
        </is>
      </c>
      <c r="L1663" t="inlineStr">
        <is>
          <t>New Brunswick, N.J. : Night Work Publishing, c1990.</t>
        </is>
      </c>
      <c r="M1663" t="inlineStr">
        <is>
          <t>1990</t>
        </is>
      </c>
      <c r="O1663" t="inlineStr">
        <is>
          <t>eng</t>
        </is>
      </c>
      <c r="P1663" t="inlineStr">
        <is>
          <t>nju</t>
        </is>
      </c>
      <c r="R1663" t="inlineStr">
        <is>
          <t xml:space="preserve">GV </t>
        </is>
      </c>
      <c r="S1663" t="n">
        <v>8</v>
      </c>
      <c r="T1663" t="n">
        <v>8</v>
      </c>
      <c r="U1663" t="inlineStr">
        <is>
          <t>2008-11-10</t>
        </is>
      </c>
      <c r="V1663" t="inlineStr">
        <is>
          <t>2008-11-10</t>
        </is>
      </c>
      <c r="W1663" t="inlineStr">
        <is>
          <t>1990-06-29</t>
        </is>
      </c>
      <c r="X1663" t="inlineStr">
        <is>
          <t>1990-06-29</t>
        </is>
      </c>
      <c r="Y1663" t="n">
        <v>105</v>
      </c>
      <c r="Z1663" t="n">
        <v>102</v>
      </c>
      <c r="AA1663" t="n">
        <v>103</v>
      </c>
      <c r="AB1663" t="n">
        <v>1</v>
      </c>
      <c r="AC1663" t="n">
        <v>1</v>
      </c>
      <c r="AD1663" t="n">
        <v>0</v>
      </c>
      <c r="AE1663" t="n">
        <v>0</v>
      </c>
      <c r="AF1663" t="n">
        <v>0</v>
      </c>
      <c r="AG1663" t="n">
        <v>0</v>
      </c>
      <c r="AH1663" t="n">
        <v>0</v>
      </c>
      <c r="AI1663" t="n">
        <v>0</v>
      </c>
      <c r="AJ1663" t="n">
        <v>0</v>
      </c>
      <c r="AK1663" t="n">
        <v>0</v>
      </c>
      <c r="AL1663" t="n">
        <v>0</v>
      </c>
      <c r="AM1663" t="n">
        <v>0</v>
      </c>
      <c r="AN1663" t="n">
        <v>0</v>
      </c>
      <c r="AO1663" t="n">
        <v>0</v>
      </c>
      <c r="AP1663" t="inlineStr">
        <is>
          <t>No</t>
        </is>
      </c>
      <c r="AQ1663" t="inlineStr">
        <is>
          <t>No</t>
        </is>
      </c>
      <c r="AS1663">
        <f>HYPERLINK("https://creighton-primo.hosted.exlibrisgroup.com/primo-explore/search?tab=default_tab&amp;search_scope=EVERYTHING&amp;vid=01CRU&amp;lang=en_US&amp;offset=0&amp;query=any,contains,991001674389702656","Catalog Record")</f>
        <v/>
      </c>
      <c r="AT1663">
        <f>HYPERLINK("http://www.worldcat.org/oclc/21311822","WorldCat Record")</f>
        <v/>
      </c>
      <c r="AU1663" t="inlineStr">
        <is>
          <t>22997429:eng</t>
        </is>
      </c>
      <c r="AV1663" t="inlineStr">
        <is>
          <t>21311822</t>
        </is>
      </c>
      <c r="AW1663" t="inlineStr">
        <is>
          <t>991001674389702656</t>
        </is>
      </c>
      <c r="AX1663" t="inlineStr">
        <is>
          <t>991001674389702656</t>
        </is>
      </c>
      <c r="AY1663" t="inlineStr">
        <is>
          <t>2265409060002656</t>
        </is>
      </c>
      <c r="AZ1663" t="inlineStr">
        <is>
          <t>BOOK</t>
        </is>
      </c>
      <c r="BB1663" t="inlineStr">
        <is>
          <t>9780962114717</t>
        </is>
      </c>
      <c r="BC1663" t="inlineStr">
        <is>
          <t>32285000206044</t>
        </is>
      </c>
      <c r="BD1663" t="inlineStr">
        <is>
          <t>893879071</t>
        </is>
      </c>
    </row>
    <row r="1664">
      <c r="A1664" t="inlineStr">
        <is>
          <t>No</t>
        </is>
      </c>
      <c r="B1664" t="inlineStr">
        <is>
          <t>GV885.7 .F45 1988</t>
        </is>
      </c>
      <c r="C1664" t="inlineStr">
        <is>
          <t>0                      GV 0885700F  45          1988</t>
        </is>
      </c>
      <c r="D1664" t="inlineStr">
        <is>
          <t>A season inside : one year in college basketball / John Feinstein.</t>
        </is>
      </c>
      <c r="F1664" t="inlineStr">
        <is>
          <t>No</t>
        </is>
      </c>
      <c r="G1664" t="inlineStr">
        <is>
          <t>1</t>
        </is>
      </c>
      <c r="H1664" t="inlineStr">
        <is>
          <t>No</t>
        </is>
      </c>
      <c r="I1664" t="inlineStr">
        <is>
          <t>No</t>
        </is>
      </c>
      <c r="J1664" t="inlineStr">
        <is>
          <t>0</t>
        </is>
      </c>
      <c r="K1664" t="inlineStr">
        <is>
          <t>Feinstein, John.</t>
        </is>
      </c>
      <c r="L1664" t="inlineStr">
        <is>
          <t>New York : Villard Books, 1988.</t>
        </is>
      </c>
      <c r="M1664" t="inlineStr">
        <is>
          <t>1988</t>
        </is>
      </c>
      <c r="N1664" t="inlineStr">
        <is>
          <t>1st ed.</t>
        </is>
      </c>
      <c r="O1664" t="inlineStr">
        <is>
          <t>eng</t>
        </is>
      </c>
      <c r="P1664" t="inlineStr">
        <is>
          <t>nyu</t>
        </is>
      </c>
      <c r="R1664" t="inlineStr">
        <is>
          <t xml:space="preserve">GV </t>
        </is>
      </c>
      <c r="S1664" t="n">
        <v>6</v>
      </c>
      <c r="T1664" t="n">
        <v>6</v>
      </c>
      <c r="U1664" t="inlineStr">
        <is>
          <t>2009-04-09</t>
        </is>
      </c>
      <c r="V1664" t="inlineStr">
        <is>
          <t>2009-04-09</t>
        </is>
      </c>
      <c r="W1664" t="inlineStr">
        <is>
          <t>1990-10-29</t>
        </is>
      </c>
      <c r="X1664" t="inlineStr">
        <is>
          <t>1990-10-29</t>
        </is>
      </c>
      <c r="Y1664" t="n">
        <v>744</v>
      </c>
      <c r="Z1664" t="n">
        <v>736</v>
      </c>
      <c r="AA1664" t="n">
        <v>817</v>
      </c>
      <c r="AB1664" t="n">
        <v>3</v>
      </c>
      <c r="AC1664" t="n">
        <v>4</v>
      </c>
      <c r="AD1664" t="n">
        <v>9</v>
      </c>
      <c r="AE1664" t="n">
        <v>12</v>
      </c>
      <c r="AF1664" t="n">
        <v>4</v>
      </c>
      <c r="AG1664" t="n">
        <v>5</v>
      </c>
      <c r="AH1664" t="n">
        <v>2</v>
      </c>
      <c r="AI1664" t="n">
        <v>3</v>
      </c>
      <c r="AJ1664" t="n">
        <v>5</v>
      </c>
      <c r="AK1664" t="n">
        <v>5</v>
      </c>
      <c r="AL1664" t="n">
        <v>1</v>
      </c>
      <c r="AM1664" t="n">
        <v>2</v>
      </c>
      <c r="AN1664" t="n">
        <v>0</v>
      </c>
      <c r="AO1664" t="n">
        <v>0</v>
      </c>
      <c r="AP1664" t="inlineStr">
        <is>
          <t>No</t>
        </is>
      </c>
      <c r="AQ1664" t="inlineStr">
        <is>
          <t>No</t>
        </is>
      </c>
      <c r="AS1664">
        <f>HYPERLINK("https://creighton-primo.hosted.exlibrisgroup.com/primo-explore/search?tab=default_tab&amp;search_scope=EVERYTHING&amp;vid=01CRU&amp;lang=en_US&amp;offset=0&amp;query=any,contains,991001350129702656","Catalog Record")</f>
        <v/>
      </c>
      <c r="AT1664">
        <f>HYPERLINK("http://www.worldcat.org/oclc/18441391","WorldCat Record")</f>
        <v/>
      </c>
      <c r="AU1664" t="inlineStr">
        <is>
          <t>17969766:eng</t>
        </is>
      </c>
      <c r="AV1664" t="inlineStr">
        <is>
          <t>18441391</t>
        </is>
      </c>
      <c r="AW1664" t="inlineStr">
        <is>
          <t>991001350129702656</t>
        </is>
      </c>
      <c r="AX1664" t="inlineStr">
        <is>
          <t>991001350129702656</t>
        </is>
      </c>
      <c r="AY1664" t="inlineStr">
        <is>
          <t>2269106590002656</t>
        </is>
      </c>
      <c r="AZ1664" t="inlineStr">
        <is>
          <t>BOOK</t>
        </is>
      </c>
      <c r="BB1664" t="inlineStr">
        <is>
          <t>9780394568911</t>
        </is>
      </c>
      <c r="BC1664" t="inlineStr">
        <is>
          <t>32285000344548</t>
        </is>
      </c>
      <c r="BD1664" t="inlineStr">
        <is>
          <t>893778733</t>
        </is>
      </c>
    </row>
    <row r="1665">
      <c r="A1665" t="inlineStr">
        <is>
          <t>No</t>
        </is>
      </c>
      <c r="B1665" t="inlineStr">
        <is>
          <t>GV885.7 .G72 1988</t>
        </is>
      </c>
      <c r="C1665" t="inlineStr">
        <is>
          <t>0                      GV 0885700G  72          1988</t>
        </is>
      </c>
      <c r="D1665" t="inlineStr">
        <is>
          <t>Grass roots &amp; schoolyards : a high school basketball anthology / edited by Nelson Campbell.</t>
        </is>
      </c>
      <c r="F1665" t="inlineStr">
        <is>
          <t>No</t>
        </is>
      </c>
      <c r="G1665" t="inlineStr">
        <is>
          <t>1</t>
        </is>
      </c>
      <c r="H1665" t="inlineStr">
        <is>
          <t>No</t>
        </is>
      </c>
      <c r="I1665" t="inlineStr">
        <is>
          <t>No</t>
        </is>
      </c>
      <c r="J1665" t="inlineStr">
        <is>
          <t>0</t>
        </is>
      </c>
      <c r="L1665" t="inlineStr">
        <is>
          <t>Lexington, Mass. : S. Greene Press, 1988.</t>
        </is>
      </c>
      <c r="M1665" t="inlineStr">
        <is>
          <t>1988</t>
        </is>
      </c>
      <c r="O1665" t="inlineStr">
        <is>
          <t>eng</t>
        </is>
      </c>
      <c r="P1665" t="inlineStr">
        <is>
          <t>mau</t>
        </is>
      </c>
      <c r="R1665" t="inlineStr">
        <is>
          <t xml:space="preserve">GV </t>
        </is>
      </c>
      <c r="S1665" t="n">
        <v>3</v>
      </c>
      <c r="T1665" t="n">
        <v>3</v>
      </c>
      <c r="U1665" t="inlineStr">
        <is>
          <t>2009-02-23</t>
        </is>
      </c>
      <c r="V1665" t="inlineStr">
        <is>
          <t>2009-02-23</t>
        </is>
      </c>
      <c r="W1665" t="inlineStr">
        <is>
          <t>2006-09-19</t>
        </is>
      </c>
      <c r="X1665" t="inlineStr">
        <is>
          <t>2006-09-19</t>
        </is>
      </c>
      <c r="Y1665" t="n">
        <v>179</v>
      </c>
      <c r="Z1665" t="n">
        <v>178</v>
      </c>
      <c r="AA1665" t="n">
        <v>186</v>
      </c>
      <c r="AB1665" t="n">
        <v>2</v>
      </c>
      <c r="AC1665" t="n">
        <v>2</v>
      </c>
      <c r="AD1665" t="n">
        <v>2</v>
      </c>
      <c r="AE1665" t="n">
        <v>2</v>
      </c>
      <c r="AF1665" t="n">
        <v>1</v>
      </c>
      <c r="AG1665" t="n">
        <v>1</v>
      </c>
      <c r="AH1665" t="n">
        <v>0</v>
      </c>
      <c r="AI1665" t="n">
        <v>0</v>
      </c>
      <c r="AJ1665" t="n">
        <v>2</v>
      </c>
      <c r="AK1665" t="n">
        <v>2</v>
      </c>
      <c r="AL1665" t="n">
        <v>0</v>
      </c>
      <c r="AM1665" t="n">
        <v>0</v>
      </c>
      <c r="AN1665" t="n">
        <v>0</v>
      </c>
      <c r="AO1665" t="n">
        <v>0</v>
      </c>
      <c r="AP1665" t="inlineStr">
        <is>
          <t>No</t>
        </is>
      </c>
      <c r="AQ1665" t="inlineStr">
        <is>
          <t>No</t>
        </is>
      </c>
      <c r="AS1665">
        <f>HYPERLINK("https://creighton-primo.hosted.exlibrisgroup.com/primo-explore/search?tab=default_tab&amp;search_scope=EVERYTHING&amp;vid=01CRU&amp;lang=en_US&amp;offset=0&amp;query=any,contains,991004923419702656","Catalog Record")</f>
        <v/>
      </c>
      <c r="AT1665">
        <f>HYPERLINK("http://www.worldcat.org/oclc/16356713","WorldCat Record")</f>
        <v/>
      </c>
      <c r="AU1665" t="inlineStr">
        <is>
          <t>54995446:eng</t>
        </is>
      </c>
      <c r="AV1665" t="inlineStr">
        <is>
          <t>16356713</t>
        </is>
      </c>
      <c r="AW1665" t="inlineStr">
        <is>
          <t>991004923419702656</t>
        </is>
      </c>
      <c r="AX1665" t="inlineStr">
        <is>
          <t>991004923419702656</t>
        </is>
      </c>
      <c r="AY1665" t="inlineStr">
        <is>
          <t>2256872550002656</t>
        </is>
      </c>
      <c r="AZ1665" t="inlineStr">
        <is>
          <t>BOOK</t>
        </is>
      </c>
      <c r="BB1665" t="inlineStr">
        <is>
          <t>9780828906401</t>
        </is>
      </c>
      <c r="BC1665" t="inlineStr">
        <is>
          <t>32285005224067</t>
        </is>
      </c>
      <c r="BD1665" t="inlineStr">
        <is>
          <t>893520178</t>
        </is>
      </c>
    </row>
    <row r="1666">
      <c r="A1666" t="inlineStr">
        <is>
          <t>No</t>
        </is>
      </c>
      <c r="B1666" t="inlineStr">
        <is>
          <t>GV885.7 .P49 1991</t>
        </is>
      </c>
      <c r="C1666" t="inlineStr">
        <is>
          <t>0                      GV 0885700P  49          1991</t>
        </is>
      </c>
      <c r="D1666" t="inlineStr">
        <is>
          <t>Cages to jump shots : pro basketball's early years / Robert W. Peterson.</t>
        </is>
      </c>
      <c r="F1666" t="inlineStr">
        <is>
          <t>No</t>
        </is>
      </c>
      <c r="G1666" t="inlineStr">
        <is>
          <t>1</t>
        </is>
      </c>
      <c r="H1666" t="inlineStr">
        <is>
          <t>No</t>
        </is>
      </c>
      <c r="I1666" t="inlineStr">
        <is>
          <t>No</t>
        </is>
      </c>
      <c r="J1666" t="inlineStr">
        <is>
          <t>0</t>
        </is>
      </c>
      <c r="K1666" t="inlineStr">
        <is>
          <t>Peterson, Robert, 1925-2006.</t>
        </is>
      </c>
      <c r="L1666" t="inlineStr">
        <is>
          <t>New York : Oxford University Press, 1991, c1990.</t>
        </is>
      </c>
      <c r="M1666" t="inlineStr">
        <is>
          <t>1991</t>
        </is>
      </c>
      <c r="O1666" t="inlineStr">
        <is>
          <t>eng</t>
        </is>
      </c>
      <c r="P1666" t="inlineStr">
        <is>
          <t>nyu</t>
        </is>
      </c>
      <c r="R1666" t="inlineStr">
        <is>
          <t xml:space="preserve">GV </t>
        </is>
      </c>
      <c r="S1666" t="n">
        <v>1</v>
      </c>
      <c r="T1666" t="n">
        <v>1</v>
      </c>
      <c r="U1666" t="inlineStr">
        <is>
          <t>2006-11-20</t>
        </is>
      </c>
      <c r="V1666" t="inlineStr">
        <is>
          <t>2006-11-20</t>
        </is>
      </c>
      <c r="W1666" t="inlineStr">
        <is>
          <t>2006-11-20</t>
        </is>
      </c>
      <c r="X1666" t="inlineStr">
        <is>
          <t>2006-11-20</t>
        </is>
      </c>
      <c r="Y1666" t="n">
        <v>640</v>
      </c>
      <c r="Z1666" t="n">
        <v>611</v>
      </c>
      <c r="AA1666" t="n">
        <v>668</v>
      </c>
      <c r="AB1666" t="n">
        <v>6</v>
      </c>
      <c r="AC1666" t="n">
        <v>6</v>
      </c>
      <c r="AD1666" t="n">
        <v>14</v>
      </c>
      <c r="AE1666" t="n">
        <v>15</v>
      </c>
      <c r="AF1666" t="n">
        <v>5</v>
      </c>
      <c r="AG1666" t="n">
        <v>5</v>
      </c>
      <c r="AH1666" t="n">
        <v>3</v>
      </c>
      <c r="AI1666" t="n">
        <v>4</v>
      </c>
      <c r="AJ1666" t="n">
        <v>8</v>
      </c>
      <c r="AK1666" t="n">
        <v>8</v>
      </c>
      <c r="AL1666" t="n">
        <v>3</v>
      </c>
      <c r="AM1666" t="n">
        <v>3</v>
      </c>
      <c r="AN1666" t="n">
        <v>0</v>
      </c>
      <c r="AO1666" t="n">
        <v>0</v>
      </c>
      <c r="AP1666" t="inlineStr">
        <is>
          <t>No</t>
        </is>
      </c>
      <c r="AQ1666" t="inlineStr">
        <is>
          <t>Yes</t>
        </is>
      </c>
      <c r="AR1666">
        <f>HYPERLINK("http://catalog.hathitrust.org/Record/002231788","HathiTrust Record")</f>
        <v/>
      </c>
      <c r="AS1666">
        <f>HYPERLINK("https://creighton-primo.hosted.exlibrisgroup.com/primo-explore/search?tab=default_tab&amp;search_scope=EVERYTHING&amp;vid=01CRU&amp;lang=en_US&amp;offset=0&amp;query=any,contains,991004985169702656","Catalog Record")</f>
        <v/>
      </c>
      <c r="AT1666">
        <f>HYPERLINK("http://www.worldcat.org/oclc/21029918","WorldCat Record")</f>
        <v/>
      </c>
      <c r="AU1666" t="inlineStr">
        <is>
          <t>836838296:eng</t>
        </is>
      </c>
      <c r="AV1666" t="inlineStr">
        <is>
          <t>21029918</t>
        </is>
      </c>
      <c r="AW1666" t="inlineStr">
        <is>
          <t>991004985169702656</t>
        </is>
      </c>
      <c r="AX1666" t="inlineStr">
        <is>
          <t>991004985169702656</t>
        </is>
      </c>
      <c r="AY1666" t="inlineStr">
        <is>
          <t>2266496930002656</t>
        </is>
      </c>
      <c r="AZ1666" t="inlineStr">
        <is>
          <t>BOOK</t>
        </is>
      </c>
      <c r="BB1666" t="inlineStr">
        <is>
          <t>9780195053104</t>
        </is>
      </c>
      <c r="BC1666" t="inlineStr">
        <is>
          <t>32285005260426</t>
        </is>
      </c>
      <c r="BD1666" t="inlineStr">
        <is>
          <t>893625309</t>
        </is>
      </c>
    </row>
    <row r="1667">
      <c r="A1667" t="inlineStr">
        <is>
          <t>No</t>
        </is>
      </c>
      <c r="B1667" t="inlineStr">
        <is>
          <t>GV885.72.I6 G68 1998</t>
        </is>
      </c>
      <c r="C1667" t="inlineStr">
        <is>
          <t>0                      GV 0885720I  6                  G  68          1998</t>
        </is>
      </c>
      <c r="D1667" t="inlineStr">
        <is>
          <t>Pioneers of the hardwood : Indiana and the birth of professional basketball / Todd Gould.</t>
        </is>
      </c>
      <c r="F1667" t="inlineStr">
        <is>
          <t>No</t>
        </is>
      </c>
      <c r="G1667" t="inlineStr">
        <is>
          <t>1</t>
        </is>
      </c>
      <c r="H1667" t="inlineStr">
        <is>
          <t>No</t>
        </is>
      </c>
      <c r="I1667" t="inlineStr">
        <is>
          <t>No</t>
        </is>
      </c>
      <c r="J1667" t="inlineStr">
        <is>
          <t>0</t>
        </is>
      </c>
      <c r="K1667" t="inlineStr">
        <is>
          <t>Gould, Todd, 1965-</t>
        </is>
      </c>
      <c r="L1667" t="inlineStr">
        <is>
          <t>Bloomington : Indiana University Press, c1998.</t>
        </is>
      </c>
      <c r="M1667" t="inlineStr">
        <is>
          <t>1998</t>
        </is>
      </c>
      <c r="O1667" t="inlineStr">
        <is>
          <t>eng</t>
        </is>
      </c>
      <c r="P1667" t="inlineStr">
        <is>
          <t>inu</t>
        </is>
      </c>
      <c r="R1667" t="inlineStr">
        <is>
          <t xml:space="preserve">GV </t>
        </is>
      </c>
      <c r="S1667" t="n">
        <v>1</v>
      </c>
      <c r="T1667" t="n">
        <v>1</v>
      </c>
      <c r="U1667" t="inlineStr">
        <is>
          <t>2009-05-19</t>
        </is>
      </c>
      <c r="V1667" t="inlineStr">
        <is>
          <t>2009-05-19</t>
        </is>
      </c>
      <c r="W1667" t="inlineStr">
        <is>
          <t>2009-05-19</t>
        </is>
      </c>
      <c r="X1667" t="inlineStr">
        <is>
          <t>2009-05-19</t>
        </is>
      </c>
      <c r="Y1667" t="n">
        <v>313</v>
      </c>
      <c r="Z1667" t="n">
        <v>300</v>
      </c>
      <c r="AA1667" t="n">
        <v>514</v>
      </c>
      <c r="AB1667" t="n">
        <v>3</v>
      </c>
      <c r="AC1667" t="n">
        <v>3</v>
      </c>
      <c r="AD1667" t="n">
        <v>6</v>
      </c>
      <c r="AE1667" t="n">
        <v>17</v>
      </c>
      <c r="AF1667" t="n">
        <v>2</v>
      </c>
      <c r="AG1667" t="n">
        <v>7</v>
      </c>
      <c r="AH1667" t="n">
        <v>1</v>
      </c>
      <c r="AI1667" t="n">
        <v>4</v>
      </c>
      <c r="AJ1667" t="n">
        <v>3</v>
      </c>
      <c r="AK1667" t="n">
        <v>10</v>
      </c>
      <c r="AL1667" t="n">
        <v>2</v>
      </c>
      <c r="AM1667" t="n">
        <v>2</v>
      </c>
      <c r="AN1667" t="n">
        <v>0</v>
      </c>
      <c r="AO1667" t="n">
        <v>0</v>
      </c>
      <c r="AP1667" t="inlineStr">
        <is>
          <t>No</t>
        </is>
      </c>
      <c r="AQ1667" t="inlineStr">
        <is>
          <t>Yes</t>
        </is>
      </c>
      <c r="AR1667">
        <f>HYPERLINK("http://catalog.hathitrust.org/Record/003969666","HathiTrust Record")</f>
        <v/>
      </c>
      <c r="AS1667">
        <f>HYPERLINK("https://creighton-primo.hosted.exlibrisgroup.com/primo-explore/search?tab=default_tab&amp;search_scope=EVERYTHING&amp;vid=01CRU&amp;lang=en_US&amp;offset=0&amp;query=any,contains,991005316539702656","Catalog Record")</f>
        <v/>
      </c>
      <c r="AT1667">
        <f>HYPERLINK("http://www.worldcat.org/oclc/37675750","WorldCat Record")</f>
        <v/>
      </c>
      <c r="AU1667" t="inlineStr">
        <is>
          <t>476163352:eng</t>
        </is>
      </c>
      <c r="AV1667" t="inlineStr">
        <is>
          <t>37675750</t>
        </is>
      </c>
      <c r="AW1667" t="inlineStr">
        <is>
          <t>991005316539702656</t>
        </is>
      </c>
      <c r="AX1667" t="inlineStr">
        <is>
          <t>991005316539702656</t>
        </is>
      </c>
      <c r="AY1667" t="inlineStr">
        <is>
          <t>2266558470002656</t>
        </is>
      </c>
      <c r="AZ1667" t="inlineStr">
        <is>
          <t>BOOK</t>
        </is>
      </c>
      <c r="BB1667" t="inlineStr">
        <is>
          <t>9780253211996</t>
        </is>
      </c>
      <c r="BC1667" t="inlineStr">
        <is>
          <t>32285005532279</t>
        </is>
      </c>
      <c r="BD1667" t="inlineStr">
        <is>
          <t>893507962</t>
        </is>
      </c>
    </row>
    <row r="1668">
      <c r="A1668" t="inlineStr">
        <is>
          <t>No</t>
        </is>
      </c>
      <c r="B1668" t="inlineStr">
        <is>
          <t>GV885.73.N4 F74 1994</t>
        </is>
      </c>
      <c r="C1668" t="inlineStr">
        <is>
          <t>0                      GV 0885730N  4                  F  74          1994</t>
        </is>
      </c>
      <c r="D1668" t="inlineStr">
        <is>
          <t>The last shot : city streets, basketball dreams / Darcy Frey.</t>
        </is>
      </c>
      <c r="F1668" t="inlineStr">
        <is>
          <t>No</t>
        </is>
      </c>
      <c r="G1668" t="inlineStr">
        <is>
          <t>1</t>
        </is>
      </c>
      <c r="H1668" t="inlineStr">
        <is>
          <t>No</t>
        </is>
      </c>
      <c r="I1668" t="inlineStr">
        <is>
          <t>No</t>
        </is>
      </c>
      <c r="J1668" t="inlineStr">
        <is>
          <t>0</t>
        </is>
      </c>
      <c r="K1668" t="inlineStr">
        <is>
          <t>Frey, Darcy.</t>
        </is>
      </c>
      <c r="L1668" t="inlineStr">
        <is>
          <t>Boston : Houghton Mifflin Co., c1994.</t>
        </is>
      </c>
      <c r="M1668" t="inlineStr">
        <is>
          <t>1994</t>
        </is>
      </c>
      <c r="O1668" t="inlineStr">
        <is>
          <t>eng</t>
        </is>
      </c>
      <c r="P1668" t="inlineStr">
        <is>
          <t>mau</t>
        </is>
      </c>
      <c r="R1668" t="inlineStr">
        <is>
          <t xml:space="preserve">GV </t>
        </is>
      </c>
      <c r="S1668" t="n">
        <v>6</v>
      </c>
      <c r="T1668" t="n">
        <v>6</v>
      </c>
      <c r="U1668" t="inlineStr">
        <is>
          <t>2008-07-11</t>
        </is>
      </c>
      <c r="V1668" t="inlineStr">
        <is>
          <t>2008-07-11</t>
        </is>
      </c>
      <c r="W1668" t="inlineStr">
        <is>
          <t>1995-03-29</t>
        </is>
      </c>
      <c r="X1668" t="inlineStr">
        <is>
          <t>1995-03-29</t>
        </is>
      </c>
      <c r="Y1668" t="n">
        <v>735</v>
      </c>
      <c r="Z1668" t="n">
        <v>721</v>
      </c>
      <c r="AA1668" t="n">
        <v>1005</v>
      </c>
      <c r="AB1668" t="n">
        <v>6</v>
      </c>
      <c r="AC1668" t="n">
        <v>8</v>
      </c>
      <c r="AD1668" t="n">
        <v>20</v>
      </c>
      <c r="AE1668" t="n">
        <v>25</v>
      </c>
      <c r="AF1668" t="n">
        <v>6</v>
      </c>
      <c r="AG1668" t="n">
        <v>9</v>
      </c>
      <c r="AH1668" t="n">
        <v>5</v>
      </c>
      <c r="AI1668" t="n">
        <v>7</v>
      </c>
      <c r="AJ1668" t="n">
        <v>10</v>
      </c>
      <c r="AK1668" t="n">
        <v>13</v>
      </c>
      <c r="AL1668" t="n">
        <v>2</v>
      </c>
      <c r="AM1668" t="n">
        <v>3</v>
      </c>
      <c r="AN1668" t="n">
        <v>0</v>
      </c>
      <c r="AO1668" t="n">
        <v>0</v>
      </c>
      <c r="AP1668" t="inlineStr">
        <is>
          <t>No</t>
        </is>
      </c>
      <c r="AQ1668" t="inlineStr">
        <is>
          <t>No</t>
        </is>
      </c>
      <c r="AS1668">
        <f>HYPERLINK("https://creighton-primo.hosted.exlibrisgroup.com/primo-explore/search?tab=default_tab&amp;search_scope=EVERYTHING&amp;vid=01CRU&amp;lang=en_US&amp;offset=0&amp;query=any,contains,991002376419702656","Catalog Record")</f>
        <v/>
      </c>
      <c r="AT1668">
        <f>HYPERLINK("http://www.worldcat.org/oclc/30894933","WorldCat Record")</f>
        <v/>
      </c>
      <c r="AU1668" t="inlineStr">
        <is>
          <t>1068413:eng</t>
        </is>
      </c>
      <c r="AV1668" t="inlineStr">
        <is>
          <t>30894933</t>
        </is>
      </c>
      <c r="AW1668" t="inlineStr">
        <is>
          <t>991002376419702656</t>
        </is>
      </c>
      <c r="AX1668" t="inlineStr">
        <is>
          <t>991002376419702656</t>
        </is>
      </c>
      <c r="AY1668" t="inlineStr">
        <is>
          <t>2271123570002656</t>
        </is>
      </c>
      <c r="AZ1668" t="inlineStr">
        <is>
          <t>BOOK</t>
        </is>
      </c>
      <c r="BB1668" t="inlineStr">
        <is>
          <t>9780395597705</t>
        </is>
      </c>
      <c r="BC1668" t="inlineStr">
        <is>
          <t>32285002015245</t>
        </is>
      </c>
      <c r="BD1668" t="inlineStr">
        <is>
          <t>893257224</t>
        </is>
      </c>
    </row>
    <row r="1669">
      <c r="A1669" t="inlineStr">
        <is>
          <t>No</t>
        </is>
      </c>
      <c r="B1669" t="inlineStr">
        <is>
          <t>GV886.3 .P39 2001</t>
        </is>
      </c>
      <c r="C1669" t="inlineStr">
        <is>
          <t>0                      GV 0886300P  39          2001</t>
        </is>
      </c>
      <c r="D1669" t="inlineStr">
        <is>
          <t>Youth basketball drills / Burrall Paye, Patrick Paye.</t>
        </is>
      </c>
      <c r="F1669" t="inlineStr">
        <is>
          <t>No</t>
        </is>
      </c>
      <c r="G1669" t="inlineStr">
        <is>
          <t>1</t>
        </is>
      </c>
      <c r="H1669" t="inlineStr">
        <is>
          <t>No</t>
        </is>
      </c>
      <c r="I1669" t="inlineStr">
        <is>
          <t>No</t>
        </is>
      </c>
      <c r="J1669" t="inlineStr">
        <is>
          <t>0</t>
        </is>
      </c>
      <c r="K1669" t="inlineStr">
        <is>
          <t>Paye, Burrall, 1938-</t>
        </is>
      </c>
      <c r="L1669" t="inlineStr">
        <is>
          <t>Champaign, IL : Human Kinetics, c2001.</t>
        </is>
      </c>
      <c r="M1669" t="inlineStr">
        <is>
          <t>2001</t>
        </is>
      </c>
      <c r="O1669" t="inlineStr">
        <is>
          <t>eng</t>
        </is>
      </c>
      <c r="P1669" t="inlineStr">
        <is>
          <t>nyu</t>
        </is>
      </c>
      <c r="R1669" t="inlineStr">
        <is>
          <t xml:space="preserve">GV </t>
        </is>
      </c>
      <c r="S1669" t="n">
        <v>6</v>
      </c>
      <c r="T1669" t="n">
        <v>6</v>
      </c>
      <c r="U1669" t="inlineStr">
        <is>
          <t>2006-10-27</t>
        </is>
      </c>
      <c r="V1669" t="inlineStr">
        <is>
          <t>2006-10-27</t>
        </is>
      </c>
      <c r="W1669" t="inlineStr">
        <is>
          <t>2001-08-23</t>
        </is>
      </c>
      <c r="X1669" t="inlineStr">
        <is>
          <t>2001-08-23</t>
        </is>
      </c>
      <c r="Y1669" t="n">
        <v>465</v>
      </c>
      <c r="Z1669" t="n">
        <v>371</v>
      </c>
      <c r="AA1669" t="n">
        <v>493</v>
      </c>
      <c r="AB1669" t="n">
        <v>6</v>
      </c>
      <c r="AC1669" t="n">
        <v>8</v>
      </c>
      <c r="AD1669" t="n">
        <v>3</v>
      </c>
      <c r="AE1669" t="n">
        <v>4</v>
      </c>
      <c r="AF1669" t="n">
        <v>0</v>
      </c>
      <c r="AG1669" t="n">
        <v>0</v>
      </c>
      <c r="AH1669" t="n">
        <v>1</v>
      </c>
      <c r="AI1669" t="n">
        <v>1</v>
      </c>
      <c r="AJ1669" t="n">
        <v>0</v>
      </c>
      <c r="AK1669" t="n">
        <v>0</v>
      </c>
      <c r="AL1669" t="n">
        <v>2</v>
      </c>
      <c r="AM1669" t="n">
        <v>3</v>
      </c>
      <c r="AN1669" t="n">
        <v>0</v>
      </c>
      <c r="AO1669" t="n">
        <v>0</v>
      </c>
      <c r="AP1669" t="inlineStr">
        <is>
          <t>No</t>
        </is>
      </c>
      <c r="AQ1669" t="inlineStr">
        <is>
          <t>No</t>
        </is>
      </c>
      <c r="AS1669">
        <f>HYPERLINK("https://creighton-primo.hosted.exlibrisgroup.com/primo-explore/search?tab=default_tab&amp;search_scope=EVERYTHING&amp;vid=01CRU&amp;lang=en_US&amp;offset=0&amp;query=any,contains,991003592829702656","Catalog Record")</f>
        <v/>
      </c>
      <c r="AT1669">
        <f>HYPERLINK("http://www.worldcat.org/oclc/44502370","WorldCat Record")</f>
        <v/>
      </c>
      <c r="AU1669" t="inlineStr">
        <is>
          <t>33834375:eng</t>
        </is>
      </c>
      <c r="AV1669" t="inlineStr">
        <is>
          <t>44502370</t>
        </is>
      </c>
      <c r="AW1669" t="inlineStr">
        <is>
          <t>991003592829702656</t>
        </is>
      </c>
      <c r="AX1669" t="inlineStr">
        <is>
          <t>991003592829702656</t>
        </is>
      </c>
      <c r="AY1669" t="inlineStr">
        <is>
          <t>2263529690002656</t>
        </is>
      </c>
      <c r="AZ1669" t="inlineStr">
        <is>
          <t>BOOK</t>
        </is>
      </c>
      <c r="BB1669" t="inlineStr">
        <is>
          <t>9780736033657</t>
        </is>
      </c>
      <c r="BC1669" t="inlineStr">
        <is>
          <t>32285004380381</t>
        </is>
      </c>
      <c r="BD1669" t="inlineStr">
        <is>
          <t>893805962</t>
        </is>
      </c>
    </row>
    <row r="1670">
      <c r="A1670" t="inlineStr">
        <is>
          <t>No</t>
        </is>
      </c>
      <c r="B1670" t="inlineStr">
        <is>
          <t>GV888 .B35</t>
        </is>
      </c>
      <c r="C1670" t="inlineStr">
        <is>
          <t>0                      GV 0888000B  35</t>
        </is>
      </c>
      <c r="D1670" t="inlineStr">
        <is>
          <t>The Basketball clinic's complete book of defensive fundamentals and drills / compiled by the editors of the Basketball clinic.</t>
        </is>
      </c>
      <c r="F1670" t="inlineStr">
        <is>
          <t>No</t>
        </is>
      </c>
      <c r="G1670" t="inlineStr">
        <is>
          <t>1</t>
        </is>
      </c>
      <c r="H1670" t="inlineStr">
        <is>
          <t>No</t>
        </is>
      </c>
      <c r="I1670" t="inlineStr">
        <is>
          <t>No</t>
        </is>
      </c>
      <c r="J1670" t="inlineStr">
        <is>
          <t>0</t>
        </is>
      </c>
      <c r="L1670" t="inlineStr">
        <is>
          <t>West Nyack, N.Y. : Parker Pub. Co., c1981.</t>
        </is>
      </c>
      <c r="M1670" t="inlineStr">
        <is>
          <t>1981</t>
        </is>
      </c>
      <c r="O1670" t="inlineStr">
        <is>
          <t>eng</t>
        </is>
      </c>
      <c r="P1670" t="inlineStr">
        <is>
          <t>nyu</t>
        </is>
      </c>
      <c r="R1670" t="inlineStr">
        <is>
          <t xml:space="preserve">GV </t>
        </is>
      </c>
      <c r="S1670" t="n">
        <v>13</v>
      </c>
      <c r="T1670" t="n">
        <v>13</v>
      </c>
      <c r="U1670" t="inlineStr">
        <is>
          <t>2006-10-27</t>
        </is>
      </c>
      <c r="V1670" t="inlineStr">
        <is>
          <t>2006-10-27</t>
        </is>
      </c>
      <c r="W1670" t="inlineStr">
        <is>
          <t>1990-10-29</t>
        </is>
      </c>
      <c r="X1670" t="inlineStr">
        <is>
          <t>1990-10-29</t>
        </is>
      </c>
      <c r="Y1670" t="n">
        <v>122</v>
      </c>
      <c r="Z1670" t="n">
        <v>111</v>
      </c>
      <c r="AA1670" t="n">
        <v>115</v>
      </c>
      <c r="AB1670" t="n">
        <v>1</v>
      </c>
      <c r="AC1670" t="n">
        <v>1</v>
      </c>
      <c r="AD1670" t="n">
        <v>1</v>
      </c>
      <c r="AE1670" t="n">
        <v>1</v>
      </c>
      <c r="AF1670" t="n">
        <v>1</v>
      </c>
      <c r="AG1670" t="n">
        <v>1</v>
      </c>
      <c r="AH1670" t="n">
        <v>0</v>
      </c>
      <c r="AI1670" t="n">
        <v>0</v>
      </c>
      <c r="AJ1670" t="n">
        <v>0</v>
      </c>
      <c r="AK1670" t="n">
        <v>0</v>
      </c>
      <c r="AL1670" t="n">
        <v>0</v>
      </c>
      <c r="AM1670" t="n">
        <v>0</v>
      </c>
      <c r="AN1670" t="n">
        <v>0</v>
      </c>
      <c r="AO1670" t="n">
        <v>0</v>
      </c>
      <c r="AP1670" t="inlineStr">
        <is>
          <t>No</t>
        </is>
      </c>
      <c r="AQ1670" t="inlineStr">
        <is>
          <t>No</t>
        </is>
      </c>
      <c r="AS1670">
        <f>HYPERLINK("https://creighton-primo.hosted.exlibrisgroup.com/primo-explore/search?tab=default_tab&amp;search_scope=EVERYTHING&amp;vid=01CRU&amp;lang=en_US&amp;offset=0&amp;query=any,contains,991005095969702656","Catalog Record")</f>
        <v/>
      </c>
      <c r="AT1670">
        <f>HYPERLINK("http://www.worldcat.org/oclc/7273324","WorldCat Record")</f>
        <v/>
      </c>
      <c r="AU1670" t="inlineStr">
        <is>
          <t>26036687:eng</t>
        </is>
      </c>
      <c r="AV1670" t="inlineStr">
        <is>
          <t>7273324</t>
        </is>
      </c>
      <c r="AW1670" t="inlineStr">
        <is>
          <t>991005095969702656</t>
        </is>
      </c>
      <c r="AX1670" t="inlineStr">
        <is>
          <t>991005095969702656</t>
        </is>
      </c>
      <c r="AY1670" t="inlineStr">
        <is>
          <t>2258415230002656</t>
        </is>
      </c>
      <c r="AZ1670" t="inlineStr">
        <is>
          <t>BOOK</t>
        </is>
      </c>
      <c r="BB1670" t="inlineStr">
        <is>
          <t>9780130721990</t>
        </is>
      </c>
      <c r="BC1670" t="inlineStr">
        <is>
          <t>32285000344571</t>
        </is>
      </c>
      <c r="BD1670" t="inlineStr">
        <is>
          <t>893248341</t>
        </is>
      </c>
    </row>
    <row r="1671">
      <c r="A1671" t="inlineStr">
        <is>
          <t>No</t>
        </is>
      </c>
      <c r="B1671" t="inlineStr">
        <is>
          <t>GV888.25 .W48 2000</t>
        </is>
      </c>
      <c r="C1671" t="inlineStr">
        <is>
          <t>0                      GV 0888250W  48          2000</t>
        </is>
      </c>
      <c r="D1671" t="inlineStr">
        <is>
          <t>Sole influence : basketball, corporate greed, and the corruption of America's youth / Dan Wetzel and Don Yaeger.</t>
        </is>
      </c>
      <c r="F1671" t="inlineStr">
        <is>
          <t>No</t>
        </is>
      </c>
      <c r="G1671" t="inlineStr">
        <is>
          <t>1</t>
        </is>
      </c>
      <c r="H1671" t="inlineStr">
        <is>
          <t>No</t>
        </is>
      </c>
      <c r="I1671" t="inlineStr">
        <is>
          <t>No</t>
        </is>
      </c>
      <c r="J1671" t="inlineStr">
        <is>
          <t>0</t>
        </is>
      </c>
      <c r="K1671" t="inlineStr">
        <is>
          <t>Wetzel, Dan.</t>
        </is>
      </c>
      <c r="L1671" t="inlineStr">
        <is>
          <t>New York : Warner Books, c2000.</t>
        </is>
      </c>
      <c r="M1671" t="inlineStr">
        <is>
          <t>2000</t>
        </is>
      </c>
      <c r="O1671" t="inlineStr">
        <is>
          <t>eng</t>
        </is>
      </c>
      <c r="P1671" t="inlineStr">
        <is>
          <t>nyu</t>
        </is>
      </c>
      <c r="R1671" t="inlineStr">
        <is>
          <t xml:space="preserve">GV </t>
        </is>
      </c>
      <c r="S1671" t="n">
        <v>6</v>
      </c>
      <c r="T1671" t="n">
        <v>6</v>
      </c>
      <c r="U1671" t="inlineStr">
        <is>
          <t>2001-11-15</t>
        </is>
      </c>
      <c r="V1671" t="inlineStr">
        <is>
          <t>2001-11-15</t>
        </is>
      </c>
      <c r="W1671" t="inlineStr">
        <is>
          <t>2000-03-13</t>
        </is>
      </c>
      <c r="X1671" t="inlineStr">
        <is>
          <t>2000-03-13</t>
        </is>
      </c>
      <c r="Y1671" t="n">
        <v>840</v>
      </c>
      <c r="Z1671" t="n">
        <v>806</v>
      </c>
      <c r="AA1671" t="n">
        <v>850</v>
      </c>
      <c r="AB1671" t="n">
        <v>6</v>
      </c>
      <c r="AC1671" t="n">
        <v>7</v>
      </c>
      <c r="AD1671" t="n">
        <v>23</v>
      </c>
      <c r="AE1671" t="n">
        <v>25</v>
      </c>
      <c r="AF1671" t="n">
        <v>11</v>
      </c>
      <c r="AG1671" t="n">
        <v>12</v>
      </c>
      <c r="AH1671" t="n">
        <v>5</v>
      </c>
      <c r="AI1671" t="n">
        <v>5</v>
      </c>
      <c r="AJ1671" t="n">
        <v>9</v>
      </c>
      <c r="AK1671" t="n">
        <v>9</v>
      </c>
      <c r="AL1671" t="n">
        <v>4</v>
      </c>
      <c r="AM1671" t="n">
        <v>5</v>
      </c>
      <c r="AN1671" t="n">
        <v>0</v>
      </c>
      <c r="AO1671" t="n">
        <v>0</v>
      </c>
      <c r="AP1671" t="inlineStr">
        <is>
          <t>No</t>
        </is>
      </c>
      <c r="AQ1671" t="inlineStr">
        <is>
          <t>No</t>
        </is>
      </c>
      <c r="AS1671">
        <f>HYPERLINK("https://creighton-primo.hosted.exlibrisgroup.com/primo-explore/search?tab=default_tab&amp;search_scope=EVERYTHING&amp;vid=01CRU&amp;lang=en_US&amp;offset=0&amp;query=any,contains,991005430729702656","Catalog Record")</f>
        <v/>
      </c>
      <c r="AT1671">
        <f>HYPERLINK("http://www.worldcat.org/oclc/42383459","WorldCat Record")</f>
        <v/>
      </c>
      <c r="AU1671" t="inlineStr">
        <is>
          <t>46353:eng</t>
        </is>
      </c>
      <c r="AV1671" t="inlineStr">
        <is>
          <t>42383459</t>
        </is>
      </c>
      <c r="AW1671" t="inlineStr">
        <is>
          <t>991005430729702656</t>
        </is>
      </c>
      <c r="AX1671" t="inlineStr">
        <is>
          <t>991005430729702656</t>
        </is>
      </c>
      <c r="AY1671" t="inlineStr">
        <is>
          <t>2262915010002656</t>
        </is>
      </c>
      <c r="AZ1671" t="inlineStr">
        <is>
          <t>BOOK</t>
        </is>
      </c>
      <c r="BB1671" t="inlineStr">
        <is>
          <t>9780446524506</t>
        </is>
      </c>
      <c r="BC1671" t="inlineStr">
        <is>
          <t>32285003668794</t>
        </is>
      </c>
      <c r="BD1671" t="inlineStr">
        <is>
          <t>893320628</t>
        </is>
      </c>
    </row>
    <row r="1672">
      <c r="A1672" t="inlineStr">
        <is>
          <t>No</t>
        </is>
      </c>
      <c r="B1672" t="inlineStr">
        <is>
          <t>GV889 .H38 1983</t>
        </is>
      </c>
      <c r="C1672" t="inlineStr">
        <is>
          <t>0                      GV 0889000H  38          1983</t>
        </is>
      </c>
      <c r="D1672" t="inlineStr">
        <is>
          <t>The Flex-continuity basketball offense / Harry L. "Mike" Harkins.</t>
        </is>
      </c>
      <c r="F1672" t="inlineStr">
        <is>
          <t>No</t>
        </is>
      </c>
      <c r="G1672" t="inlineStr">
        <is>
          <t>1</t>
        </is>
      </c>
      <c r="H1672" t="inlineStr">
        <is>
          <t>No</t>
        </is>
      </c>
      <c r="I1672" t="inlineStr">
        <is>
          <t>No</t>
        </is>
      </c>
      <c r="J1672" t="inlineStr">
        <is>
          <t>0</t>
        </is>
      </c>
      <c r="K1672" t="inlineStr">
        <is>
          <t>Harkins, Harry L.</t>
        </is>
      </c>
      <c r="L1672" t="inlineStr">
        <is>
          <t>West Nyack, N.Y. : Parker Pub. Co., c1983.</t>
        </is>
      </c>
      <c r="M1672" t="inlineStr">
        <is>
          <t>1983</t>
        </is>
      </c>
      <c r="O1672" t="inlineStr">
        <is>
          <t>eng</t>
        </is>
      </c>
      <c r="P1672" t="inlineStr">
        <is>
          <t>nyu</t>
        </is>
      </c>
      <c r="R1672" t="inlineStr">
        <is>
          <t xml:space="preserve">GV </t>
        </is>
      </c>
      <c r="S1672" t="n">
        <v>6</v>
      </c>
      <c r="T1672" t="n">
        <v>6</v>
      </c>
      <c r="U1672" t="inlineStr">
        <is>
          <t>2006-04-06</t>
        </is>
      </c>
      <c r="V1672" t="inlineStr">
        <is>
          <t>2006-04-06</t>
        </is>
      </c>
      <c r="W1672" t="inlineStr">
        <is>
          <t>1990-07-31</t>
        </is>
      </c>
      <c r="X1672" t="inlineStr">
        <is>
          <t>1990-07-31</t>
        </is>
      </c>
      <c r="Y1672" t="n">
        <v>239</v>
      </c>
      <c r="Z1672" t="n">
        <v>216</v>
      </c>
      <c r="AA1672" t="n">
        <v>216</v>
      </c>
      <c r="AB1672" t="n">
        <v>2</v>
      </c>
      <c r="AC1672" t="n">
        <v>2</v>
      </c>
      <c r="AD1672" t="n">
        <v>3</v>
      </c>
      <c r="AE1672" t="n">
        <v>3</v>
      </c>
      <c r="AF1672" t="n">
        <v>2</v>
      </c>
      <c r="AG1672" t="n">
        <v>2</v>
      </c>
      <c r="AH1672" t="n">
        <v>0</v>
      </c>
      <c r="AI1672" t="n">
        <v>0</v>
      </c>
      <c r="AJ1672" t="n">
        <v>0</v>
      </c>
      <c r="AK1672" t="n">
        <v>0</v>
      </c>
      <c r="AL1672" t="n">
        <v>1</v>
      </c>
      <c r="AM1672" t="n">
        <v>1</v>
      </c>
      <c r="AN1672" t="n">
        <v>0</v>
      </c>
      <c r="AO1672" t="n">
        <v>0</v>
      </c>
      <c r="AP1672" t="inlineStr">
        <is>
          <t>No</t>
        </is>
      </c>
      <c r="AQ1672" t="inlineStr">
        <is>
          <t>No</t>
        </is>
      </c>
      <c r="AS1672">
        <f>HYPERLINK("https://creighton-primo.hosted.exlibrisgroup.com/primo-explore/search?tab=default_tab&amp;search_scope=EVERYTHING&amp;vid=01CRU&amp;lang=en_US&amp;offset=0&amp;query=any,contains,991000117259702656","Catalog Record")</f>
        <v/>
      </c>
      <c r="AT1672">
        <f>HYPERLINK("http://www.worldcat.org/oclc/9043545","WorldCat Record")</f>
        <v/>
      </c>
      <c r="AU1672" t="inlineStr">
        <is>
          <t>42839771:eng</t>
        </is>
      </c>
      <c r="AV1672" t="inlineStr">
        <is>
          <t>9043545</t>
        </is>
      </c>
      <c r="AW1672" t="inlineStr">
        <is>
          <t>991000117259702656</t>
        </is>
      </c>
      <c r="AX1672" t="inlineStr">
        <is>
          <t>991000117259702656</t>
        </is>
      </c>
      <c r="AY1672" t="inlineStr">
        <is>
          <t>2266694610002656</t>
        </is>
      </c>
      <c r="AZ1672" t="inlineStr">
        <is>
          <t>BOOK</t>
        </is>
      </c>
      <c r="BB1672" t="inlineStr">
        <is>
          <t>9780133223057</t>
        </is>
      </c>
      <c r="BC1672" t="inlineStr">
        <is>
          <t>32285000260306</t>
        </is>
      </c>
      <c r="BD1672" t="inlineStr">
        <is>
          <t>893230883</t>
        </is>
      </c>
    </row>
    <row r="1673">
      <c r="A1673" t="inlineStr">
        <is>
          <t>No</t>
        </is>
      </c>
      <c r="B1673" t="inlineStr">
        <is>
          <t>GV889 .S56</t>
        </is>
      </c>
      <c r="C1673" t="inlineStr">
        <is>
          <t>0                      GV 0889000S  56</t>
        </is>
      </c>
      <c r="D1673" t="inlineStr">
        <is>
          <t>Basketball, multiple offense and defense / by Dean Smith, with a special section on the shuffle offense by Bob Spear ; foreword by Bob Knight ; coordinated and edited by Bob Sarod.</t>
        </is>
      </c>
      <c r="F1673" t="inlineStr">
        <is>
          <t>No</t>
        </is>
      </c>
      <c r="G1673" t="inlineStr">
        <is>
          <t>1</t>
        </is>
      </c>
      <c r="H1673" t="inlineStr">
        <is>
          <t>No</t>
        </is>
      </c>
      <c r="I1673" t="inlineStr">
        <is>
          <t>No</t>
        </is>
      </c>
      <c r="J1673" t="inlineStr">
        <is>
          <t>0</t>
        </is>
      </c>
      <c r="K1673" t="inlineStr">
        <is>
          <t>Smith, Dean, 1931-2015.</t>
        </is>
      </c>
      <c r="L1673" t="inlineStr">
        <is>
          <t>Englewood Cliffs, N.J. : Prentice-Hall, c1982.</t>
        </is>
      </c>
      <c r="M1673" t="inlineStr">
        <is>
          <t>1982</t>
        </is>
      </c>
      <c r="O1673" t="inlineStr">
        <is>
          <t>eng</t>
        </is>
      </c>
      <c r="P1673" t="inlineStr">
        <is>
          <t>nju</t>
        </is>
      </c>
      <c r="R1673" t="inlineStr">
        <is>
          <t xml:space="preserve">GV </t>
        </is>
      </c>
      <c r="S1673" t="n">
        <v>26</v>
      </c>
      <c r="T1673" t="n">
        <v>26</v>
      </c>
      <c r="U1673" t="inlineStr">
        <is>
          <t>2000-01-18</t>
        </is>
      </c>
      <c r="V1673" t="inlineStr">
        <is>
          <t>2000-01-18</t>
        </is>
      </c>
      <c r="W1673" t="inlineStr">
        <is>
          <t>1990-07-31</t>
        </is>
      </c>
      <c r="X1673" t="inlineStr">
        <is>
          <t>1990-07-31</t>
        </is>
      </c>
      <c r="Y1673" t="n">
        <v>350</v>
      </c>
      <c r="Z1673" t="n">
        <v>316</v>
      </c>
      <c r="AA1673" t="n">
        <v>475</v>
      </c>
      <c r="AB1673" t="n">
        <v>3</v>
      </c>
      <c r="AC1673" t="n">
        <v>5</v>
      </c>
      <c r="AD1673" t="n">
        <v>6</v>
      </c>
      <c r="AE1673" t="n">
        <v>9</v>
      </c>
      <c r="AF1673" t="n">
        <v>2</v>
      </c>
      <c r="AG1673" t="n">
        <v>2</v>
      </c>
      <c r="AH1673" t="n">
        <v>0</v>
      </c>
      <c r="AI1673" t="n">
        <v>1</v>
      </c>
      <c r="AJ1673" t="n">
        <v>2</v>
      </c>
      <c r="AK1673" t="n">
        <v>3</v>
      </c>
      <c r="AL1673" t="n">
        <v>2</v>
      </c>
      <c r="AM1673" t="n">
        <v>3</v>
      </c>
      <c r="AN1673" t="n">
        <v>0</v>
      </c>
      <c r="AO1673" t="n">
        <v>0</v>
      </c>
      <c r="AP1673" t="inlineStr">
        <is>
          <t>No</t>
        </is>
      </c>
      <c r="AQ1673" t="inlineStr">
        <is>
          <t>Yes</t>
        </is>
      </c>
      <c r="AR1673">
        <f>HYPERLINK("http://catalog.hathitrust.org/Record/101913184","HathiTrust Record")</f>
        <v/>
      </c>
      <c r="AS1673">
        <f>HYPERLINK("https://creighton-primo.hosted.exlibrisgroup.com/primo-explore/search?tab=default_tab&amp;search_scope=EVERYTHING&amp;vid=01CRU&amp;lang=en_US&amp;offset=0&amp;query=any,contains,991005129039702656","Catalog Record")</f>
        <v/>
      </c>
      <c r="AT1673">
        <f>HYPERLINK("http://www.worldcat.org/oclc/7555833","WorldCat Record")</f>
        <v/>
      </c>
      <c r="AU1673" t="inlineStr">
        <is>
          <t>410240:eng</t>
        </is>
      </c>
      <c r="AV1673" t="inlineStr">
        <is>
          <t>7555833</t>
        </is>
      </c>
      <c r="AW1673" t="inlineStr">
        <is>
          <t>991005129039702656</t>
        </is>
      </c>
      <c r="AX1673" t="inlineStr">
        <is>
          <t>991005129039702656</t>
        </is>
      </c>
      <c r="AY1673" t="inlineStr">
        <is>
          <t>2266255510002656</t>
        </is>
      </c>
      <c r="AZ1673" t="inlineStr">
        <is>
          <t>BOOK</t>
        </is>
      </c>
      <c r="BB1673" t="inlineStr">
        <is>
          <t>9780130720900</t>
        </is>
      </c>
      <c r="BC1673" t="inlineStr">
        <is>
          <t>32285000260330</t>
        </is>
      </c>
      <c r="BD1673" t="inlineStr">
        <is>
          <t>893625494</t>
        </is>
      </c>
    </row>
    <row r="1674">
      <c r="A1674" t="inlineStr">
        <is>
          <t>No</t>
        </is>
      </c>
      <c r="B1674" t="inlineStr">
        <is>
          <t>GV889 .S57 1982</t>
        </is>
      </c>
      <c r="C1674" t="inlineStr">
        <is>
          <t>0                      GV 0889000S  57          1982</t>
        </is>
      </c>
      <c r="D1674" t="inlineStr">
        <is>
          <t>Winning basketball with the multiple motion offense / Kent Smith.</t>
        </is>
      </c>
      <c r="F1674" t="inlineStr">
        <is>
          <t>No</t>
        </is>
      </c>
      <c r="G1674" t="inlineStr">
        <is>
          <t>1</t>
        </is>
      </c>
      <c r="H1674" t="inlineStr">
        <is>
          <t>No</t>
        </is>
      </c>
      <c r="I1674" t="inlineStr">
        <is>
          <t>No</t>
        </is>
      </c>
      <c r="J1674" t="inlineStr">
        <is>
          <t>0</t>
        </is>
      </c>
      <c r="K1674" t="inlineStr">
        <is>
          <t>Smith, Kent, 1943-</t>
        </is>
      </c>
      <c r="L1674" t="inlineStr">
        <is>
          <t>West Nyack, N.Y. : Parker, c1982.</t>
        </is>
      </c>
      <c r="M1674" t="inlineStr">
        <is>
          <t>1982</t>
        </is>
      </c>
      <c r="O1674" t="inlineStr">
        <is>
          <t>eng</t>
        </is>
      </c>
      <c r="P1674" t="inlineStr">
        <is>
          <t>nyu</t>
        </is>
      </c>
      <c r="R1674" t="inlineStr">
        <is>
          <t xml:space="preserve">GV </t>
        </is>
      </c>
      <c r="S1674" t="n">
        <v>6</v>
      </c>
      <c r="T1674" t="n">
        <v>6</v>
      </c>
      <c r="U1674" t="inlineStr">
        <is>
          <t>2006-06-07</t>
        </is>
      </c>
      <c r="V1674" t="inlineStr">
        <is>
          <t>2006-06-07</t>
        </is>
      </c>
      <c r="W1674" t="inlineStr">
        <is>
          <t>1990-07-31</t>
        </is>
      </c>
      <c r="X1674" t="inlineStr">
        <is>
          <t>1990-07-31</t>
        </is>
      </c>
      <c r="Y1674" t="n">
        <v>107</v>
      </c>
      <c r="Z1674" t="n">
        <v>95</v>
      </c>
      <c r="AA1674" t="n">
        <v>95</v>
      </c>
      <c r="AB1674" t="n">
        <v>1</v>
      </c>
      <c r="AC1674" t="n">
        <v>1</v>
      </c>
      <c r="AD1674" t="n">
        <v>0</v>
      </c>
      <c r="AE1674" t="n">
        <v>0</v>
      </c>
      <c r="AF1674" t="n">
        <v>0</v>
      </c>
      <c r="AG1674" t="n">
        <v>0</v>
      </c>
      <c r="AH1674" t="n">
        <v>0</v>
      </c>
      <c r="AI1674" t="n">
        <v>0</v>
      </c>
      <c r="AJ1674" t="n">
        <v>0</v>
      </c>
      <c r="AK1674" t="n">
        <v>0</v>
      </c>
      <c r="AL1674" t="n">
        <v>0</v>
      </c>
      <c r="AM1674" t="n">
        <v>0</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HYPERLINK("https://creighton-primo.hosted.exlibrisgroup.com/primo-explore/search?tab=default_tab&amp;search_scope=EVERYTHING&amp;vid=01CRU&amp;lang=en_US&amp;offset=0&amp;query=any,contains,991005145999702656","Catalog Record")</f>
        <v/>
      </c>
      <c r="AT1674">
        <f>HYPERLINK("http://www.worldcat.org/oclc/7671282","WorldCat Record")</f>
        <v/>
      </c>
      <c r="AU1674" t="inlineStr">
        <is>
          <t>28774108:eng</t>
        </is>
      </c>
      <c r="AV1674" t="inlineStr">
        <is>
          <t>7671282</t>
        </is>
      </c>
      <c r="AW1674" t="inlineStr">
        <is>
          <t>991005145999702656</t>
        </is>
      </c>
      <c r="AX1674" t="inlineStr">
        <is>
          <t>991005145999702656</t>
        </is>
      </c>
      <c r="AY1674" t="inlineStr">
        <is>
          <t>2272807560002656</t>
        </is>
      </c>
      <c r="AZ1674" t="inlineStr">
        <is>
          <t>BOOK</t>
        </is>
      </c>
      <c r="BB1674" t="inlineStr">
        <is>
          <t>9780139608490</t>
        </is>
      </c>
      <c r="BC1674" t="inlineStr">
        <is>
          <t>32285000260348</t>
        </is>
      </c>
      <c r="BD1674" t="inlineStr">
        <is>
          <t>893437240</t>
        </is>
      </c>
    </row>
    <row r="1675">
      <c r="A1675" t="inlineStr">
        <is>
          <t>No</t>
        </is>
      </c>
      <c r="B1675" t="inlineStr">
        <is>
          <t>GV889.26 .B28 2000</t>
        </is>
      </c>
      <c r="C1675" t="inlineStr">
        <is>
          <t>0                      GV 0889260B  28          2000</t>
        </is>
      </c>
      <c r="D1675" t="inlineStr">
        <is>
          <t>Basketball Jones : America above the rim / edited by Todd Boyd and Kenneth L. Shropshire.</t>
        </is>
      </c>
      <c r="F1675" t="inlineStr">
        <is>
          <t>No</t>
        </is>
      </c>
      <c r="G1675" t="inlineStr">
        <is>
          <t>1</t>
        </is>
      </c>
      <c r="H1675" t="inlineStr">
        <is>
          <t>No</t>
        </is>
      </c>
      <c r="I1675" t="inlineStr">
        <is>
          <t>No</t>
        </is>
      </c>
      <c r="J1675" t="inlineStr">
        <is>
          <t>0</t>
        </is>
      </c>
      <c r="L1675" t="inlineStr">
        <is>
          <t>New York : New York University Press, 2000.</t>
        </is>
      </c>
      <c r="M1675" t="inlineStr">
        <is>
          <t>2000</t>
        </is>
      </c>
      <c r="O1675" t="inlineStr">
        <is>
          <t>eng</t>
        </is>
      </c>
      <c r="P1675" t="inlineStr">
        <is>
          <t>nyu</t>
        </is>
      </c>
      <c r="R1675" t="inlineStr">
        <is>
          <t xml:space="preserve">GV </t>
        </is>
      </c>
      <c r="S1675" t="n">
        <v>1</v>
      </c>
      <c r="T1675" t="n">
        <v>1</v>
      </c>
      <c r="U1675" t="inlineStr">
        <is>
          <t>2006-11-16</t>
        </is>
      </c>
      <c r="V1675" t="inlineStr">
        <is>
          <t>2006-11-16</t>
        </is>
      </c>
      <c r="W1675" t="inlineStr">
        <is>
          <t>2006-11-16</t>
        </is>
      </c>
      <c r="X1675" t="inlineStr">
        <is>
          <t>2006-11-16</t>
        </is>
      </c>
      <c r="Y1675" t="n">
        <v>406</v>
      </c>
      <c r="Z1675" t="n">
        <v>361</v>
      </c>
      <c r="AA1675" t="n">
        <v>366</v>
      </c>
      <c r="AB1675" t="n">
        <v>3</v>
      </c>
      <c r="AC1675" t="n">
        <v>3</v>
      </c>
      <c r="AD1675" t="n">
        <v>19</v>
      </c>
      <c r="AE1675" t="n">
        <v>19</v>
      </c>
      <c r="AF1675" t="n">
        <v>7</v>
      </c>
      <c r="AG1675" t="n">
        <v>7</v>
      </c>
      <c r="AH1675" t="n">
        <v>4</v>
      </c>
      <c r="AI1675" t="n">
        <v>4</v>
      </c>
      <c r="AJ1675" t="n">
        <v>9</v>
      </c>
      <c r="AK1675" t="n">
        <v>9</v>
      </c>
      <c r="AL1675" t="n">
        <v>2</v>
      </c>
      <c r="AM1675" t="n">
        <v>2</v>
      </c>
      <c r="AN1675" t="n">
        <v>1</v>
      </c>
      <c r="AO1675" t="n">
        <v>1</v>
      </c>
      <c r="AP1675" t="inlineStr">
        <is>
          <t>No</t>
        </is>
      </c>
      <c r="AQ1675" t="inlineStr">
        <is>
          <t>No</t>
        </is>
      </c>
      <c r="AS1675">
        <f>HYPERLINK("https://creighton-primo.hosted.exlibrisgroup.com/primo-explore/search?tab=default_tab&amp;search_scope=EVERYTHING&amp;vid=01CRU&amp;lang=en_US&amp;offset=0&amp;query=any,contains,991004981829702656","Catalog Record")</f>
        <v/>
      </c>
      <c r="AT1675">
        <f>HYPERLINK("http://www.worldcat.org/oclc/45172622","WorldCat Record")</f>
        <v/>
      </c>
      <c r="AU1675" t="inlineStr">
        <is>
          <t>34700658:eng</t>
        </is>
      </c>
      <c r="AV1675" t="inlineStr">
        <is>
          <t>45172622</t>
        </is>
      </c>
      <c r="AW1675" t="inlineStr">
        <is>
          <t>991004981829702656</t>
        </is>
      </c>
      <c r="AX1675" t="inlineStr">
        <is>
          <t>991004981829702656</t>
        </is>
      </c>
      <c r="AY1675" t="inlineStr">
        <is>
          <t>2258972140002656</t>
        </is>
      </c>
      <c r="AZ1675" t="inlineStr">
        <is>
          <t>BOOK</t>
        </is>
      </c>
      <c r="BB1675" t="inlineStr">
        <is>
          <t>9780814713150</t>
        </is>
      </c>
      <c r="BC1675" t="inlineStr">
        <is>
          <t>32285005239776</t>
        </is>
      </c>
      <c r="BD1675" t="inlineStr">
        <is>
          <t>893501163</t>
        </is>
      </c>
    </row>
    <row r="1676">
      <c r="A1676" t="inlineStr">
        <is>
          <t>No</t>
        </is>
      </c>
      <c r="B1676" t="inlineStr">
        <is>
          <t>GV889.26 .B69 2003</t>
        </is>
      </c>
      <c r="C1676" t="inlineStr">
        <is>
          <t>0                      GV 0889260B  69          2003</t>
        </is>
      </c>
      <c r="D1676" t="inlineStr">
        <is>
          <t>Young, Black, rich, and famous : the rise of the NBA, the hip hop invasion, and the transformation of American culture / Todd Boyd.</t>
        </is>
      </c>
      <c r="F1676" t="inlineStr">
        <is>
          <t>No</t>
        </is>
      </c>
      <c r="G1676" t="inlineStr">
        <is>
          <t>1</t>
        </is>
      </c>
      <c r="H1676" t="inlineStr">
        <is>
          <t>No</t>
        </is>
      </c>
      <c r="I1676" t="inlineStr">
        <is>
          <t>No</t>
        </is>
      </c>
      <c r="J1676" t="inlineStr">
        <is>
          <t>0</t>
        </is>
      </c>
      <c r="K1676" t="inlineStr">
        <is>
          <t>Boyd, Todd.</t>
        </is>
      </c>
      <c r="L1676" t="inlineStr">
        <is>
          <t>New York : Doubleday, c2003.</t>
        </is>
      </c>
      <c r="M1676" t="inlineStr">
        <is>
          <t>2003</t>
        </is>
      </c>
      <c r="N1676" t="inlineStr">
        <is>
          <t>1st ed.</t>
        </is>
      </c>
      <c r="O1676" t="inlineStr">
        <is>
          <t>eng</t>
        </is>
      </c>
      <c r="P1676" t="inlineStr">
        <is>
          <t>nyu</t>
        </is>
      </c>
      <c r="R1676" t="inlineStr">
        <is>
          <t xml:space="preserve">GV </t>
        </is>
      </c>
      <c r="S1676" t="n">
        <v>2</v>
      </c>
      <c r="T1676" t="n">
        <v>2</v>
      </c>
      <c r="U1676" t="inlineStr">
        <is>
          <t>2006-01-12</t>
        </is>
      </c>
      <c r="V1676" t="inlineStr">
        <is>
          <t>2006-01-12</t>
        </is>
      </c>
      <c r="W1676" t="inlineStr">
        <is>
          <t>2004-04-07</t>
        </is>
      </c>
      <c r="X1676" t="inlineStr">
        <is>
          <t>2004-04-07</t>
        </is>
      </c>
      <c r="Y1676" t="n">
        <v>559</v>
      </c>
      <c r="Z1676" t="n">
        <v>528</v>
      </c>
      <c r="AA1676" t="n">
        <v>597</v>
      </c>
      <c r="AB1676" t="n">
        <v>6</v>
      </c>
      <c r="AC1676" t="n">
        <v>7</v>
      </c>
      <c r="AD1676" t="n">
        <v>17</v>
      </c>
      <c r="AE1676" t="n">
        <v>19</v>
      </c>
      <c r="AF1676" t="n">
        <v>7</v>
      </c>
      <c r="AG1676" t="n">
        <v>8</v>
      </c>
      <c r="AH1676" t="n">
        <v>5</v>
      </c>
      <c r="AI1676" t="n">
        <v>5</v>
      </c>
      <c r="AJ1676" t="n">
        <v>6</v>
      </c>
      <c r="AK1676" t="n">
        <v>8</v>
      </c>
      <c r="AL1676" t="n">
        <v>4</v>
      </c>
      <c r="AM1676" t="n">
        <v>4</v>
      </c>
      <c r="AN1676" t="n">
        <v>0</v>
      </c>
      <c r="AO1676" t="n">
        <v>0</v>
      </c>
      <c r="AP1676" t="inlineStr">
        <is>
          <t>No</t>
        </is>
      </c>
      <c r="AQ1676" t="inlineStr">
        <is>
          <t>No</t>
        </is>
      </c>
      <c r="AS1676">
        <f>HYPERLINK("https://creighton-primo.hosted.exlibrisgroup.com/primo-explore/search?tab=default_tab&amp;search_scope=EVERYTHING&amp;vid=01CRU&amp;lang=en_US&amp;offset=0&amp;query=any,contains,991004262309702656","Catalog Record")</f>
        <v/>
      </c>
      <c r="AT1676">
        <f>HYPERLINK("http://www.worldcat.org/oclc/51764032","WorldCat Record")</f>
        <v/>
      </c>
      <c r="AU1676" t="inlineStr">
        <is>
          <t>205000873:eng</t>
        </is>
      </c>
      <c r="AV1676" t="inlineStr">
        <is>
          <t>51764032</t>
        </is>
      </c>
      <c r="AW1676" t="inlineStr">
        <is>
          <t>991004262309702656</t>
        </is>
      </c>
      <c r="AX1676" t="inlineStr">
        <is>
          <t>991004262309702656</t>
        </is>
      </c>
      <c r="AY1676" t="inlineStr">
        <is>
          <t>2271511000002656</t>
        </is>
      </c>
      <c r="AZ1676" t="inlineStr">
        <is>
          <t>BOOK</t>
        </is>
      </c>
      <c r="BB1676" t="inlineStr">
        <is>
          <t>9780767912778</t>
        </is>
      </c>
      <c r="BC1676" t="inlineStr">
        <is>
          <t>32285004898614</t>
        </is>
      </c>
      <c r="BD1676" t="inlineStr">
        <is>
          <t>893869505</t>
        </is>
      </c>
    </row>
    <row r="1677">
      <c r="A1677" t="inlineStr">
        <is>
          <t>No</t>
        </is>
      </c>
      <c r="B1677" t="inlineStr">
        <is>
          <t>GV903 .M35 1980</t>
        </is>
      </c>
      <c r="C1677" t="inlineStr">
        <is>
          <t>0                      GV 0903000M  35          1980</t>
        </is>
      </c>
      <c r="D1677" t="inlineStr">
        <is>
          <t>Bowling / Joan L. Martin, Ruth E. Tandy.</t>
        </is>
      </c>
      <c r="F1677" t="inlineStr">
        <is>
          <t>No</t>
        </is>
      </c>
      <c r="G1677" t="inlineStr">
        <is>
          <t>1</t>
        </is>
      </c>
      <c r="H1677" t="inlineStr">
        <is>
          <t>No</t>
        </is>
      </c>
      <c r="I1677" t="inlineStr">
        <is>
          <t>No</t>
        </is>
      </c>
      <c r="J1677" t="inlineStr">
        <is>
          <t>0</t>
        </is>
      </c>
      <c r="K1677" t="inlineStr">
        <is>
          <t>Martin, Joan L.</t>
        </is>
      </c>
      <c r="L1677" t="inlineStr">
        <is>
          <t>Dubuque, Iowa : W. C. Brown Co., c1980.</t>
        </is>
      </c>
      <c r="M1677" t="inlineStr">
        <is>
          <t>1980</t>
        </is>
      </c>
      <c r="N1677" t="inlineStr">
        <is>
          <t>4th ed.</t>
        </is>
      </c>
      <c r="O1677" t="inlineStr">
        <is>
          <t>eng</t>
        </is>
      </c>
      <c r="P1677" t="inlineStr">
        <is>
          <t>iau</t>
        </is>
      </c>
      <c r="Q1677" t="inlineStr">
        <is>
          <t>Physical education activities series</t>
        </is>
      </c>
      <c r="R1677" t="inlineStr">
        <is>
          <t xml:space="preserve">GV </t>
        </is>
      </c>
      <c r="S1677" t="n">
        <v>4</v>
      </c>
      <c r="T1677" t="n">
        <v>4</v>
      </c>
      <c r="U1677" t="inlineStr">
        <is>
          <t>2001-02-18</t>
        </is>
      </c>
      <c r="V1677" t="inlineStr">
        <is>
          <t>2001-02-18</t>
        </is>
      </c>
      <c r="W1677" t="inlineStr">
        <is>
          <t>1990-04-06</t>
        </is>
      </c>
      <c r="X1677" t="inlineStr">
        <is>
          <t>1990-04-06</t>
        </is>
      </c>
      <c r="Y1677" t="n">
        <v>106</v>
      </c>
      <c r="Z1677" t="n">
        <v>101</v>
      </c>
      <c r="AA1677" t="n">
        <v>800</v>
      </c>
      <c r="AB1677" t="n">
        <v>1</v>
      </c>
      <c r="AC1677" t="n">
        <v>7</v>
      </c>
      <c r="AD1677" t="n">
        <v>1</v>
      </c>
      <c r="AE1677" t="n">
        <v>18</v>
      </c>
      <c r="AF1677" t="n">
        <v>1</v>
      </c>
      <c r="AG1677" t="n">
        <v>10</v>
      </c>
      <c r="AH1677" t="n">
        <v>1</v>
      </c>
      <c r="AI1677" t="n">
        <v>2</v>
      </c>
      <c r="AJ1677" t="n">
        <v>0</v>
      </c>
      <c r="AK1677" t="n">
        <v>4</v>
      </c>
      <c r="AL1677" t="n">
        <v>0</v>
      </c>
      <c r="AM1677" t="n">
        <v>6</v>
      </c>
      <c r="AN1677" t="n">
        <v>0</v>
      </c>
      <c r="AO1677" t="n">
        <v>0</v>
      </c>
      <c r="AP1677" t="inlineStr">
        <is>
          <t>No</t>
        </is>
      </c>
      <c r="AQ1677" t="inlineStr">
        <is>
          <t>No</t>
        </is>
      </c>
      <c r="AS1677">
        <f>HYPERLINK("https://creighton-primo.hosted.exlibrisgroup.com/primo-explore/search?tab=default_tab&amp;search_scope=EVERYTHING&amp;vid=01CRU&amp;lang=en_US&amp;offset=0&amp;query=any,contains,991004935659702656","Catalog Record")</f>
        <v/>
      </c>
      <c r="AT1677">
        <f>HYPERLINK("http://www.worldcat.org/oclc/6142821","WorldCat Record")</f>
        <v/>
      </c>
      <c r="AU1677" t="inlineStr">
        <is>
          <t>1278700:eng</t>
        </is>
      </c>
      <c r="AV1677" t="inlineStr">
        <is>
          <t>6142821</t>
        </is>
      </c>
      <c r="AW1677" t="inlineStr">
        <is>
          <t>991004935659702656</t>
        </is>
      </c>
      <c r="AX1677" t="inlineStr">
        <is>
          <t>991004935659702656</t>
        </is>
      </c>
      <c r="AY1677" t="inlineStr">
        <is>
          <t>2261599440002656</t>
        </is>
      </c>
      <c r="AZ1677" t="inlineStr">
        <is>
          <t>BOOK</t>
        </is>
      </c>
      <c r="BB1677" t="inlineStr">
        <is>
          <t>9780697070883</t>
        </is>
      </c>
      <c r="BC1677" t="inlineStr">
        <is>
          <t>32285000112473</t>
        </is>
      </c>
      <c r="BD1677" t="inlineStr">
        <is>
          <t>893901914</t>
        </is>
      </c>
    </row>
    <row r="1678">
      <c r="A1678" t="inlineStr">
        <is>
          <t>No</t>
        </is>
      </c>
      <c r="B1678" t="inlineStr">
        <is>
          <t>GV903 .S36 1983</t>
        </is>
      </c>
      <c r="C1678" t="inlineStr">
        <is>
          <t>0                      GV 0903000S  36          1983</t>
        </is>
      </c>
      <c r="D1678" t="inlineStr">
        <is>
          <t>Bowling / Carol Schunk ; illustrated by James Bonner.</t>
        </is>
      </c>
      <c r="F1678" t="inlineStr">
        <is>
          <t>No</t>
        </is>
      </c>
      <c r="G1678" t="inlineStr">
        <is>
          <t>1</t>
        </is>
      </c>
      <c r="H1678" t="inlineStr">
        <is>
          <t>No</t>
        </is>
      </c>
      <c r="I1678" t="inlineStr">
        <is>
          <t>No</t>
        </is>
      </c>
      <c r="J1678" t="inlineStr">
        <is>
          <t>0</t>
        </is>
      </c>
      <c r="K1678" t="inlineStr">
        <is>
          <t>Schunk, Carol.</t>
        </is>
      </c>
      <c r="L1678" t="inlineStr">
        <is>
          <t>Philadelphia : Saunders College Pub., c1983.</t>
        </is>
      </c>
      <c r="M1678" t="inlineStr">
        <is>
          <t>1983</t>
        </is>
      </c>
      <c r="N1678" t="inlineStr">
        <is>
          <t>3rd ed.</t>
        </is>
      </c>
      <c r="O1678" t="inlineStr">
        <is>
          <t>eng</t>
        </is>
      </c>
      <c r="P1678" t="inlineStr">
        <is>
          <t>pau</t>
        </is>
      </c>
      <c r="Q1678" t="inlineStr">
        <is>
          <t>Saunders physical activity series</t>
        </is>
      </c>
      <c r="R1678" t="inlineStr">
        <is>
          <t xml:space="preserve">GV </t>
        </is>
      </c>
      <c r="S1678" t="n">
        <v>4</v>
      </c>
      <c r="T1678" t="n">
        <v>4</v>
      </c>
      <c r="U1678" t="inlineStr">
        <is>
          <t>2001-02-18</t>
        </is>
      </c>
      <c r="V1678" t="inlineStr">
        <is>
          <t>2001-02-18</t>
        </is>
      </c>
      <c r="W1678" t="inlineStr">
        <is>
          <t>1990-07-31</t>
        </is>
      </c>
      <c r="X1678" t="inlineStr">
        <is>
          <t>1990-07-31</t>
        </is>
      </c>
      <c r="Y1678" t="n">
        <v>106</v>
      </c>
      <c r="Z1678" t="n">
        <v>94</v>
      </c>
      <c r="AA1678" t="n">
        <v>332</v>
      </c>
      <c r="AB1678" t="n">
        <v>1</v>
      </c>
      <c r="AC1678" t="n">
        <v>3</v>
      </c>
      <c r="AD1678" t="n">
        <v>1</v>
      </c>
      <c r="AE1678" t="n">
        <v>6</v>
      </c>
      <c r="AF1678" t="n">
        <v>1</v>
      </c>
      <c r="AG1678" t="n">
        <v>4</v>
      </c>
      <c r="AH1678" t="n">
        <v>0</v>
      </c>
      <c r="AI1678" t="n">
        <v>0</v>
      </c>
      <c r="AJ1678" t="n">
        <v>0</v>
      </c>
      <c r="AK1678" t="n">
        <v>1</v>
      </c>
      <c r="AL1678" t="n">
        <v>0</v>
      </c>
      <c r="AM1678" t="n">
        <v>2</v>
      </c>
      <c r="AN1678" t="n">
        <v>0</v>
      </c>
      <c r="AO1678" t="n">
        <v>0</v>
      </c>
      <c r="AP1678" t="inlineStr">
        <is>
          <t>No</t>
        </is>
      </c>
      <c r="AQ1678" t="inlineStr">
        <is>
          <t>Yes</t>
        </is>
      </c>
      <c r="AR1678">
        <f>HYPERLINK("http://catalog.hathitrust.org/Record/009822393","HathiTrust Record")</f>
        <v/>
      </c>
      <c r="AS1678">
        <f>HYPERLINK("https://creighton-primo.hosted.exlibrisgroup.com/primo-explore/search?tab=default_tab&amp;search_scope=EVERYTHING&amp;vid=01CRU&amp;lang=en_US&amp;offset=0&amp;query=any,contains,991000028119702656","Catalog Record")</f>
        <v/>
      </c>
      <c r="AT1678">
        <f>HYPERLINK("http://www.worldcat.org/oclc/8590420","WorldCat Record")</f>
        <v/>
      </c>
      <c r="AU1678" t="inlineStr">
        <is>
          <t>1232339:eng</t>
        </is>
      </c>
      <c r="AV1678" t="inlineStr">
        <is>
          <t>8590420</t>
        </is>
      </c>
      <c r="AW1678" t="inlineStr">
        <is>
          <t>991000028119702656</t>
        </is>
      </c>
      <c r="AX1678" t="inlineStr">
        <is>
          <t>991000028119702656</t>
        </is>
      </c>
      <c r="AY1678" t="inlineStr">
        <is>
          <t>2272072340002656</t>
        </is>
      </c>
      <c r="AZ1678" t="inlineStr">
        <is>
          <t>BOOK</t>
        </is>
      </c>
      <c r="BB1678" t="inlineStr">
        <is>
          <t>9780030624476</t>
        </is>
      </c>
      <c r="BC1678" t="inlineStr">
        <is>
          <t>32285000260355</t>
        </is>
      </c>
      <c r="BD1678" t="inlineStr">
        <is>
          <t>893437939</t>
        </is>
      </c>
    </row>
    <row r="1679">
      <c r="A1679" t="inlineStr">
        <is>
          <t>No</t>
        </is>
      </c>
      <c r="B1679" t="inlineStr">
        <is>
          <t>GV903 .S773 1989</t>
        </is>
      </c>
      <c r="C1679" t="inlineStr">
        <is>
          <t>0                      GV 0903000S  773         1989</t>
        </is>
      </c>
      <c r="D1679" t="inlineStr">
        <is>
          <t>Teaching bowling--steps to success / Robert H. Strickland.</t>
        </is>
      </c>
      <c r="F1679" t="inlineStr">
        <is>
          <t>No</t>
        </is>
      </c>
      <c r="G1679" t="inlineStr">
        <is>
          <t>1</t>
        </is>
      </c>
      <c r="H1679" t="inlineStr">
        <is>
          <t>No</t>
        </is>
      </c>
      <c r="I1679" t="inlineStr">
        <is>
          <t>No</t>
        </is>
      </c>
      <c r="J1679" t="inlineStr">
        <is>
          <t>0</t>
        </is>
      </c>
      <c r="K1679" t="inlineStr">
        <is>
          <t>Strickland, Robert, 1924-</t>
        </is>
      </c>
      <c r="L1679" t="inlineStr">
        <is>
          <t>Champaign, Ill. : Leisure Press, c1989.</t>
        </is>
      </c>
      <c r="M1679" t="inlineStr">
        <is>
          <t>1989</t>
        </is>
      </c>
      <c r="O1679" t="inlineStr">
        <is>
          <t>eng</t>
        </is>
      </c>
      <c r="P1679" t="inlineStr">
        <is>
          <t>ilu</t>
        </is>
      </c>
      <c r="Q1679" t="inlineStr">
        <is>
          <t>Steps to success activity series</t>
        </is>
      </c>
      <c r="R1679" t="inlineStr">
        <is>
          <t xml:space="preserve">GV </t>
        </is>
      </c>
      <c r="S1679" t="n">
        <v>4</v>
      </c>
      <c r="T1679" t="n">
        <v>4</v>
      </c>
      <c r="U1679" t="inlineStr">
        <is>
          <t>2001-02-18</t>
        </is>
      </c>
      <c r="V1679" t="inlineStr">
        <is>
          <t>2001-02-18</t>
        </is>
      </c>
      <c r="W1679" t="inlineStr">
        <is>
          <t>1990-01-14</t>
        </is>
      </c>
      <c r="X1679" t="inlineStr">
        <is>
          <t>1990-01-14</t>
        </is>
      </c>
      <c r="Y1679" t="n">
        <v>241</v>
      </c>
      <c r="Z1679" t="n">
        <v>214</v>
      </c>
      <c r="AA1679" t="n">
        <v>221</v>
      </c>
      <c r="AB1679" t="n">
        <v>5</v>
      </c>
      <c r="AC1679" t="n">
        <v>5</v>
      </c>
      <c r="AD1679" t="n">
        <v>5</v>
      </c>
      <c r="AE1679" t="n">
        <v>5</v>
      </c>
      <c r="AF1679" t="n">
        <v>2</v>
      </c>
      <c r="AG1679" t="n">
        <v>2</v>
      </c>
      <c r="AH1679" t="n">
        <v>0</v>
      </c>
      <c r="AI1679" t="n">
        <v>0</v>
      </c>
      <c r="AJ1679" t="n">
        <v>1</v>
      </c>
      <c r="AK1679" t="n">
        <v>1</v>
      </c>
      <c r="AL1679" t="n">
        <v>3</v>
      </c>
      <c r="AM1679" t="n">
        <v>3</v>
      </c>
      <c r="AN1679" t="n">
        <v>0</v>
      </c>
      <c r="AO1679" t="n">
        <v>0</v>
      </c>
      <c r="AP1679" t="inlineStr">
        <is>
          <t>No</t>
        </is>
      </c>
      <c r="AQ1679" t="inlineStr">
        <is>
          <t>Yes</t>
        </is>
      </c>
      <c r="AR1679">
        <f>HYPERLINK("http://catalog.hathitrust.org/Record/002164516","HathiTrust Record")</f>
        <v/>
      </c>
      <c r="AS1679">
        <f>HYPERLINK("https://creighton-primo.hosted.exlibrisgroup.com/primo-explore/search?tab=default_tab&amp;search_scope=EVERYTHING&amp;vid=01CRU&amp;lang=en_US&amp;offset=0&amp;query=any,contains,991001501479702656","Catalog Record")</f>
        <v/>
      </c>
      <c r="AT1679">
        <f>HYPERLINK("http://www.worldcat.org/oclc/19810520","WorldCat Record")</f>
        <v/>
      </c>
      <c r="AU1679" t="inlineStr">
        <is>
          <t>3768750184:eng</t>
        </is>
      </c>
      <c r="AV1679" t="inlineStr">
        <is>
          <t>19810520</t>
        </is>
      </c>
      <c r="AW1679" t="inlineStr">
        <is>
          <t>991001501479702656</t>
        </is>
      </c>
      <c r="AX1679" t="inlineStr">
        <is>
          <t>991001501479702656</t>
        </is>
      </c>
      <c r="AY1679" t="inlineStr">
        <is>
          <t>2265795300002656</t>
        </is>
      </c>
      <c r="AZ1679" t="inlineStr">
        <is>
          <t>BOOK</t>
        </is>
      </c>
      <c r="BB1679" t="inlineStr">
        <is>
          <t>9780880113564</t>
        </is>
      </c>
      <c r="BC1679" t="inlineStr">
        <is>
          <t>32285000027598</t>
        </is>
      </c>
      <c r="BD1679" t="inlineStr">
        <is>
          <t>893903440</t>
        </is>
      </c>
    </row>
    <row r="1680">
      <c r="A1680" t="inlineStr">
        <is>
          <t>No</t>
        </is>
      </c>
      <c r="B1680" t="inlineStr">
        <is>
          <t>GV938 .N3</t>
        </is>
      </c>
      <c r="C1680" t="inlineStr">
        <is>
          <t>0                      GV 0938000N  3</t>
        </is>
      </c>
      <c r="D1680" t="inlineStr">
        <is>
          <t>The NFL's official encyclopedic history of professional football / [Prepared by the Creative Services Division, National Football League Properties, Inc.]</t>
        </is>
      </c>
      <c r="F1680" t="inlineStr">
        <is>
          <t>No</t>
        </is>
      </c>
      <c r="G1680" t="inlineStr">
        <is>
          <t>1</t>
        </is>
      </c>
      <c r="H1680" t="inlineStr">
        <is>
          <t>No</t>
        </is>
      </c>
      <c r="I1680" t="inlineStr">
        <is>
          <t>Yes</t>
        </is>
      </c>
      <c r="J1680" t="inlineStr">
        <is>
          <t>0</t>
        </is>
      </c>
      <c r="L1680" t="inlineStr">
        <is>
          <t>New York : Macmillan, [1973]</t>
        </is>
      </c>
      <c r="M1680" t="inlineStr">
        <is>
          <t>1973</t>
        </is>
      </c>
      <c r="O1680" t="inlineStr">
        <is>
          <t>eng</t>
        </is>
      </c>
      <c r="P1680" t="inlineStr">
        <is>
          <t>nyu</t>
        </is>
      </c>
      <c r="R1680" t="inlineStr">
        <is>
          <t xml:space="preserve">GV </t>
        </is>
      </c>
      <c r="S1680" t="n">
        <v>9</v>
      </c>
      <c r="T1680" t="n">
        <v>9</v>
      </c>
      <c r="U1680" t="inlineStr">
        <is>
          <t>2001-09-24</t>
        </is>
      </c>
      <c r="V1680" t="inlineStr">
        <is>
          <t>2001-09-24</t>
        </is>
      </c>
      <c r="W1680" t="inlineStr">
        <is>
          <t>1990-09-21</t>
        </is>
      </c>
      <c r="X1680" t="inlineStr">
        <is>
          <t>1990-09-21</t>
        </is>
      </c>
      <c r="Y1680" t="n">
        <v>356</v>
      </c>
      <c r="Z1680" t="n">
        <v>348</v>
      </c>
      <c r="AA1680" t="n">
        <v>686</v>
      </c>
      <c r="AB1680" t="n">
        <v>2</v>
      </c>
      <c r="AC1680" t="n">
        <v>4</v>
      </c>
      <c r="AD1680" t="n">
        <v>4</v>
      </c>
      <c r="AE1680" t="n">
        <v>8</v>
      </c>
      <c r="AF1680" t="n">
        <v>1</v>
      </c>
      <c r="AG1680" t="n">
        <v>3</v>
      </c>
      <c r="AH1680" t="n">
        <v>2</v>
      </c>
      <c r="AI1680" t="n">
        <v>2</v>
      </c>
      <c r="AJ1680" t="n">
        <v>1</v>
      </c>
      <c r="AK1680" t="n">
        <v>2</v>
      </c>
      <c r="AL1680" t="n">
        <v>0</v>
      </c>
      <c r="AM1680" t="n">
        <v>2</v>
      </c>
      <c r="AN1680" t="n">
        <v>0</v>
      </c>
      <c r="AO1680" t="n">
        <v>0</v>
      </c>
      <c r="AP1680" t="inlineStr">
        <is>
          <t>No</t>
        </is>
      </c>
      <c r="AQ1680" t="inlineStr">
        <is>
          <t>Yes</t>
        </is>
      </c>
      <c r="AR1680">
        <f>HYPERLINK("http://catalog.hathitrust.org/Record/003056243","HathiTrust Record")</f>
        <v/>
      </c>
      <c r="AS1680">
        <f>HYPERLINK("https://creighton-primo.hosted.exlibrisgroup.com/primo-explore/search?tab=default_tab&amp;search_scope=EVERYTHING&amp;vid=01CRU&amp;lang=en_US&amp;offset=0&amp;query=any,contains,991003251189702656","Catalog Record")</f>
        <v/>
      </c>
      <c r="AT1680">
        <f>HYPERLINK("http://www.worldcat.org/oclc/775942","WorldCat Record")</f>
        <v/>
      </c>
      <c r="AU1680" t="inlineStr">
        <is>
          <t>5905435:eng</t>
        </is>
      </c>
      <c r="AV1680" t="inlineStr">
        <is>
          <t>775942</t>
        </is>
      </c>
      <c r="AW1680" t="inlineStr">
        <is>
          <t>991003251189702656</t>
        </is>
      </c>
      <c r="AX1680" t="inlineStr">
        <is>
          <t>991003251189702656</t>
        </is>
      </c>
      <c r="AY1680" t="inlineStr">
        <is>
          <t>2266493760002656</t>
        </is>
      </c>
      <c r="AZ1680" t="inlineStr">
        <is>
          <t>BOOK</t>
        </is>
      </c>
      <c r="BC1680" t="inlineStr">
        <is>
          <t>32285000308287</t>
        </is>
      </c>
      <c r="BD1680" t="inlineStr">
        <is>
          <t>893805565</t>
        </is>
      </c>
    </row>
    <row r="1681">
      <c r="A1681" t="inlineStr">
        <is>
          <t>No</t>
        </is>
      </c>
      <c r="B1681" t="inlineStr">
        <is>
          <t>GV939.A1 K37</t>
        </is>
      </c>
      <c r="C1681" t="inlineStr">
        <is>
          <t>0                      GV 0939000A  1                  K  37</t>
        </is>
      </c>
      <c r="D1681" t="inlineStr">
        <is>
          <t>The glory of Notre Dame; 22 great stories on Fighting Irish football from the pages of sport magazine. Introd. by Johnny Lujack.</t>
        </is>
      </c>
      <c r="F1681" t="inlineStr">
        <is>
          <t>No</t>
        </is>
      </c>
      <c r="G1681" t="inlineStr">
        <is>
          <t>1</t>
        </is>
      </c>
      <c r="H1681" t="inlineStr">
        <is>
          <t>No</t>
        </is>
      </c>
      <c r="I1681" t="inlineStr">
        <is>
          <t>No</t>
        </is>
      </c>
      <c r="J1681" t="inlineStr">
        <is>
          <t>0</t>
        </is>
      </c>
      <c r="K1681" t="inlineStr">
        <is>
          <t>Katz, Frederic, 1938-, editor.</t>
        </is>
      </c>
      <c r="L1681" t="inlineStr">
        <is>
          <t>[Edinburgh] Bartholomew House, 1971]</t>
        </is>
      </c>
      <c r="M1681" t="inlineStr">
        <is>
          <t>1971</t>
        </is>
      </c>
      <c r="O1681" t="inlineStr">
        <is>
          <t>eng</t>
        </is>
      </c>
      <c r="P1681" t="inlineStr">
        <is>
          <t>___</t>
        </is>
      </c>
      <c r="R1681" t="inlineStr">
        <is>
          <t xml:space="preserve">GV </t>
        </is>
      </c>
      <c r="S1681" t="n">
        <v>6</v>
      </c>
      <c r="T1681" t="n">
        <v>6</v>
      </c>
      <c r="U1681" t="inlineStr">
        <is>
          <t>2010-03-28</t>
        </is>
      </c>
      <c r="V1681" t="inlineStr">
        <is>
          <t>2010-03-28</t>
        </is>
      </c>
      <c r="W1681" t="inlineStr">
        <is>
          <t>1990-07-31</t>
        </is>
      </c>
      <c r="X1681" t="inlineStr">
        <is>
          <t>1990-07-31</t>
        </is>
      </c>
      <c r="Y1681" t="n">
        <v>79</v>
      </c>
      <c r="Z1681" t="n">
        <v>77</v>
      </c>
      <c r="AA1681" t="n">
        <v>87</v>
      </c>
      <c r="AB1681" t="n">
        <v>1</v>
      </c>
      <c r="AC1681" t="n">
        <v>1</v>
      </c>
      <c r="AD1681" t="n">
        <v>2</v>
      </c>
      <c r="AE1681" t="n">
        <v>2</v>
      </c>
      <c r="AF1681" t="n">
        <v>0</v>
      </c>
      <c r="AG1681" t="n">
        <v>0</v>
      </c>
      <c r="AH1681" t="n">
        <v>1</v>
      </c>
      <c r="AI1681" t="n">
        <v>1</v>
      </c>
      <c r="AJ1681" t="n">
        <v>2</v>
      </c>
      <c r="AK1681" t="n">
        <v>2</v>
      </c>
      <c r="AL1681" t="n">
        <v>0</v>
      </c>
      <c r="AM1681" t="n">
        <v>0</v>
      </c>
      <c r="AN1681" t="n">
        <v>0</v>
      </c>
      <c r="AO1681" t="n">
        <v>0</v>
      </c>
      <c r="AP1681" t="inlineStr">
        <is>
          <t>No</t>
        </is>
      </c>
      <c r="AQ1681" t="inlineStr">
        <is>
          <t>No</t>
        </is>
      </c>
      <c r="AS1681">
        <f>HYPERLINK("https://creighton-primo.hosted.exlibrisgroup.com/primo-explore/search?tab=default_tab&amp;search_scope=EVERYTHING&amp;vid=01CRU&amp;lang=en_US&amp;offset=0&amp;query=any,contains,991003191639702656","Catalog Record")</f>
        <v/>
      </c>
      <c r="AT1681">
        <f>HYPERLINK("http://www.worldcat.org/oclc/716841","WorldCat Record")</f>
        <v/>
      </c>
      <c r="AU1681" t="inlineStr">
        <is>
          <t>1689233:eng</t>
        </is>
      </c>
      <c r="AV1681" t="inlineStr">
        <is>
          <t>716841</t>
        </is>
      </c>
      <c r="AW1681" t="inlineStr">
        <is>
          <t>991003191639702656</t>
        </is>
      </c>
      <c r="AX1681" t="inlineStr">
        <is>
          <t>991003191639702656</t>
        </is>
      </c>
      <c r="AY1681" t="inlineStr">
        <is>
          <t>2259321440002656</t>
        </is>
      </c>
      <c r="AZ1681" t="inlineStr">
        <is>
          <t>BOOK</t>
        </is>
      </c>
      <c r="BC1681" t="inlineStr">
        <is>
          <t>32285000260363</t>
        </is>
      </c>
      <c r="BD1681" t="inlineStr">
        <is>
          <t>893348416</t>
        </is>
      </c>
    </row>
    <row r="1682">
      <c r="A1682" t="inlineStr">
        <is>
          <t>No</t>
        </is>
      </c>
      <c r="B1682" t="inlineStr">
        <is>
          <t>GV939.A1 P44 2004</t>
        </is>
      </c>
      <c r="C1682" t="inlineStr">
        <is>
          <t>0                      GV 0939000A  1                  P  44          2004</t>
        </is>
      </c>
      <c r="D1682" t="inlineStr">
        <is>
          <t>The Heisman : great American stories of the men who won / Bill Pennington.</t>
        </is>
      </c>
      <c r="F1682" t="inlineStr">
        <is>
          <t>No</t>
        </is>
      </c>
      <c r="G1682" t="inlineStr">
        <is>
          <t>1</t>
        </is>
      </c>
      <c r="H1682" t="inlineStr">
        <is>
          <t>No</t>
        </is>
      </c>
      <c r="I1682" t="inlineStr">
        <is>
          <t>No</t>
        </is>
      </c>
      <c r="J1682" t="inlineStr">
        <is>
          <t>0</t>
        </is>
      </c>
      <c r="K1682" t="inlineStr">
        <is>
          <t>Pennington, Bill, 1956-</t>
        </is>
      </c>
      <c r="L1682" t="inlineStr">
        <is>
          <t>New York : ReganBooks, c2004.</t>
        </is>
      </c>
      <c r="M1682" t="inlineStr">
        <is>
          <t>2004</t>
        </is>
      </c>
      <c r="N1682" t="inlineStr">
        <is>
          <t>1st ed.</t>
        </is>
      </c>
      <c r="O1682" t="inlineStr">
        <is>
          <t>eng</t>
        </is>
      </c>
      <c r="P1682" t="inlineStr">
        <is>
          <t>nyu</t>
        </is>
      </c>
      <c r="R1682" t="inlineStr">
        <is>
          <t xml:space="preserve">GV </t>
        </is>
      </c>
      <c r="S1682" t="n">
        <v>3</v>
      </c>
      <c r="T1682" t="n">
        <v>3</v>
      </c>
      <c r="U1682" t="inlineStr">
        <is>
          <t>2009-06-22</t>
        </is>
      </c>
      <c r="V1682" t="inlineStr">
        <is>
          <t>2009-06-22</t>
        </is>
      </c>
      <c r="W1682" t="inlineStr">
        <is>
          <t>2004-11-30</t>
        </is>
      </c>
      <c r="X1682" t="inlineStr">
        <is>
          <t>2004-11-30</t>
        </is>
      </c>
      <c r="Y1682" t="n">
        <v>387</v>
      </c>
      <c r="Z1682" t="n">
        <v>379</v>
      </c>
      <c r="AA1682" t="n">
        <v>396</v>
      </c>
      <c r="AB1682" t="n">
        <v>4</v>
      </c>
      <c r="AC1682" t="n">
        <v>4</v>
      </c>
      <c r="AD1682" t="n">
        <v>2</v>
      </c>
      <c r="AE1682" t="n">
        <v>3</v>
      </c>
      <c r="AF1682" t="n">
        <v>1</v>
      </c>
      <c r="AG1682" t="n">
        <v>2</v>
      </c>
      <c r="AH1682" t="n">
        <v>0</v>
      </c>
      <c r="AI1682" t="n">
        <v>0</v>
      </c>
      <c r="AJ1682" t="n">
        <v>1</v>
      </c>
      <c r="AK1682" t="n">
        <v>1</v>
      </c>
      <c r="AL1682" t="n">
        <v>0</v>
      </c>
      <c r="AM1682" t="n">
        <v>0</v>
      </c>
      <c r="AN1682" t="n">
        <v>0</v>
      </c>
      <c r="AO1682" t="n">
        <v>0</v>
      </c>
      <c r="AP1682" t="inlineStr">
        <is>
          <t>No</t>
        </is>
      </c>
      <c r="AQ1682" t="inlineStr">
        <is>
          <t>No</t>
        </is>
      </c>
      <c r="AS1682">
        <f>HYPERLINK("https://creighton-primo.hosted.exlibrisgroup.com/primo-explore/search?tab=default_tab&amp;search_scope=EVERYTHING&amp;vid=01CRU&amp;lang=en_US&amp;offset=0&amp;query=any,contains,991004406999702656","Catalog Record")</f>
        <v/>
      </c>
      <c r="AT1682">
        <f>HYPERLINK("http://www.worldcat.org/oclc/55877738","WorldCat Record")</f>
        <v/>
      </c>
      <c r="AU1682" t="inlineStr">
        <is>
          <t>979494:eng</t>
        </is>
      </c>
      <c r="AV1682" t="inlineStr">
        <is>
          <t>55877738</t>
        </is>
      </c>
      <c r="AW1682" t="inlineStr">
        <is>
          <t>991004406999702656</t>
        </is>
      </c>
      <c r="AX1682" t="inlineStr">
        <is>
          <t>991004406999702656</t>
        </is>
      </c>
      <c r="AY1682" t="inlineStr">
        <is>
          <t>2271504260002656</t>
        </is>
      </c>
      <c r="AZ1682" t="inlineStr">
        <is>
          <t>BOOK</t>
        </is>
      </c>
      <c r="BB1682" t="inlineStr">
        <is>
          <t>9780060554712</t>
        </is>
      </c>
      <c r="BC1682" t="inlineStr">
        <is>
          <t>32285005014005</t>
        </is>
      </c>
      <c r="BD1682" t="inlineStr">
        <is>
          <t>893411495</t>
        </is>
      </c>
    </row>
    <row r="1683">
      <c r="A1683" t="inlineStr">
        <is>
          <t>No</t>
        </is>
      </c>
      <c r="B1683" t="inlineStr">
        <is>
          <t>GV939.A1 P63 2001</t>
        </is>
      </c>
      <c r="C1683" t="inlineStr">
        <is>
          <t>0                      GV 0939000A  1                  P  63          2001</t>
        </is>
      </c>
      <c r="D1683" t="inlineStr">
        <is>
          <t>Fields of honor : the golden age of college football and the men who created it / Sally Pont.</t>
        </is>
      </c>
      <c r="F1683" t="inlineStr">
        <is>
          <t>No</t>
        </is>
      </c>
      <c r="G1683" t="inlineStr">
        <is>
          <t>1</t>
        </is>
      </c>
      <c r="H1683" t="inlineStr">
        <is>
          <t>No</t>
        </is>
      </c>
      <c r="I1683" t="inlineStr">
        <is>
          <t>No</t>
        </is>
      </c>
      <c r="J1683" t="inlineStr">
        <is>
          <t>0</t>
        </is>
      </c>
      <c r="K1683" t="inlineStr">
        <is>
          <t>Pont, Sally.</t>
        </is>
      </c>
      <c r="L1683" t="inlineStr">
        <is>
          <t>New York : Harcourt, c2001.</t>
        </is>
      </c>
      <c r="M1683" t="inlineStr">
        <is>
          <t>2001</t>
        </is>
      </c>
      <c r="N1683" t="inlineStr">
        <is>
          <t>1st ed.</t>
        </is>
      </c>
      <c r="O1683" t="inlineStr">
        <is>
          <t>eng</t>
        </is>
      </c>
      <c r="P1683" t="inlineStr">
        <is>
          <t>nyu</t>
        </is>
      </c>
      <c r="R1683" t="inlineStr">
        <is>
          <t xml:space="preserve">GV </t>
        </is>
      </c>
      <c r="S1683" t="n">
        <v>1</v>
      </c>
      <c r="T1683" t="n">
        <v>1</v>
      </c>
      <c r="U1683" t="inlineStr">
        <is>
          <t>2008-07-29</t>
        </is>
      </c>
      <c r="V1683" t="inlineStr">
        <is>
          <t>2008-07-29</t>
        </is>
      </c>
      <c r="W1683" t="inlineStr">
        <is>
          <t>2008-07-29</t>
        </is>
      </c>
      <c r="X1683" t="inlineStr">
        <is>
          <t>2008-07-29</t>
        </is>
      </c>
      <c r="Y1683" t="n">
        <v>344</v>
      </c>
      <c r="Z1683" t="n">
        <v>339</v>
      </c>
      <c r="AA1683" t="n">
        <v>346</v>
      </c>
      <c r="AB1683" t="n">
        <v>3</v>
      </c>
      <c r="AC1683" t="n">
        <v>4</v>
      </c>
      <c r="AD1683" t="n">
        <v>10</v>
      </c>
      <c r="AE1683" t="n">
        <v>11</v>
      </c>
      <c r="AF1683" t="n">
        <v>4</v>
      </c>
      <c r="AG1683" t="n">
        <v>4</v>
      </c>
      <c r="AH1683" t="n">
        <v>3</v>
      </c>
      <c r="AI1683" t="n">
        <v>3</v>
      </c>
      <c r="AJ1683" t="n">
        <v>5</v>
      </c>
      <c r="AK1683" t="n">
        <v>5</v>
      </c>
      <c r="AL1683" t="n">
        <v>1</v>
      </c>
      <c r="AM1683" t="n">
        <v>2</v>
      </c>
      <c r="AN1683" t="n">
        <v>0</v>
      </c>
      <c r="AO1683" t="n">
        <v>0</v>
      </c>
      <c r="AP1683" t="inlineStr">
        <is>
          <t>No</t>
        </is>
      </c>
      <c r="AQ1683" t="inlineStr">
        <is>
          <t>Yes</t>
        </is>
      </c>
      <c r="AR1683">
        <f>HYPERLINK("http://catalog.hathitrust.org/Record/004584558","HathiTrust Record")</f>
        <v/>
      </c>
      <c r="AS1683">
        <f>HYPERLINK("https://creighton-primo.hosted.exlibrisgroup.com/primo-explore/search?tab=default_tab&amp;search_scope=EVERYTHING&amp;vid=01CRU&amp;lang=en_US&amp;offset=0&amp;query=any,contains,991005256959702656","Catalog Record")</f>
        <v/>
      </c>
      <c r="AT1683">
        <f>HYPERLINK("http://www.worldcat.org/oclc/46565132","WorldCat Record")</f>
        <v/>
      </c>
      <c r="AU1683" t="inlineStr">
        <is>
          <t>902843666:eng</t>
        </is>
      </c>
      <c r="AV1683" t="inlineStr">
        <is>
          <t>46565132</t>
        </is>
      </c>
      <c r="AW1683" t="inlineStr">
        <is>
          <t>991005256959702656</t>
        </is>
      </c>
      <c r="AX1683" t="inlineStr">
        <is>
          <t>991005256959702656</t>
        </is>
      </c>
      <c r="AY1683" t="inlineStr">
        <is>
          <t>2264066960002656</t>
        </is>
      </c>
      <c r="AZ1683" t="inlineStr">
        <is>
          <t>BOOK</t>
        </is>
      </c>
      <c r="BB1683" t="inlineStr">
        <is>
          <t>9780151006076</t>
        </is>
      </c>
      <c r="BC1683" t="inlineStr">
        <is>
          <t>32285005451579</t>
        </is>
      </c>
      <c r="BD1683" t="inlineStr">
        <is>
          <t>893594733</t>
        </is>
      </c>
    </row>
    <row r="1684">
      <c r="A1684" t="inlineStr">
        <is>
          <t>No</t>
        </is>
      </c>
      <c r="B1684" t="inlineStr">
        <is>
          <t>GV939.B45 H34 2005b</t>
        </is>
      </c>
      <c r="C1684" t="inlineStr">
        <is>
          <t>0                      GV 0939000B  45                 H  34          2005b</t>
        </is>
      </c>
      <c r="D1684" t="inlineStr">
        <is>
          <t>The education of a coach / David Halberstam.</t>
        </is>
      </c>
      <c r="F1684" t="inlineStr">
        <is>
          <t>No</t>
        </is>
      </c>
      <c r="G1684" t="inlineStr">
        <is>
          <t>1</t>
        </is>
      </c>
      <c r="H1684" t="inlineStr">
        <is>
          <t>No</t>
        </is>
      </c>
      <c r="I1684" t="inlineStr">
        <is>
          <t>No</t>
        </is>
      </c>
      <c r="J1684" t="inlineStr">
        <is>
          <t>0</t>
        </is>
      </c>
      <c r="K1684" t="inlineStr">
        <is>
          <t>Halberstam, David.</t>
        </is>
      </c>
      <c r="L1684" t="inlineStr">
        <is>
          <t>New York : Hyperion, c2005.</t>
        </is>
      </c>
      <c r="M1684" t="inlineStr">
        <is>
          <t>2005</t>
        </is>
      </c>
      <c r="N1684" t="inlineStr">
        <is>
          <t>1st ed.</t>
        </is>
      </c>
      <c r="O1684" t="inlineStr">
        <is>
          <t>eng</t>
        </is>
      </c>
      <c r="P1684" t="inlineStr">
        <is>
          <t>nyu</t>
        </is>
      </c>
      <c r="R1684" t="inlineStr">
        <is>
          <t xml:space="preserve">GV </t>
        </is>
      </c>
      <c r="S1684" t="n">
        <v>2</v>
      </c>
      <c r="T1684" t="n">
        <v>2</v>
      </c>
      <c r="U1684" t="inlineStr">
        <is>
          <t>2007-08-28</t>
        </is>
      </c>
      <c r="V1684" t="inlineStr">
        <is>
          <t>2007-08-28</t>
        </is>
      </c>
      <c r="W1684" t="inlineStr">
        <is>
          <t>2005-11-29</t>
        </is>
      </c>
      <c r="X1684" t="inlineStr">
        <is>
          <t>2005-11-29</t>
        </is>
      </c>
      <c r="Y1684" t="n">
        <v>1245</v>
      </c>
      <c r="Z1684" t="n">
        <v>1215</v>
      </c>
      <c r="AA1684" t="n">
        <v>1339</v>
      </c>
      <c r="AB1684" t="n">
        <v>10</v>
      </c>
      <c r="AC1684" t="n">
        <v>10</v>
      </c>
      <c r="AD1684" t="n">
        <v>17</v>
      </c>
      <c r="AE1684" t="n">
        <v>17</v>
      </c>
      <c r="AF1684" t="n">
        <v>10</v>
      </c>
      <c r="AG1684" t="n">
        <v>10</v>
      </c>
      <c r="AH1684" t="n">
        <v>2</v>
      </c>
      <c r="AI1684" t="n">
        <v>2</v>
      </c>
      <c r="AJ1684" t="n">
        <v>5</v>
      </c>
      <c r="AK1684" t="n">
        <v>5</v>
      </c>
      <c r="AL1684" t="n">
        <v>2</v>
      </c>
      <c r="AM1684" t="n">
        <v>2</v>
      </c>
      <c r="AN1684" t="n">
        <v>0</v>
      </c>
      <c r="AO1684" t="n">
        <v>0</v>
      </c>
      <c r="AP1684" t="inlineStr">
        <is>
          <t>No</t>
        </is>
      </c>
      <c r="AQ1684" t="inlineStr">
        <is>
          <t>Yes</t>
        </is>
      </c>
      <c r="AR1684">
        <f>HYPERLINK("http://catalog.hathitrust.org/Record/005554970","HathiTrust Record")</f>
        <v/>
      </c>
      <c r="AS1684">
        <f>HYPERLINK("https://creighton-primo.hosted.exlibrisgroup.com/primo-explore/search?tab=default_tab&amp;search_scope=EVERYTHING&amp;vid=01CRU&amp;lang=en_US&amp;offset=0&amp;query=any,contains,991004688399702656","Catalog Record")</f>
        <v/>
      </c>
      <c r="AT1684">
        <f>HYPERLINK("http://www.worldcat.org/oclc/62120413","WorldCat Record")</f>
        <v/>
      </c>
      <c r="AU1684" t="inlineStr">
        <is>
          <t>1151947270:eng</t>
        </is>
      </c>
      <c r="AV1684" t="inlineStr">
        <is>
          <t>62120413</t>
        </is>
      </c>
      <c r="AW1684" t="inlineStr">
        <is>
          <t>991004688399702656</t>
        </is>
      </c>
      <c r="AX1684" t="inlineStr">
        <is>
          <t>991004688399702656</t>
        </is>
      </c>
      <c r="AY1684" t="inlineStr">
        <is>
          <t>2271993260002656</t>
        </is>
      </c>
      <c r="AZ1684" t="inlineStr">
        <is>
          <t>BOOK</t>
        </is>
      </c>
      <c r="BB1684" t="inlineStr">
        <is>
          <t>9781401301545</t>
        </is>
      </c>
      <c r="BC1684" t="inlineStr">
        <is>
          <t>32285005149082</t>
        </is>
      </c>
      <c r="BD1684" t="inlineStr">
        <is>
          <t>893430366</t>
        </is>
      </c>
    </row>
    <row r="1685">
      <c r="A1685" t="inlineStr">
        <is>
          <t>No</t>
        </is>
      </c>
      <c r="B1685" t="inlineStr">
        <is>
          <t>GV939.C34 P6 1970</t>
        </is>
      </c>
      <c r="C1685" t="inlineStr">
        <is>
          <t>0                      GV 0939000C  34                 P  6           1970</t>
        </is>
      </c>
      <c r="D1685" t="inlineStr">
        <is>
          <t>Walter Camp, the father of American football : an authorized biography / with an introd. by E. K. Hall.</t>
        </is>
      </c>
      <c r="F1685" t="inlineStr">
        <is>
          <t>No</t>
        </is>
      </c>
      <c r="G1685" t="inlineStr">
        <is>
          <t>1</t>
        </is>
      </c>
      <c r="H1685" t="inlineStr">
        <is>
          <t>No</t>
        </is>
      </c>
      <c r="I1685" t="inlineStr">
        <is>
          <t>No</t>
        </is>
      </c>
      <c r="J1685" t="inlineStr">
        <is>
          <t>0</t>
        </is>
      </c>
      <c r="K1685" t="inlineStr">
        <is>
          <t>Powel, Harford, 1887-1956.</t>
        </is>
      </c>
      <c r="L1685" t="inlineStr">
        <is>
          <t>Freeport, N.Y., Books for Libraries Press [1970]</t>
        </is>
      </c>
      <c r="M1685" t="inlineStr">
        <is>
          <t>1970</t>
        </is>
      </c>
      <c r="O1685" t="inlineStr">
        <is>
          <t>eng</t>
        </is>
      </c>
      <c r="P1685" t="inlineStr">
        <is>
          <t>nyu</t>
        </is>
      </c>
      <c r="R1685" t="inlineStr">
        <is>
          <t xml:space="preserve">GV </t>
        </is>
      </c>
      <c r="S1685" t="n">
        <v>2</v>
      </c>
      <c r="T1685" t="n">
        <v>2</v>
      </c>
      <c r="U1685" t="inlineStr">
        <is>
          <t>2007-04-16</t>
        </is>
      </c>
      <c r="V1685" t="inlineStr">
        <is>
          <t>2007-04-16</t>
        </is>
      </c>
      <c r="W1685" t="inlineStr">
        <is>
          <t>1997-06-20</t>
        </is>
      </c>
      <c r="X1685" t="inlineStr">
        <is>
          <t>1997-06-20</t>
        </is>
      </c>
      <c r="Y1685" t="n">
        <v>105</v>
      </c>
      <c r="Z1685" t="n">
        <v>102</v>
      </c>
      <c r="AA1685" t="n">
        <v>223</v>
      </c>
      <c r="AB1685" t="n">
        <v>2</v>
      </c>
      <c r="AC1685" t="n">
        <v>3</v>
      </c>
      <c r="AD1685" t="n">
        <v>1</v>
      </c>
      <c r="AE1685" t="n">
        <v>7</v>
      </c>
      <c r="AF1685" t="n">
        <v>0</v>
      </c>
      <c r="AG1685" t="n">
        <v>1</v>
      </c>
      <c r="AH1685" t="n">
        <v>0</v>
      </c>
      <c r="AI1685" t="n">
        <v>1</v>
      </c>
      <c r="AJ1685" t="n">
        <v>0</v>
      </c>
      <c r="AK1685" t="n">
        <v>4</v>
      </c>
      <c r="AL1685" t="n">
        <v>1</v>
      </c>
      <c r="AM1685" t="n">
        <v>2</v>
      </c>
      <c r="AN1685" t="n">
        <v>0</v>
      </c>
      <c r="AO1685" t="n">
        <v>0</v>
      </c>
      <c r="AP1685" t="inlineStr">
        <is>
          <t>No</t>
        </is>
      </c>
      <c r="AQ1685" t="inlineStr">
        <is>
          <t>No</t>
        </is>
      </c>
      <c r="AS1685">
        <f>HYPERLINK("https://creighton-primo.hosted.exlibrisgroup.com/primo-explore/search?tab=default_tab&amp;search_scope=EVERYTHING&amp;vid=01CRU&amp;lang=en_US&amp;offset=0&amp;query=any,contains,991000556449702656","Catalog Record")</f>
        <v/>
      </c>
      <c r="AT1685">
        <f>HYPERLINK("http://www.worldcat.org/oclc/93136","WorldCat Record")</f>
        <v/>
      </c>
      <c r="AU1685" t="inlineStr">
        <is>
          <t>1308702:eng</t>
        </is>
      </c>
      <c r="AV1685" t="inlineStr">
        <is>
          <t>93136</t>
        </is>
      </c>
      <c r="AW1685" t="inlineStr">
        <is>
          <t>991000556449702656</t>
        </is>
      </c>
      <c r="AX1685" t="inlineStr">
        <is>
          <t>991000556449702656</t>
        </is>
      </c>
      <c r="AY1685" t="inlineStr">
        <is>
          <t>2265570150002656</t>
        </is>
      </c>
      <c r="AZ1685" t="inlineStr">
        <is>
          <t>BOOK</t>
        </is>
      </c>
      <c r="BB1685" t="inlineStr">
        <is>
          <t>9780836954739</t>
        </is>
      </c>
      <c r="BC1685" t="inlineStr">
        <is>
          <t>32285002769668</t>
        </is>
      </c>
      <c r="BD1685" t="inlineStr">
        <is>
          <t>893315049</t>
        </is>
      </c>
    </row>
    <row r="1686">
      <c r="A1686" t="inlineStr">
        <is>
          <t>No</t>
        </is>
      </c>
      <c r="B1686" t="inlineStr">
        <is>
          <t>GV939.D67 A3 1989</t>
        </is>
      </c>
      <c r="C1686" t="inlineStr">
        <is>
          <t>0                      GV 0939000D  67                 A  3           1989</t>
        </is>
      </c>
      <c r="D1686" t="inlineStr">
        <is>
          <t>Running tough : memoirs of a football maverick / Tony Dorsett and Harvey Frommer.</t>
        </is>
      </c>
      <c r="F1686" t="inlineStr">
        <is>
          <t>No</t>
        </is>
      </c>
      <c r="G1686" t="inlineStr">
        <is>
          <t>1</t>
        </is>
      </c>
      <c r="H1686" t="inlineStr">
        <is>
          <t>No</t>
        </is>
      </c>
      <c r="I1686" t="inlineStr">
        <is>
          <t>No</t>
        </is>
      </c>
      <c r="J1686" t="inlineStr">
        <is>
          <t>0</t>
        </is>
      </c>
      <c r="K1686" t="inlineStr">
        <is>
          <t>Dorsett, Tony.</t>
        </is>
      </c>
      <c r="L1686" t="inlineStr">
        <is>
          <t>New York : Doubleday, c1989.</t>
        </is>
      </c>
      <c r="M1686" t="inlineStr">
        <is>
          <t>1989</t>
        </is>
      </c>
      <c r="N1686" t="inlineStr">
        <is>
          <t>1st ed.</t>
        </is>
      </c>
      <c r="O1686" t="inlineStr">
        <is>
          <t>eng</t>
        </is>
      </c>
      <c r="P1686" t="inlineStr">
        <is>
          <t>nyu</t>
        </is>
      </c>
      <c r="R1686" t="inlineStr">
        <is>
          <t xml:space="preserve">GV </t>
        </is>
      </c>
      <c r="S1686" t="n">
        <v>1</v>
      </c>
      <c r="T1686" t="n">
        <v>1</v>
      </c>
      <c r="U1686" t="inlineStr">
        <is>
          <t>2005-03-15</t>
        </is>
      </c>
      <c r="V1686" t="inlineStr">
        <is>
          <t>2005-03-15</t>
        </is>
      </c>
      <c r="W1686" t="inlineStr">
        <is>
          <t>2005-03-15</t>
        </is>
      </c>
      <c r="X1686" t="inlineStr">
        <is>
          <t>2005-03-15</t>
        </is>
      </c>
      <c r="Y1686" t="n">
        <v>494</v>
      </c>
      <c r="Z1686" t="n">
        <v>488</v>
      </c>
      <c r="AA1686" t="n">
        <v>496</v>
      </c>
      <c r="AB1686" t="n">
        <v>1</v>
      </c>
      <c r="AC1686" t="n">
        <v>1</v>
      </c>
      <c r="AD1686" t="n">
        <v>2</v>
      </c>
      <c r="AE1686" t="n">
        <v>2</v>
      </c>
      <c r="AF1686" t="n">
        <v>1</v>
      </c>
      <c r="AG1686" t="n">
        <v>1</v>
      </c>
      <c r="AH1686" t="n">
        <v>0</v>
      </c>
      <c r="AI1686" t="n">
        <v>0</v>
      </c>
      <c r="AJ1686" t="n">
        <v>1</v>
      </c>
      <c r="AK1686" t="n">
        <v>1</v>
      </c>
      <c r="AL1686" t="n">
        <v>0</v>
      </c>
      <c r="AM1686" t="n">
        <v>0</v>
      </c>
      <c r="AN1686" t="n">
        <v>0</v>
      </c>
      <c r="AO1686" t="n">
        <v>0</v>
      </c>
      <c r="AP1686" t="inlineStr">
        <is>
          <t>No</t>
        </is>
      </c>
      <c r="AQ1686" t="inlineStr">
        <is>
          <t>Yes</t>
        </is>
      </c>
      <c r="AR1686">
        <f>HYPERLINK("http://catalog.hathitrust.org/Record/003959888","HathiTrust Record")</f>
        <v/>
      </c>
      <c r="AS1686">
        <f>HYPERLINK("https://creighton-primo.hosted.exlibrisgroup.com/primo-explore/search?tab=default_tab&amp;search_scope=EVERYTHING&amp;vid=01CRU&amp;lang=en_US&amp;offset=0&amp;query=any,contains,991004498549702656","Catalog Record")</f>
        <v/>
      </c>
      <c r="AT1686">
        <f>HYPERLINK("http://www.worldcat.org/oclc/19553090","WorldCat Record")</f>
        <v/>
      </c>
      <c r="AU1686" t="inlineStr">
        <is>
          <t>21133128:eng</t>
        </is>
      </c>
      <c r="AV1686" t="inlineStr">
        <is>
          <t>19553090</t>
        </is>
      </c>
      <c r="AW1686" t="inlineStr">
        <is>
          <t>991004498549702656</t>
        </is>
      </c>
      <c r="AX1686" t="inlineStr">
        <is>
          <t>991004498549702656</t>
        </is>
      </c>
      <c r="AY1686" t="inlineStr">
        <is>
          <t>2272274440002656</t>
        </is>
      </c>
      <c r="AZ1686" t="inlineStr">
        <is>
          <t>BOOK</t>
        </is>
      </c>
      <c r="BB1686" t="inlineStr">
        <is>
          <t>9780385262484</t>
        </is>
      </c>
      <c r="BC1686" t="inlineStr">
        <is>
          <t>32285005041420</t>
        </is>
      </c>
      <c r="BD1686" t="inlineStr">
        <is>
          <t>893350080</t>
        </is>
      </c>
    </row>
    <row r="1687">
      <c r="A1687" t="inlineStr">
        <is>
          <t>No</t>
        </is>
      </c>
      <c r="B1687" t="inlineStr">
        <is>
          <t>GV939.F29 A3 2004</t>
        </is>
      </c>
      <c r="C1687" t="inlineStr">
        <is>
          <t>0                      GV 0939000F  29                 A  3           2004</t>
        </is>
      </c>
      <c r="D1687" t="inlineStr">
        <is>
          <t>Favre / by Brett Favre and Bonita Favre with Chris Havel.</t>
        </is>
      </c>
      <c r="F1687" t="inlineStr">
        <is>
          <t>No</t>
        </is>
      </c>
      <c r="G1687" t="inlineStr">
        <is>
          <t>1</t>
        </is>
      </c>
      <c r="H1687" t="inlineStr">
        <is>
          <t>No</t>
        </is>
      </c>
      <c r="I1687" t="inlineStr">
        <is>
          <t>No</t>
        </is>
      </c>
      <c r="J1687" t="inlineStr">
        <is>
          <t>0</t>
        </is>
      </c>
      <c r="K1687" t="inlineStr">
        <is>
          <t>Favre, Brett.</t>
        </is>
      </c>
      <c r="L1687" t="inlineStr">
        <is>
          <t>New York : Rugged Land, 2004.</t>
        </is>
      </c>
      <c r="M1687" t="inlineStr">
        <is>
          <t>2004</t>
        </is>
      </c>
      <c r="N1687" t="inlineStr">
        <is>
          <t>1st ed.</t>
        </is>
      </c>
      <c r="O1687" t="inlineStr">
        <is>
          <t>eng</t>
        </is>
      </c>
      <c r="P1687" t="inlineStr">
        <is>
          <t>nyu</t>
        </is>
      </c>
      <c r="R1687" t="inlineStr">
        <is>
          <t xml:space="preserve">GV </t>
        </is>
      </c>
      <c r="S1687" t="n">
        <v>5</v>
      </c>
      <c r="T1687" t="n">
        <v>5</v>
      </c>
      <c r="U1687" t="inlineStr">
        <is>
          <t>2009-02-11</t>
        </is>
      </c>
      <c r="V1687" t="inlineStr">
        <is>
          <t>2009-02-11</t>
        </is>
      </c>
      <c r="W1687" t="inlineStr">
        <is>
          <t>2005-01-27</t>
        </is>
      </c>
      <c r="X1687" t="inlineStr">
        <is>
          <t>2005-01-27</t>
        </is>
      </c>
      <c r="Y1687" t="n">
        <v>683</v>
      </c>
      <c r="Z1687" t="n">
        <v>676</v>
      </c>
      <c r="AA1687" t="n">
        <v>1000</v>
      </c>
      <c r="AB1687" t="n">
        <v>6</v>
      </c>
      <c r="AC1687" t="n">
        <v>7</v>
      </c>
      <c r="AD1687" t="n">
        <v>2</v>
      </c>
      <c r="AE1687" t="n">
        <v>3</v>
      </c>
      <c r="AF1687" t="n">
        <v>0</v>
      </c>
      <c r="AG1687" t="n">
        <v>1</v>
      </c>
      <c r="AH1687" t="n">
        <v>1</v>
      </c>
      <c r="AI1687" t="n">
        <v>1</v>
      </c>
      <c r="AJ1687" t="n">
        <v>1</v>
      </c>
      <c r="AK1687" t="n">
        <v>1</v>
      </c>
      <c r="AL1687" t="n">
        <v>1</v>
      </c>
      <c r="AM1687" t="n">
        <v>1</v>
      </c>
      <c r="AN1687" t="n">
        <v>0</v>
      </c>
      <c r="AO1687" t="n">
        <v>0</v>
      </c>
      <c r="AP1687" t="inlineStr">
        <is>
          <t>No</t>
        </is>
      </c>
      <c r="AQ1687" t="inlineStr">
        <is>
          <t>No</t>
        </is>
      </c>
      <c r="AS1687">
        <f>HYPERLINK("https://creighton-primo.hosted.exlibrisgroup.com/primo-explore/search?tab=default_tab&amp;search_scope=EVERYTHING&amp;vid=01CRU&amp;lang=en_US&amp;offset=0&amp;query=any,contains,991004454379702656","Catalog Record")</f>
        <v/>
      </c>
      <c r="AT1687">
        <f>HYPERLINK("http://www.worldcat.org/oclc/56316100","WorldCat Record")</f>
        <v/>
      </c>
      <c r="AU1687" t="inlineStr">
        <is>
          <t>15596677:eng</t>
        </is>
      </c>
      <c r="AV1687" t="inlineStr">
        <is>
          <t>56316100</t>
        </is>
      </c>
      <c r="AW1687" t="inlineStr">
        <is>
          <t>991004454379702656</t>
        </is>
      </c>
      <c r="AX1687" t="inlineStr">
        <is>
          <t>991004454379702656</t>
        </is>
      </c>
      <c r="AY1687" t="inlineStr">
        <is>
          <t>2265850860002656</t>
        </is>
      </c>
      <c r="AZ1687" t="inlineStr">
        <is>
          <t>BOOK</t>
        </is>
      </c>
      <c r="BB1687" t="inlineStr">
        <is>
          <t>9781590710364</t>
        </is>
      </c>
      <c r="BC1687" t="inlineStr">
        <is>
          <t>32285004957121</t>
        </is>
      </c>
      <c r="BD1687" t="inlineStr">
        <is>
          <t>893423817</t>
        </is>
      </c>
    </row>
    <row r="1688">
      <c r="A1688" t="inlineStr">
        <is>
          <t>No</t>
        </is>
      </c>
      <c r="B1688" t="inlineStr">
        <is>
          <t>GV939.G78 D63 2003</t>
        </is>
      </c>
      <c r="C1688" t="inlineStr">
        <is>
          <t>0                      GV 0939000G  78                 D  63          2003</t>
        </is>
      </c>
      <c r="D1688" t="inlineStr">
        <is>
          <t>Do you love football?! : winning with heart, passion, and not much sleep / Jon Gruden with Vic Carucci.</t>
        </is>
      </c>
      <c r="F1688" t="inlineStr">
        <is>
          <t>No</t>
        </is>
      </c>
      <c r="G1688" t="inlineStr">
        <is>
          <t>1</t>
        </is>
      </c>
      <c r="H1688" t="inlineStr">
        <is>
          <t>No</t>
        </is>
      </c>
      <c r="I1688" t="inlineStr">
        <is>
          <t>No</t>
        </is>
      </c>
      <c r="J1688" t="inlineStr">
        <is>
          <t>0</t>
        </is>
      </c>
      <c r="K1688" t="inlineStr">
        <is>
          <t>Gruden, Jon.</t>
        </is>
      </c>
      <c r="L1688" t="inlineStr">
        <is>
          <t>New York : HarperCollins, c2003.</t>
        </is>
      </c>
      <c r="M1688" t="inlineStr">
        <is>
          <t>2003</t>
        </is>
      </c>
      <c r="N1688" t="inlineStr">
        <is>
          <t>1st ed.</t>
        </is>
      </c>
      <c r="O1688" t="inlineStr">
        <is>
          <t>eng</t>
        </is>
      </c>
      <c r="P1688" t="inlineStr">
        <is>
          <t>nyu</t>
        </is>
      </c>
      <c r="R1688" t="inlineStr">
        <is>
          <t xml:space="preserve">GV </t>
        </is>
      </c>
      <c r="S1688" t="n">
        <v>2</v>
      </c>
      <c r="T1688" t="n">
        <v>2</v>
      </c>
      <c r="U1688" t="inlineStr">
        <is>
          <t>2003-11-17</t>
        </is>
      </c>
      <c r="V1688" t="inlineStr">
        <is>
          <t>2003-11-17</t>
        </is>
      </c>
      <c r="W1688" t="inlineStr">
        <is>
          <t>2003-11-17</t>
        </is>
      </c>
      <c r="X1688" t="inlineStr">
        <is>
          <t>2003-11-17</t>
        </is>
      </c>
      <c r="Y1688" t="n">
        <v>446</v>
      </c>
      <c r="Z1688" t="n">
        <v>443</v>
      </c>
      <c r="AA1688" t="n">
        <v>484</v>
      </c>
      <c r="AB1688" t="n">
        <v>4</v>
      </c>
      <c r="AC1688" t="n">
        <v>4</v>
      </c>
      <c r="AD1688" t="n">
        <v>1</v>
      </c>
      <c r="AE1688" t="n">
        <v>2</v>
      </c>
      <c r="AF1688" t="n">
        <v>1</v>
      </c>
      <c r="AG1688" t="n">
        <v>2</v>
      </c>
      <c r="AH1688" t="n">
        <v>0</v>
      </c>
      <c r="AI1688" t="n">
        <v>0</v>
      </c>
      <c r="AJ1688" t="n">
        <v>0</v>
      </c>
      <c r="AK1688" t="n">
        <v>0</v>
      </c>
      <c r="AL1688" t="n">
        <v>0</v>
      </c>
      <c r="AM1688" t="n">
        <v>0</v>
      </c>
      <c r="AN1688" t="n">
        <v>0</v>
      </c>
      <c r="AO1688" t="n">
        <v>0</v>
      </c>
      <c r="AP1688" t="inlineStr">
        <is>
          <t>No</t>
        </is>
      </c>
      <c r="AQ1688" t="inlineStr">
        <is>
          <t>No</t>
        </is>
      </c>
      <c r="AS1688">
        <f>HYPERLINK("https://creighton-primo.hosted.exlibrisgroup.com/primo-explore/search?tab=default_tab&amp;search_scope=EVERYTHING&amp;vid=01CRU&amp;lang=en_US&amp;offset=0&amp;query=any,contains,991004180989702656","Catalog Record")</f>
        <v/>
      </c>
      <c r="AT1688">
        <f>HYPERLINK("http://www.worldcat.org/oclc/53033915","WorldCat Record")</f>
        <v/>
      </c>
      <c r="AU1688" t="inlineStr">
        <is>
          <t>650471:eng</t>
        </is>
      </c>
      <c r="AV1688" t="inlineStr">
        <is>
          <t>53033915</t>
        </is>
      </c>
      <c r="AW1688" t="inlineStr">
        <is>
          <t>991004180989702656</t>
        </is>
      </c>
      <c r="AX1688" t="inlineStr">
        <is>
          <t>991004180989702656</t>
        </is>
      </c>
      <c r="AY1688" t="inlineStr">
        <is>
          <t>2257011200002656</t>
        </is>
      </c>
      <c r="AZ1688" t="inlineStr">
        <is>
          <t>BOOK</t>
        </is>
      </c>
      <c r="BB1688" t="inlineStr">
        <is>
          <t>9780060579449</t>
        </is>
      </c>
      <c r="BC1688" t="inlineStr">
        <is>
          <t>32285004798491</t>
        </is>
      </c>
      <c r="BD1688" t="inlineStr">
        <is>
          <t>893525753</t>
        </is>
      </c>
    </row>
    <row r="1689">
      <c r="A1689" t="inlineStr">
        <is>
          <t>No</t>
        </is>
      </c>
      <c r="B1689" t="inlineStr">
        <is>
          <t>GV939.P39 A33 2000</t>
        </is>
      </c>
      <c r="C1689" t="inlineStr">
        <is>
          <t>0                      GV 0939000P  39                 A  33          2000</t>
        </is>
      </c>
      <c r="D1689" t="inlineStr">
        <is>
          <t>Never die easy : the autobiography of Walter Payton / Walter Payton with Don Yaeger.</t>
        </is>
      </c>
      <c r="F1689" t="inlineStr">
        <is>
          <t>No</t>
        </is>
      </c>
      <c r="G1689" t="inlineStr">
        <is>
          <t>1</t>
        </is>
      </c>
      <c r="H1689" t="inlineStr">
        <is>
          <t>No</t>
        </is>
      </c>
      <c r="I1689" t="inlineStr">
        <is>
          <t>No</t>
        </is>
      </c>
      <c r="J1689" t="inlineStr">
        <is>
          <t>0</t>
        </is>
      </c>
      <c r="K1689" t="inlineStr">
        <is>
          <t>Payton, Walter, 1954-1999.</t>
        </is>
      </c>
      <c r="L1689" t="inlineStr">
        <is>
          <t>New York : Villard, c2000.</t>
        </is>
      </c>
      <c r="M1689" t="inlineStr">
        <is>
          <t>2000</t>
        </is>
      </c>
      <c r="N1689" t="inlineStr">
        <is>
          <t>1st ed.</t>
        </is>
      </c>
      <c r="O1689" t="inlineStr">
        <is>
          <t>eng</t>
        </is>
      </c>
      <c r="P1689" t="inlineStr">
        <is>
          <t>nyu</t>
        </is>
      </c>
      <c r="R1689" t="inlineStr">
        <is>
          <t xml:space="preserve">GV </t>
        </is>
      </c>
      <c r="S1689" t="n">
        <v>7</v>
      </c>
      <c r="T1689" t="n">
        <v>7</v>
      </c>
      <c r="U1689" t="inlineStr">
        <is>
          <t>2001-02-12</t>
        </is>
      </c>
      <c r="V1689" t="inlineStr">
        <is>
          <t>2001-02-12</t>
        </is>
      </c>
      <c r="W1689" t="inlineStr">
        <is>
          <t>2001-01-03</t>
        </is>
      </c>
      <c r="X1689" t="inlineStr">
        <is>
          <t>2001-01-03</t>
        </is>
      </c>
      <c r="Y1689" t="n">
        <v>1199</v>
      </c>
      <c r="Z1689" t="n">
        <v>1181</v>
      </c>
      <c r="AA1689" t="n">
        <v>1471</v>
      </c>
      <c r="AB1689" t="n">
        <v>9</v>
      </c>
      <c r="AC1689" t="n">
        <v>11</v>
      </c>
      <c r="AD1689" t="n">
        <v>8</v>
      </c>
      <c r="AE1689" t="n">
        <v>9</v>
      </c>
      <c r="AF1689" t="n">
        <v>3</v>
      </c>
      <c r="AG1689" t="n">
        <v>3</v>
      </c>
      <c r="AH1689" t="n">
        <v>0</v>
      </c>
      <c r="AI1689" t="n">
        <v>1</v>
      </c>
      <c r="AJ1689" t="n">
        <v>2</v>
      </c>
      <c r="AK1689" t="n">
        <v>2</v>
      </c>
      <c r="AL1689" t="n">
        <v>2</v>
      </c>
      <c r="AM1689" t="n">
        <v>2</v>
      </c>
      <c r="AN1689" t="n">
        <v>1</v>
      </c>
      <c r="AO1689" t="n">
        <v>1</v>
      </c>
      <c r="AP1689" t="inlineStr">
        <is>
          <t>No</t>
        </is>
      </c>
      <c r="AQ1689" t="inlineStr">
        <is>
          <t>Yes</t>
        </is>
      </c>
      <c r="AR1689">
        <f>HYPERLINK("http://catalog.hathitrust.org/Record/004144269","HathiTrust Record")</f>
        <v/>
      </c>
      <c r="AS1689">
        <f>HYPERLINK("https://creighton-primo.hosted.exlibrisgroup.com/primo-explore/search?tab=default_tab&amp;search_scope=EVERYTHING&amp;vid=01CRU&amp;lang=en_US&amp;offset=0&amp;query=any,contains,991003341969702656","Catalog Record")</f>
        <v/>
      </c>
      <c r="AT1689">
        <f>HYPERLINK("http://www.worldcat.org/oclc/44084120","WorldCat Record")</f>
        <v/>
      </c>
      <c r="AU1689" t="inlineStr">
        <is>
          <t>2080278:eng</t>
        </is>
      </c>
      <c r="AV1689" t="inlineStr">
        <is>
          <t>44084120</t>
        </is>
      </c>
      <c r="AW1689" t="inlineStr">
        <is>
          <t>991003341969702656</t>
        </is>
      </c>
      <c r="AX1689" t="inlineStr">
        <is>
          <t>991003341969702656</t>
        </is>
      </c>
      <c r="AY1689" t="inlineStr">
        <is>
          <t>2272159270002656</t>
        </is>
      </c>
      <c r="AZ1689" t="inlineStr">
        <is>
          <t>BOOK</t>
        </is>
      </c>
      <c r="BB1689" t="inlineStr">
        <is>
          <t>9780679463313</t>
        </is>
      </c>
      <c r="BC1689" t="inlineStr">
        <is>
          <t>32285004278981</t>
        </is>
      </c>
      <c r="BD1689" t="inlineStr">
        <is>
          <t>893410199</t>
        </is>
      </c>
    </row>
    <row r="1690">
      <c r="A1690" t="inlineStr">
        <is>
          <t>No</t>
        </is>
      </c>
      <c r="B1690" t="inlineStr">
        <is>
          <t>GV939.R6 L6</t>
        </is>
      </c>
      <c r="C1690" t="inlineStr">
        <is>
          <t>0                      GV 0939000R  6                  L  6</t>
        </is>
      </c>
      <c r="D1690" t="inlineStr">
        <is>
          <t>Rockne of Notre Dame / by Delos W. Lovelace.</t>
        </is>
      </c>
      <c r="F1690" t="inlineStr">
        <is>
          <t>No</t>
        </is>
      </c>
      <c r="G1690" t="inlineStr">
        <is>
          <t>1</t>
        </is>
      </c>
      <c r="H1690" t="inlineStr">
        <is>
          <t>No</t>
        </is>
      </c>
      <c r="I1690" t="inlineStr">
        <is>
          <t>No</t>
        </is>
      </c>
      <c r="J1690" t="inlineStr">
        <is>
          <t>0</t>
        </is>
      </c>
      <c r="K1690" t="inlineStr">
        <is>
          <t>Lovelace, Delos W. (Delos Wheeler), 1894-1967.</t>
        </is>
      </c>
      <c r="L1690" t="inlineStr">
        <is>
          <t>New York ; London : G. P. Putnam's sons, [c1931]</t>
        </is>
      </c>
      <c r="M1690" t="inlineStr">
        <is>
          <t>1931</t>
        </is>
      </c>
      <c r="O1690" t="inlineStr">
        <is>
          <t>eng</t>
        </is>
      </c>
      <c r="P1690" t="inlineStr">
        <is>
          <t>nyu</t>
        </is>
      </c>
      <c r="R1690" t="inlineStr">
        <is>
          <t xml:space="preserve">GV </t>
        </is>
      </c>
      <c r="S1690" t="n">
        <v>4</v>
      </c>
      <c r="T1690" t="n">
        <v>4</v>
      </c>
      <c r="U1690" t="inlineStr">
        <is>
          <t>2004-10-11</t>
        </is>
      </c>
      <c r="V1690" t="inlineStr">
        <is>
          <t>2004-10-11</t>
        </is>
      </c>
      <c r="W1690" t="inlineStr">
        <is>
          <t>1993-10-14</t>
        </is>
      </c>
      <c r="X1690" t="inlineStr">
        <is>
          <t>1993-10-14</t>
        </is>
      </c>
      <c r="Y1690" t="n">
        <v>199</v>
      </c>
      <c r="Z1690" t="n">
        <v>197</v>
      </c>
      <c r="AA1690" t="n">
        <v>197</v>
      </c>
      <c r="AB1690" t="n">
        <v>5</v>
      </c>
      <c r="AC1690" t="n">
        <v>5</v>
      </c>
      <c r="AD1690" t="n">
        <v>4</v>
      </c>
      <c r="AE1690" t="n">
        <v>4</v>
      </c>
      <c r="AF1690" t="n">
        <v>1</v>
      </c>
      <c r="AG1690" t="n">
        <v>1</v>
      </c>
      <c r="AH1690" t="n">
        <v>1</v>
      </c>
      <c r="AI1690" t="n">
        <v>1</v>
      </c>
      <c r="AJ1690" t="n">
        <v>1</v>
      </c>
      <c r="AK1690" t="n">
        <v>1</v>
      </c>
      <c r="AL1690" t="n">
        <v>2</v>
      </c>
      <c r="AM1690" t="n">
        <v>2</v>
      </c>
      <c r="AN1690" t="n">
        <v>0</v>
      </c>
      <c r="AO1690" t="n">
        <v>0</v>
      </c>
      <c r="AP1690" t="inlineStr">
        <is>
          <t>No</t>
        </is>
      </c>
      <c r="AQ1690" t="inlineStr">
        <is>
          <t>No</t>
        </is>
      </c>
      <c r="AS1690">
        <f>HYPERLINK("https://creighton-primo.hosted.exlibrisgroup.com/primo-explore/search?tab=default_tab&amp;search_scope=EVERYTHING&amp;vid=01CRU&amp;lang=en_US&amp;offset=0&amp;query=any,contains,991003798289702656","Catalog Record")</f>
        <v/>
      </c>
      <c r="AT1690">
        <f>HYPERLINK("http://www.worldcat.org/oclc/1523509","WorldCat Record")</f>
        <v/>
      </c>
      <c r="AU1690" t="inlineStr">
        <is>
          <t>2369005:eng</t>
        </is>
      </c>
      <c r="AV1690" t="inlineStr">
        <is>
          <t>1523509</t>
        </is>
      </c>
      <c r="AW1690" t="inlineStr">
        <is>
          <t>991003798289702656</t>
        </is>
      </c>
      <c r="AX1690" t="inlineStr">
        <is>
          <t>991003798289702656</t>
        </is>
      </c>
      <c r="AY1690" t="inlineStr">
        <is>
          <t>2267890320002656</t>
        </is>
      </c>
      <c r="AZ1690" t="inlineStr">
        <is>
          <t>BOOK</t>
        </is>
      </c>
      <c r="BC1690" t="inlineStr">
        <is>
          <t>32285001791713</t>
        </is>
      </c>
      <c r="BD1690" t="inlineStr">
        <is>
          <t>893887934</t>
        </is>
      </c>
    </row>
    <row r="1691">
      <c r="A1691" t="inlineStr">
        <is>
          <t>No</t>
        </is>
      </c>
      <c r="B1691" t="inlineStr">
        <is>
          <t>GV939.R6 W3</t>
        </is>
      </c>
      <c r="C1691" t="inlineStr">
        <is>
          <t>0                      GV 0939000R  6                  W  3</t>
        </is>
      </c>
      <c r="D1691" t="inlineStr">
        <is>
          <t>Knute Rockne.</t>
        </is>
      </c>
      <c r="F1691" t="inlineStr">
        <is>
          <t>No</t>
        </is>
      </c>
      <c r="G1691" t="inlineStr">
        <is>
          <t>1</t>
        </is>
      </c>
      <c r="H1691" t="inlineStr">
        <is>
          <t>No</t>
        </is>
      </c>
      <c r="I1691" t="inlineStr">
        <is>
          <t>No</t>
        </is>
      </c>
      <c r="J1691" t="inlineStr">
        <is>
          <t>0</t>
        </is>
      </c>
      <c r="K1691" t="inlineStr">
        <is>
          <t>Wallace, Francis.</t>
        </is>
      </c>
      <c r="L1691" t="inlineStr">
        <is>
          <t>Garden City, N.Y. : Doubleday, 1960.</t>
        </is>
      </c>
      <c r="M1691" t="inlineStr">
        <is>
          <t>1960</t>
        </is>
      </c>
      <c r="N1691" t="inlineStr">
        <is>
          <t>[1st ed.]</t>
        </is>
      </c>
      <c r="O1691" t="inlineStr">
        <is>
          <t>eng</t>
        </is>
      </c>
      <c r="P1691" t="inlineStr">
        <is>
          <t>nyu</t>
        </is>
      </c>
      <c r="R1691" t="inlineStr">
        <is>
          <t xml:space="preserve">GV </t>
        </is>
      </c>
      <c r="S1691" t="n">
        <v>3</v>
      </c>
      <c r="T1691" t="n">
        <v>3</v>
      </c>
      <c r="U1691" t="inlineStr">
        <is>
          <t>2004-10-11</t>
        </is>
      </c>
      <c r="V1691" t="inlineStr">
        <is>
          <t>2004-10-11</t>
        </is>
      </c>
      <c r="W1691" t="inlineStr">
        <is>
          <t>1993-10-14</t>
        </is>
      </c>
      <c r="X1691" t="inlineStr">
        <is>
          <t>1993-10-14</t>
        </is>
      </c>
      <c r="Y1691" t="n">
        <v>444</v>
      </c>
      <c r="Z1691" t="n">
        <v>433</v>
      </c>
      <c r="AA1691" t="n">
        <v>439</v>
      </c>
      <c r="AB1691" t="n">
        <v>5</v>
      </c>
      <c r="AC1691" t="n">
        <v>5</v>
      </c>
      <c r="AD1691" t="n">
        <v>10</v>
      </c>
      <c r="AE1691" t="n">
        <v>10</v>
      </c>
      <c r="AF1691" t="n">
        <v>5</v>
      </c>
      <c r="AG1691" t="n">
        <v>5</v>
      </c>
      <c r="AH1691" t="n">
        <v>1</v>
      </c>
      <c r="AI1691" t="n">
        <v>1</v>
      </c>
      <c r="AJ1691" t="n">
        <v>6</v>
      </c>
      <c r="AK1691" t="n">
        <v>6</v>
      </c>
      <c r="AL1691" t="n">
        <v>1</v>
      </c>
      <c r="AM1691" t="n">
        <v>1</v>
      </c>
      <c r="AN1691" t="n">
        <v>0</v>
      </c>
      <c r="AO1691" t="n">
        <v>0</v>
      </c>
      <c r="AP1691" t="inlineStr">
        <is>
          <t>No</t>
        </is>
      </c>
      <c r="AQ1691" t="inlineStr">
        <is>
          <t>Yes</t>
        </is>
      </c>
      <c r="AR1691">
        <f>HYPERLINK("http://catalog.hathitrust.org/Record/009520209","HathiTrust Record")</f>
        <v/>
      </c>
      <c r="AS1691">
        <f>HYPERLINK("https://creighton-primo.hosted.exlibrisgroup.com/primo-explore/search?tab=default_tab&amp;search_scope=EVERYTHING&amp;vid=01CRU&amp;lang=en_US&amp;offset=0&amp;query=any,contains,991002860309702656","Catalog Record")</f>
        <v/>
      </c>
      <c r="AT1691">
        <f>HYPERLINK("http://www.worldcat.org/oclc/492500","WorldCat Record")</f>
        <v/>
      </c>
      <c r="AU1691" t="inlineStr">
        <is>
          <t>1584886:eng</t>
        </is>
      </c>
      <c r="AV1691" t="inlineStr">
        <is>
          <t>492500</t>
        </is>
      </c>
      <c r="AW1691" t="inlineStr">
        <is>
          <t>991002860309702656</t>
        </is>
      </c>
      <c r="AX1691" t="inlineStr">
        <is>
          <t>991002860309702656</t>
        </is>
      </c>
      <c r="AY1691" t="inlineStr">
        <is>
          <t>2256452810002656</t>
        </is>
      </c>
      <c r="AZ1691" t="inlineStr">
        <is>
          <t>BOOK</t>
        </is>
      </c>
      <c r="BC1691" t="inlineStr">
        <is>
          <t>32285001791705</t>
        </is>
      </c>
      <c r="BD1691" t="inlineStr">
        <is>
          <t>893233517</t>
        </is>
      </c>
    </row>
    <row r="1692">
      <c r="A1692" t="inlineStr">
        <is>
          <t>No</t>
        </is>
      </c>
      <c r="B1692" t="inlineStr">
        <is>
          <t>GV939.S47 A35 1995</t>
        </is>
      </c>
      <c r="C1692" t="inlineStr">
        <is>
          <t>0                      GV 0939000S  47                 A  35          1995</t>
        </is>
      </c>
      <c r="D1692" t="inlineStr">
        <is>
          <t>I want to tell you : my response to your letters, your messages, your questions / by O.J. Simpson.</t>
        </is>
      </c>
      <c r="F1692" t="inlineStr">
        <is>
          <t>No</t>
        </is>
      </c>
      <c r="G1692" t="inlineStr">
        <is>
          <t>1</t>
        </is>
      </c>
      <c r="H1692" t="inlineStr">
        <is>
          <t>No</t>
        </is>
      </c>
      <c r="I1692" t="inlineStr">
        <is>
          <t>No</t>
        </is>
      </c>
      <c r="J1692" t="inlineStr">
        <is>
          <t>0</t>
        </is>
      </c>
      <c r="K1692" t="inlineStr">
        <is>
          <t>Simpson, O. J., 1947-</t>
        </is>
      </c>
      <c r="L1692" t="inlineStr">
        <is>
          <t>Boston, Mass. : Little, Brown, c1995.</t>
        </is>
      </c>
      <c r="M1692" t="inlineStr">
        <is>
          <t>1995</t>
        </is>
      </c>
      <c r="O1692" t="inlineStr">
        <is>
          <t>eng</t>
        </is>
      </c>
      <c r="P1692" t="inlineStr">
        <is>
          <t>mau</t>
        </is>
      </c>
      <c r="R1692" t="inlineStr">
        <is>
          <t xml:space="preserve">GV </t>
        </is>
      </c>
      <c r="S1692" t="n">
        <v>8</v>
      </c>
      <c r="T1692" t="n">
        <v>8</v>
      </c>
      <c r="U1692" t="inlineStr">
        <is>
          <t>1996-10-03</t>
        </is>
      </c>
      <c r="V1692" t="inlineStr">
        <is>
          <t>1996-10-03</t>
        </is>
      </c>
      <c r="W1692" t="inlineStr">
        <is>
          <t>1995-11-14</t>
        </is>
      </c>
      <c r="X1692" t="inlineStr">
        <is>
          <t>1995-11-14</t>
        </is>
      </c>
      <c r="Y1692" t="n">
        <v>1043</v>
      </c>
      <c r="Z1692" t="n">
        <v>1000</v>
      </c>
      <c r="AA1692" t="n">
        <v>1026</v>
      </c>
      <c r="AB1692" t="n">
        <v>5</v>
      </c>
      <c r="AC1692" t="n">
        <v>5</v>
      </c>
      <c r="AD1692" t="n">
        <v>17</v>
      </c>
      <c r="AE1692" t="n">
        <v>17</v>
      </c>
      <c r="AF1692" t="n">
        <v>3</v>
      </c>
      <c r="AG1692" t="n">
        <v>3</v>
      </c>
      <c r="AH1692" t="n">
        <v>1</v>
      </c>
      <c r="AI1692" t="n">
        <v>1</v>
      </c>
      <c r="AJ1692" t="n">
        <v>6</v>
      </c>
      <c r="AK1692" t="n">
        <v>6</v>
      </c>
      <c r="AL1692" t="n">
        <v>2</v>
      </c>
      <c r="AM1692" t="n">
        <v>2</v>
      </c>
      <c r="AN1692" t="n">
        <v>5</v>
      </c>
      <c r="AO1692" t="n">
        <v>5</v>
      </c>
      <c r="AP1692" t="inlineStr">
        <is>
          <t>No</t>
        </is>
      </c>
      <c r="AQ1692" t="inlineStr">
        <is>
          <t>No</t>
        </is>
      </c>
      <c r="AS1692">
        <f>HYPERLINK("https://creighton-primo.hosted.exlibrisgroup.com/primo-explore/search?tab=default_tab&amp;search_scope=EVERYTHING&amp;vid=01CRU&amp;lang=en_US&amp;offset=0&amp;query=any,contains,991002444849702656","Catalog Record")</f>
        <v/>
      </c>
      <c r="AT1692">
        <f>HYPERLINK("http://www.worldcat.org/oclc/31898084","WorldCat Record")</f>
        <v/>
      </c>
      <c r="AU1692" t="inlineStr">
        <is>
          <t>24135293:eng</t>
        </is>
      </c>
      <c r="AV1692" t="inlineStr">
        <is>
          <t>31898084</t>
        </is>
      </c>
      <c r="AW1692" t="inlineStr">
        <is>
          <t>991002444849702656</t>
        </is>
      </c>
      <c r="AX1692" t="inlineStr">
        <is>
          <t>991002444849702656</t>
        </is>
      </c>
      <c r="AY1692" t="inlineStr">
        <is>
          <t>2268285970002656</t>
        </is>
      </c>
      <c r="AZ1692" t="inlineStr">
        <is>
          <t>BOOK</t>
        </is>
      </c>
      <c r="BB1692" t="inlineStr">
        <is>
          <t>9780316341004</t>
        </is>
      </c>
      <c r="BC1692" t="inlineStr">
        <is>
          <t>32285002098282</t>
        </is>
      </c>
      <c r="BD1692" t="inlineStr">
        <is>
          <t>893433897</t>
        </is>
      </c>
    </row>
    <row r="1693">
      <c r="A1693" t="inlineStr">
        <is>
          <t>No</t>
        </is>
      </c>
      <c r="B1693" t="inlineStr">
        <is>
          <t>GV939.S67 A3 2006</t>
        </is>
      </c>
      <c r="C1693" t="inlineStr">
        <is>
          <t>0                      GV 0939000S  67                 A  3           2006</t>
        </is>
      </c>
      <c r="D1693" t="inlineStr">
        <is>
          <t>Just kick it : tales of an underdog, over-age, out-of-place, semi-pro football player / Mark St. Amant.</t>
        </is>
      </c>
      <c r="F1693" t="inlineStr">
        <is>
          <t>No</t>
        </is>
      </c>
      <c r="G1693" t="inlineStr">
        <is>
          <t>1</t>
        </is>
      </c>
      <c r="H1693" t="inlineStr">
        <is>
          <t>No</t>
        </is>
      </c>
      <c r="I1693" t="inlineStr">
        <is>
          <t>No</t>
        </is>
      </c>
      <c r="J1693" t="inlineStr">
        <is>
          <t>0</t>
        </is>
      </c>
      <c r="K1693" t="inlineStr">
        <is>
          <t>St. Amant, Mark, 1967-</t>
        </is>
      </c>
      <c r="L1693" t="inlineStr">
        <is>
          <t>New York : Scribner, c2006.</t>
        </is>
      </c>
      <c r="M1693" t="inlineStr">
        <is>
          <t>2006</t>
        </is>
      </c>
      <c r="O1693" t="inlineStr">
        <is>
          <t>eng</t>
        </is>
      </c>
      <c r="P1693" t="inlineStr">
        <is>
          <t>nyu</t>
        </is>
      </c>
      <c r="R1693" t="inlineStr">
        <is>
          <t xml:space="preserve">GV </t>
        </is>
      </c>
      <c r="S1693" t="n">
        <v>3</v>
      </c>
      <c r="T1693" t="n">
        <v>3</v>
      </c>
      <c r="U1693" t="inlineStr">
        <is>
          <t>2007-01-19</t>
        </is>
      </c>
      <c r="V1693" t="inlineStr">
        <is>
          <t>2007-01-19</t>
        </is>
      </c>
      <c r="W1693" t="inlineStr">
        <is>
          <t>2006-10-25</t>
        </is>
      </c>
      <c r="X1693" t="inlineStr">
        <is>
          <t>2006-10-25</t>
        </is>
      </c>
      <c r="Y1693" t="n">
        <v>171</v>
      </c>
      <c r="Z1693" t="n">
        <v>169</v>
      </c>
      <c r="AA1693" t="n">
        <v>186</v>
      </c>
      <c r="AB1693" t="n">
        <v>1</v>
      </c>
      <c r="AC1693" t="n">
        <v>1</v>
      </c>
      <c r="AD1693" t="n">
        <v>0</v>
      </c>
      <c r="AE1693" t="n">
        <v>0</v>
      </c>
      <c r="AF1693" t="n">
        <v>0</v>
      </c>
      <c r="AG1693" t="n">
        <v>0</v>
      </c>
      <c r="AH1693" t="n">
        <v>0</v>
      </c>
      <c r="AI1693" t="n">
        <v>0</v>
      </c>
      <c r="AJ1693" t="n">
        <v>0</v>
      </c>
      <c r="AK1693" t="n">
        <v>0</v>
      </c>
      <c r="AL1693" t="n">
        <v>0</v>
      </c>
      <c r="AM1693" t="n">
        <v>0</v>
      </c>
      <c r="AN1693" t="n">
        <v>0</v>
      </c>
      <c r="AO1693" t="n">
        <v>0</v>
      </c>
      <c r="AP1693" t="inlineStr">
        <is>
          <t>No</t>
        </is>
      </c>
      <c r="AQ1693" t="inlineStr">
        <is>
          <t>No</t>
        </is>
      </c>
      <c r="AS1693">
        <f>HYPERLINK("https://creighton-primo.hosted.exlibrisgroup.com/primo-explore/search?tab=default_tab&amp;search_scope=EVERYTHING&amp;vid=01CRU&amp;lang=en_US&amp;offset=0&amp;query=any,contains,991004937089702656","Catalog Record")</f>
        <v/>
      </c>
      <c r="AT1693">
        <f>HYPERLINK("http://www.worldcat.org/oclc/70175017","WorldCat Record")</f>
        <v/>
      </c>
      <c r="AU1693" t="inlineStr">
        <is>
          <t>55711520:eng</t>
        </is>
      </c>
      <c r="AV1693" t="inlineStr">
        <is>
          <t>70175017</t>
        </is>
      </c>
      <c r="AW1693" t="inlineStr">
        <is>
          <t>991004937089702656</t>
        </is>
      </c>
      <c r="AX1693" t="inlineStr">
        <is>
          <t>991004937089702656</t>
        </is>
      </c>
      <c r="AY1693" t="inlineStr">
        <is>
          <t>2271857200002656</t>
        </is>
      </c>
      <c r="AZ1693" t="inlineStr">
        <is>
          <t>BOOK</t>
        </is>
      </c>
      <c r="BB1693" t="inlineStr">
        <is>
          <t>9780743286756</t>
        </is>
      </c>
      <c r="BC1693" t="inlineStr">
        <is>
          <t>32285005232623</t>
        </is>
      </c>
      <c r="BD1693" t="inlineStr">
        <is>
          <t>893344430</t>
        </is>
      </c>
    </row>
    <row r="1694">
      <c r="A1694" t="inlineStr">
        <is>
          <t>No</t>
        </is>
      </c>
      <c r="B1694" t="inlineStr">
        <is>
          <t>GV939.T34 A3 2003</t>
        </is>
      </c>
      <c r="C1694" t="inlineStr">
        <is>
          <t>0                      GV 0939000T  34                 A  3           2003</t>
        </is>
      </c>
      <c r="D1694" t="inlineStr">
        <is>
          <t>LT over the edge : tackling quarterbacks, drugs, and a world beyond football / Lawrence Taylor with Steve Serby.</t>
        </is>
      </c>
      <c r="F1694" t="inlineStr">
        <is>
          <t>No</t>
        </is>
      </c>
      <c r="G1694" t="inlineStr">
        <is>
          <t>1</t>
        </is>
      </c>
      <c r="H1694" t="inlineStr">
        <is>
          <t>No</t>
        </is>
      </c>
      <c r="I1694" t="inlineStr">
        <is>
          <t>No</t>
        </is>
      </c>
      <c r="J1694" t="inlineStr">
        <is>
          <t>0</t>
        </is>
      </c>
      <c r="K1694" t="inlineStr">
        <is>
          <t>Taylor, Lawrence, 1959-</t>
        </is>
      </c>
      <c r="L1694" t="inlineStr">
        <is>
          <t>New York : HarperCollins, c2003.</t>
        </is>
      </c>
      <c r="M1694" t="inlineStr">
        <is>
          <t>2003</t>
        </is>
      </c>
      <c r="N1694" t="inlineStr">
        <is>
          <t>1st ed.</t>
        </is>
      </c>
      <c r="O1694" t="inlineStr">
        <is>
          <t>eng</t>
        </is>
      </c>
      <c r="P1694" t="inlineStr">
        <is>
          <t>nyu</t>
        </is>
      </c>
      <c r="R1694" t="inlineStr">
        <is>
          <t xml:space="preserve">GV </t>
        </is>
      </c>
      <c r="S1694" t="n">
        <v>1</v>
      </c>
      <c r="T1694" t="n">
        <v>1</v>
      </c>
      <c r="U1694" t="inlineStr">
        <is>
          <t>2004-01-21</t>
        </is>
      </c>
      <c r="V1694" t="inlineStr">
        <is>
          <t>2004-01-21</t>
        </is>
      </c>
      <c r="W1694" t="inlineStr">
        <is>
          <t>2004-01-21</t>
        </is>
      </c>
      <c r="X1694" t="inlineStr">
        <is>
          <t>2004-01-21</t>
        </is>
      </c>
      <c r="Y1694" t="n">
        <v>526</v>
      </c>
      <c r="Z1694" t="n">
        <v>520</v>
      </c>
      <c r="AA1694" t="n">
        <v>539</v>
      </c>
      <c r="AB1694" t="n">
        <v>4</v>
      </c>
      <c r="AC1694" t="n">
        <v>4</v>
      </c>
      <c r="AD1694" t="n">
        <v>1</v>
      </c>
      <c r="AE1694" t="n">
        <v>1</v>
      </c>
      <c r="AF1694" t="n">
        <v>1</v>
      </c>
      <c r="AG1694" t="n">
        <v>1</v>
      </c>
      <c r="AH1694" t="n">
        <v>0</v>
      </c>
      <c r="AI1694" t="n">
        <v>0</v>
      </c>
      <c r="AJ1694" t="n">
        <v>0</v>
      </c>
      <c r="AK1694" t="n">
        <v>0</v>
      </c>
      <c r="AL1694" t="n">
        <v>0</v>
      </c>
      <c r="AM1694" t="n">
        <v>0</v>
      </c>
      <c r="AN1694" t="n">
        <v>0</v>
      </c>
      <c r="AO1694" t="n">
        <v>0</v>
      </c>
      <c r="AP1694" t="inlineStr">
        <is>
          <t>No</t>
        </is>
      </c>
      <c r="AQ1694" t="inlineStr">
        <is>
          <t>No</t>
        </is>
      </c>
      <c r="AS1694">
        <f>HYPERLINK("https://creighton-primo.hosted.exlibrisgroup.com/primo-explore/search?tab=default_tab&amp;search_scope=EVERYTHING&amp;vid=01CRU&amp;lang=en_US&amp;offset=0&amp;query=any,contains,991004219549702656","Catalog Record")</f>
        <v/>
      </c>
      <c r="AT1694">
        <f>HYPERLINK("http://www.worldcat.org/oclc/53700652","WorldCat Record")</f>
        <v/>
      </c>
      <c r="AU1694" t="inlineStr">
        <is>
          <t>648156:eng</t>
        </is>
      </c>
      <c r="AV1694" t="inlineStr">
        <is>
          <t>53700652</t>
        </is>
      </c>
      <c r="AW1694" t="inlineStr">
        <is>
          <t>991004219549702656</t>
        </is>
      </c>
      <c r="AX1694" t="inlineStr">
        <is>
          <t>991004219549702656</t>
        </is>
      </c>
      <c r="AY1694" t="inlineStr">
        <is>
          <t>2263496260002656</t>
        </is>
      </c>
      <c r="AZ1694" t="inlineStr">
        <is>
          <t>BOOK</t>
        </is>
      </c>
      <c r="BB1694" t="inlineStr">
        <is>
          <t>9780060185510</t>
        </is>
      </c>
      <c r="BC1694" t="inlineStr">
        <is>
          <t>32285004635727</t>
        </is>
      </c>
      <c r="BD1694" t="inlineStr">
        <is>
          <t>893687494</t>
        </is>
      </c>
    </row>
    <row r="1695">
      <c r="A1695" t="inlineStr">
        <is>
          <t>No</t>
        </is>
      </c>
      <c r="B1695" t="inlineStr">
        <is>
          <t>GV942.2 .G54 2006</t>
        </is>
      </c>
      <c r="C1695" t="inlineStr">
        <is>
          <t>0                      GV 0942200G  54          2006</t>
        </is>
      </c>
      <c r="D1695" t="inlineStr">
        <is>
          <t>The Kingfisher soccer encyclopedia / Clive Gifford.</t>
        </is>
      </c>
      <c r="F1695" t="inlineStr">
        <is>
          <t>No</t>
        </is>
      </c>
      <c r="G1695" t="inlineStr">
        <is>
          <t>1</t>
        </is>
      </c>
      <c r="H1695" t="inlineStr">
        <is>
          <t>No</t>
        </is>
      </c>
      <c r="I1695" t="inlineStr">
        <is>
          <t>No</t>
        </is>
      </c>
      <c r="J1695" t="inlineStr">
        <is>
          <t>0</t>
        </is>
      </c>
      <c r="K1695" t="inlineStr">
        <is>
          <t>Gifford, Clive.</t>
        </is>
      </c>
      <c r="L1695" t="inlineStr">
        <is>
          <t>Boston : Kingfisher, 2006.</t>
        </is>
      </c>
      <c r="M1695" t="inlineStr">
        <is>
          <t>2006</t>
        </is>
      </c>
      <c r="O1695" t="inlineStr">
        <is>
          <t>eng</t>
        </is>
      </c>
      <c r="P1695" t="inlineStr">
        <is>
          <t>mau</t>
        </is>
      </c>
      <c r="R1695" t="inlineStr">
        <is>
          <t xml:space="preserve">GV </t>
        </is>
      </c>
      <c r="S1695" t="n">
        <v>1</v>
      </c>
      <c r="T1695" t="n">
        <v>1</v>
      </c>
      <c r="U1695" t="inlineStr">
        <is>
          <t>2008-10-29</t>
        </is>
      </c>
      <c r="V1695" t="inlineStr">
        <is>
          <t>2008-10-29</t>
        </is>
      </c>
      <c r="W1695" t="inlineStr">
        <is>
          <t>2008-10-29</t>
        </is>
      </c>
      <c r="X1695" t="inlineStr">
        <is>
          <t>2008-10-29</t>
        </is>
      </c>
      <c r="Y1695" t="n">
        <v>569</v>
      </c>
      <c r="Z1695" t="n">
        <v>538</v>
      </c>
      <c r="AA1695" t="n">
        <v>1024</v>
      </c>
      <c r="AB1695" t="n">
        <v>7</v>
      </c>
      <c r="AC1695" t="n">
        <v>11</v>
      </c>
      <c r="AD1695" t="n">
        <v>3</v>
      </c>
      <c r="AE1695" t="n">
        <v>4</v>
      </c>
      <c r="AF1695" t="n">
        <v>1</v>
      </c>
      <c r="AG1695" t="n">
        <v>2</v>
      </c>
      <c r="AH1695" t="n">
        <v>0</v>
      </c>
      <c r="AI1695" t="n">
        <v>0</v>
      </c>
      <c r="AJ1695" t="n">
        <v>0</v>
      </c>
      <c r="AK1695" t="n">
        <v>1</v>
      </c>
      <c r="AL1695" t="n">
        <v>2</v>
      </c>
      <c r="AM1695" t="n">
        <v>2</v>
      </c>
      <c r="AN1695" t="n">
        <v>0</v>
      </c>
      <c r="AO1695" t="n">
        <v>0</v>
      </c>
      <c r="AP1695" t="inlineStr">
        <is>
          <t>No</t>
        </is>
      </c>
      <c r="AQ1695" t="inlineStr">
        <is>
          <t>No</t>
        </is>
      </c>
      <c r="AS1695">
        <f>HYPERLINK("https://creighton-primo.hosted.exlibrisgroup.com/primo-explore/search?tab=default_tab&amp;search_scope=EVERYTHING&amp;vid=01CRU&amp;lang=en_US&amp;offset=0&amp;query=any,contains,991005257139702656","Catalog Record")</f>
        <v/>
      </c>
      <c r="AT1695">
        <f>HYPERLINK("http://www.worldcat.org/oclc/61456508","WorldCat Record")</f>
        <v/>
      </c>
      <c r="AU1695" t="inlineStr">
        <is>
          <t>47336487:eng</t>
        </is>
      </c>
      <c r="AV1695" t="inlineStr">
        <is>
          <t>61456508</t>
        </is>
      </c>
      <c r="AW1695" t="inlineStr">
        <is>
          <t>991005257139702656</t>
        </is>
      </c>
      <c r="AX1695" t="inlineStr">
        <is>
          <t>991005257139702656</t>
        </is>
      </c>
      <c r="AY1695" t="inlineStr">
        <is>
          <t>2260093460002656</t>
        </is>
      </c>
      <c r="AZ1695" t="inlineStr">
        <is>
          <t>BOOK</t>
        </is>
      </c>
      <c r="BB1695" t="inlineStr">
        <is>
          <t>9780753459287</t>
        </is>
      </c>
      <c r="BC1695" t="inlineStr">
        <is>
          <t>32285005464259</t>
        </is>
      </c>
      <c r="BD1695" t="inlineStr">
        <is>
          <t>893688850</t>
        </is>
      </c>
    </row>
    <row r="1696">
      <c r="A1696" t="inlineStr">
        <is>
          <t>No</t>
        </is>
      </c>
      <c r="B1696" t="inlineStr">
        <is>
          <t>GV942.5 .G35 1998</t>
        </is>
      </c>
      <c r="C1696" t="inlineStr">
        <is>
          <t>0                      GV 0942500G  35          1998</t>
        </is>
      </c>
      <c r="D1696" t="inlineStr">
        <is>
          <t>Soccer in sun and shadow / by Eduardo Galeano ; translated by Mark Fried.</t>
        </is>
      </c>
      <c r="F1696" t="inlineStr">
        <is>
          <t>No</t>
        </is>
      </c>
      <c r="G1696" t="inlineStr">
        <is>
          <t>1</t>
        </is>
      </c>
      <c r="H1696" t="inlineStr">
        <is>
          <t>No</t>
        </is>
      </c>
      <c r="I1696" t="inlineStr">
        <is>
          <t>No</t>
        </is>
      </c>
      <c r="J1696" t="inlineStr">
        <is>
          <t>0</t>
        </is>
      </c>
      <c r="K1696" t="inlineStr">
        <is>
          <t>Galeano, Eduardo, 1940-2015.</t>
        </is>
      </c>
      <c r="L1696" t="inlineStr">
        <is>
          <t>London ; New York : Verso, 1998.</t>
        </is>
      </c>
      <c r="M1696" t="inlineStr">
        <is>
          <t>1998</t>
        </is>
      </c>
      <c r="O1696" t="inlineStr">
        <is>
          <t>eng</t>
        </is>
      </c>
      <c r="P1696" t="inlineStr">
        <is>
          <t>enk</t>
        </is>
      </c>
      <c r="R1696" t="inlineStr">
        <is>
          <t xml:space="preserve">GV </t>
        </is>
      </c>
      <c r="S1696" t="n">
        <v>8</v>
      </c>
      <c r="T1696" t="n">
        <v>8</v>
      </c>
      <c r="U1696" t="inlineStr">
        <is>
          <t>2004-11-07</t>
        </is>
      </c>
      <c r="V1696" t="inlineStr">
        <is>
          <t>2004-11-07</t>
        </is>
      </c>
      <c r="W1696" t="inlineStr">
        <is>
          <t>1999-03-15</t>
        </is>
      </c>
      <c r="X1696" t="inlineStr">
        <is>
          <t>1999-03-15</t>
        </is>
      </c>
      <c r="Y1696" t="n">
        <v>348</v>
      </c>
      <c r="Z1696" t="n">
        <v>327</v>
      </c>
      <c r="AA1696" t="n">
        <v>896</v>
      </c>
      <c r="AB1696" t="n">
        <v>3</v>
      </c>
      <c r="AC1696" t="n">
        <v>7</v>
      </c>
      <c r="AD1696" t="n">
        <v>8</v>
      </c>
      <c r="AE1696" t="n">
        <v>13</v>
      </c>
      <c r="AF1696" t="n">
        <v>1</v>
      </c>
      <c r="AG1696" t="n">
        <v>4</v>
      </c>
      <c r="AH1696" t="n">
        <v>2</v>
      </c>
      <c r="AI1696" t="n">
        <v>3</v>
      </c>
      <c r="AJ1696" t="n">
        <v>5</v>
      </c>
      <c r="AK1696" t="n">
        <v>5</v>
      </c>
      <c r="AL1696" t="n">
        <v>1</v>
      </c>
      <c r="AM1696" t="n">
        <v>3</v>
      </c>
      <c r="AN1696" t="n">
        <v>0</v>
      </c>
      <c r="AO1696" t="n">
        <v>0</v>
      </c>
      <c r="AP1696" t="inlineStr">
        <is>
          <t>No</t>
        </is>
      </c>
      <c r="AQ1696" t="inlineStr">
        <is>
          <t>No</t>
        </is>
      </c>
      <c r="AS1696">
        <f>HYPERLINK("https://creighton-primo.hosted.exlibrisgroup.com/primo-explore/search?tab=default_tab&amp;search_scope=EVERYTHING&amp;vid=01CRU&amp;lang=en_US&amp;offset=0&amp;query=any,contains,991002922469702656","Catalog Record")</f>
        <v/>
      </c>
      <c r="AT1696">
        <f>HYPERLINK("http://www.worldcat.org/oclc/38842046","WorldCat Record")</f>
        <v/>
      </c>
      <c r="AU1696" t="inlineStr">
        <is>
          <t>817558:eng</t>
        </is>
      </c>
      <c r="AV1696" t="inlineStr">
        <is>
          <t>38842046</t>
        </is>
      </c>
      <c r="AW1696" t="inlineStr">
        <is>
          <t>991002922469702656</t>
        </is>
      </c>
      <c r="AX1696" t="inlineStr">
        <is>
          <t>991002922469702656</t>
        </is>
      </c>
      <c r="AY1696" t="inlineStr">
        <is>
          <t>2256978760002656</t>
        </is>
      </c>
      <c r="AZ1696" t="inlineStr">
        <is>
          <t>BOOK</t>
        </is>
      </c>
      <c r="BB1696" t="inlineStr">
        <is>
          <t>9781859848487</t>
        </is>
      </c>
      <c r="BC1696" t="inlineStr">
        <is>
          <t>32285003531885</t>
        </is>
      </c>
      <c r="BD1696" t="inlineStr">
        <is>
          <t>893805215</t>
        </is>
      </c>
    </row>
    <row r="1697">
      <c r="A1697" t="inlineStr">
        <is>
          <t>No</t>
        </is>
      </c>
      <c r="B1697" t="inlineStr">
        <is>
          <t>GV943 .N38 1981</t>
        </is>
      </c>
      <c r="C1697" t="inlineStr">
        <is>
          <t>0                      GV 0943000N  38          1981</t>
        </is>
      </c>
      <c r="D1697" t="inlineStr">
        <is>
          <t>Soccer / Richard L. Nelson ; cover photo by Max Winter ; illustrations by Milton M. Myers ; photography by James L. Morner.</t>
        </is>
      </c>
      <c r="F1697" t="inlineStr">
        <is>
          <t>No</t>
        </is>
      </c>
      <c r="G1697" t="inlineStr">
        <is>
          <t>1</t>
        </is>
      </c>
      <c r="H1697" t="inlineStr">
        <is>
          <t>No</t>
        </is>
      </c>
      <c r="I1697" t="inlineStr">
        <is>
          <t>No</t>
        </is>
      </c>
      <c r="J1697" t="inlineStr">
        <is>
          <t>0</t>
        </is>
      </c>
      <c r="K1697" t="inlineStr">
        <is>
          <t>Nelson, Richard L.</t>
        </is>
      </c>
      <c r="L1697" t="inlineStr">
        <is>
          <t>Dubuque, Iowa : W.C. Brown Co., c1981.</t>
        </is>
      </c>
      <c r="M1697" t="inlineStr">
        <is>
          <t>1981</t>
        </is>
      </c>
      <c r="N1697" t="inlineStr">
        <is>
          <t>4th ed.</t>
        </is>
      </c>
      <c r="O1697" t="inlineStr">
        <is>
          <t>eng</t>
        </is>
      </c>
      <c r="P1697" t="inlineStr">
        <is>
          <t>iau</t>
        </is>
      </c>
      <c r="Q1697" t="inlineStr">
        <is>
          <t>Physical education activities series</t>
        </is>
      </c>
      <c r="R1697" t="inlineStr">
        <is>
          <t xml:space="preserve">GV </t>
        </is>
      </c>
      <c r="S1697" t="n">
        <v>18</v>
      </c>
      <c r="T1697" t="n">
        <v>18</v>
      </c>
      <c r="U1697" t="inlineStr">
        <is>
          <t>2002-09-22</t>
        </is>
      </c>
      <c r="V1697" t="inlineStr">
        <is>
          <t>2002-09-22</t>
        </is>
      </c>
      <c r="W1697" t="inlineStr">
        <is>
          <t>1990-04-30</t>
        </is>
      </c>
      <c r="X1697" t="inlineStr">
        <is>
          <t>1990-04-30</t>
        </is>
      </c>
      <c r="Y1697" t="n">
        <v>101</v>
      </c>
      <c r="Z1697" t="n">
        <v>89</v>
      </c>
      <c r="AA1697" t="n">
        <v>322</v>
      </c>
      <c r="AB1697" t="n">
        <v>2</v>
      </c>
      <c r="AC1697" t="n">
        <v>3</v>
      </c>
      <c r="AD1697" t="n">
        <v>3</v>
      </c>
      <c r="AE1697" t="n">
        <v>9</v>
      </c>
      <c r="AF1697" t="n">
        <v>2</v>
      </c>
      <c r="AG1697" t="n">
        <v>7</v>
      </c>
      <c r="AH1697" t="n">
        <v>0</v>
      </c>
      <c r="AI1697" t="n">
        <v>1</v>
      </c>
      <c r="AJ1697" t="n">
        <v>0</v>
      </c>
      <c r="AK1697" t="n">
        <v>1</v>
      </c>
      <c r="AL1697" t="n">
        <v>1</v>
      </c>
      <c r="AM1697" t="n">
        <v>2</v>
      </c>
      <c r="AN1697" t="n">
        <v>0</v>
      </c>
      <c r="AO1697" t="n">
        <v>0</v>
      </c>
      <c r="AP1697" t="inlineStr">
        <is>
          <t>No</t>
        </is>
      </c>
      <c r="AQ1697" t="inlineStr">
        <is>
          <t>No</t>
        </is>
      </c>
      <c r="AS1697">
        <f>HYPERLINK("https://creighton-primo.hosted.exlibrisgroup.com/primo-explore/search?tab=default_tab&amp;search_scope=EVERYTHING&amp;vid=01CRU&amp;lang=en_US&amp;offset=0&amp;query=any,contains,991005112289702656","Catalog Record")</f>
        <v/>
      </c>
      <c r="AT1697">
        <f>HYPERLINK("http://www.worldcat.org/oclc/7455985","WorldCat Record")</f>
        <v/>
      </c>
      <c r="AU1697" t="inlineStr">
        <is>
          <t>1662823:eng</t>
        </is>
      </c>
      <c r="AV1697" t="inlineStr">
        <is>
          <t>7455985</t>
        </is>
      </c>
      <c r="AW1697" t="inlineStr">
        <is>
          <t>991005112289702656</t>
        </is>
      </c>
      <c r="AX1697" t="inlineStr">
        <is>
          <t>991005112289702656</t>
        </is>
      </c>
      <c r="AY1697" t="inlineStr">
        <is>
          <t>2264171240002656</t>
        </is>
      </c>
      <c r="AZ1697" t="inlineStr">
        <is>
          <t>BOOK</t>
        </is>
      </c>
      <c r="BB1697" t="inlineStr">
        <is>
          <t>9780697070944</t>
        </is>
      </c>
      <c r="BC1697" t="inlineStr">
        <is>
          <t>32285000128958</t>
        </is>
      </c>
      <c r="BD1697" t="inlineStr">
        <is>
          <t>893430868</t>
        </is>
      </c>
    </row>
    <row r="1698">
      <c r="A1698" t="inlineStr">
        <is>
          <t>No</t>
        </is>
      </c>
      <c r="B1698" t="inlineStr">
        <is>
          <t>GV943.8 .H36 2006</t>
        </is>
      </c>
      <c r="C1698" t="inlineStr">
        <is>
          <t>0                      GV 0943800H  36          2006</t>
        </is>
      </c>
      <c r="D1698" t="inlineStr">
        <is>
          <t>Soccerhead : an accidental journey into the heart of the American game / Jim Haner.</t>
        </is>
      </c>
      <c r="F1698" t="inlineStr">
        <is>
          <t>No</t>
        </is>
      </c>
      <c r="G1698" t="inlineStr">
        <is>
          <t>1</t>
        </is>
      </c>
      <c r="H1698" t="inlineStr">
        <is>
          <t>No</t>
        </is>
      </c>
      <c r="I1698" t="inlineStr">
        <is>
          <t>No</t>
        </is>
      </c>
      <c r="J1698" t="inlineStr">
        <is>
          <t>0</t>
        </is>
      </c>
      <c r="K1698" t="inlineStr">
        <is>
          <t>Haner, Jim, 1957-</t>
        </is>
      </c>
      <c r="L1698" t="inlineStr">
        <is>
          <t>New York : North Point Press, 2006.</t>
        </is>
      </c>
      <c r="M1698" t="inlineStr">
        <is>
          <t>2006</t>
        </is>
      </c>
      <c r="N1698" t="inlineStr">
        <is>
          <t>1st ed.</t>
        </is>
      </c>
      <c r="O1698" t="inlineStr">
        <is>
          <t>eng</t>
        </is>
      </c>
      <c r="P1698" t="inlineStr">
        <is>
          <t>nyu</t>
        </is>
      </c>
      <c r="R1698" t="inlineStr">
        <is>
          <t xml:space="preserve">GV </t>
        </is>
      </c>
      <c r="S1698" t="n">
        <v>3</v>
      </c>
      <c r="T1698" t="n">
        <v>3</v>
      </c>
      <c r="U1698" t="inlineStr">
        <is>
          <t>2007-12-04</t>
        </is>
      </c>
      <c r="V1698" t="inlineStr">
        <is>
          <t>2007-12-04</t>
        </is>
      </c>
      <c r="W1698" t="inlineStr">
        <is>
          <t>2006-02-07</t>
        </is>
      </c>
      <c r="X1698" t="inlineStr">
        <is>
          <t>2006-02-07</t>
        </is>
      </c>
      <c r="Y1698" t="n">
        <v>546</v>
      </c>
      <c r="Z1698" t="n">
        <v>526</v>
      </c>
      <c r="AA1698" t="n">
        <v>559</v>
      </c>
      <c r="AB1698" t="n">
        <v>4</v>
      </c>
      <c r="AC1698" t="n">
        <v>4</v>
      </c>
      <c r="AD1698" t="n">
        <v>6</v>
      </c>
      <c r="AE1698" t="n">
        <v>6</v>
      </c>
      <c r="AF1698" t="n">
        <v>2</v>
      </c>
      <c r="AG1698" t="n">
        <v>2</v>
      </c>
      <c r="AH1698" t="n">
        <v>1</v>
      </c>
      <c r="AI1698" t="n">
        <v>1</v>
      </c>
      <c r="AJ1698" t="n">
        <v>1</v>
      </c>
      <c r="AK1698" t="n">
        <v>1</v>
      </c>
      <c r="AL1698" t="n">
        <v>2</v>
      </c>
      <c r="AM1698" t="n">
        <v>2</v>
      </c>
      <c r="AN1698" t="n">
        <v>0</v>
      </c>
      <c r="AO1698" t="n">
        <v>0</v>
      </c>
      <c r="AP1698" t="inlineStr">
        <is>
          <t>No</t>
        </is>
      </c>
      <c r="AQ1698" t="inlineStr">
        <is>
          <t>No</t>
        </is>
      </c>
      <c r="AS1698">
        <f>HYPERLINK("https://creighton-primo.hosted.exlibrisgroup.com/primo-explore/search?tab=default_tab&amp;search_scope=EVERYTHING&amp;vid=01CRU&amp;lang=en_US&amp;offset=0&amp;query=any,contains,991004734739702656","Catalog Record")</f>
        <v/>
      </c>
      <c r="AT1698">
        <f>HYPERLINK("http://www.worldcat.org/oclc/58545985","WorldCat Record")</f>
        <v/>
      </c>
      <c r="AU1698" t="inlineStr">
        <is>
          <t>1151401:eng</t>
        </is>
      </c>
      <c r="AV1698" t="inlineStr">
        <is>
          <t>58545985</t>
        </is>
      </c>
      <c r="AW1698" t="inlineStr">
        <is>
          <t>991004734739702656</t>
        </is>
      </c>
      <c r="AX1698" t="inlineStr">
        <is>
          <t>991004734739702656</t>
        </is>
      </c>
      <c r="AY1698" t="inlineStr">
        <is>
          <t>2255004200002656</t>
        </is>
      </c>
      <c r="AZ1698" t="inlineStr">
        <is>
          <t>BOOK</t>
        </is>
      </c>
      <c r="BB1698" t="inlineStr">
        <is>
          <t>9780865476943</t>
        </is>
      </c>
      <c r="BC1698" t="inlineStr">
        <is>
          <t>32285005182984</t>
        </is>
      </c>
      <c r="BD1698" t="inlineStr">
        <is>
          <t>893625026</t>
        </is>
      </c>
    </row>
    <row r="1699">
      <c r="A1699" t="inlineStr">
        <is>
          <t>No</t>
        </is>
      </c>
      <c r="B1699" t="inlineStr">
        <is>
          <t>GV943.8 .L86 1992</t>
        </is>
      </c>
      <c r="C1699" t="inlineStr">
        <is>
          <t>0                      GV 0943800L  86          1992</t>
        </is>
      </c>
      <c r="D1699" t="inlineStr">
        <is>
          <t>Soccer : winning techniques / by Joseph A. Luxbacher.</t>
        </is>
      </c>
      <c r="F1699" t="inlineStr">
        <is>
          <t>No</t>
        </is>
      </c>
      <c r="G1699" t="inlineStr">
        <is>
          <t>1</t>
        </is>
      </c>
      <c r="H1699" t="inlineStr">
        <is>
          <t>No</t>
        </is>
      </c>
      <c r="I1699" t="inlineStr">
        <is>
          <t>No</t>
        </is>
      </c>
      <c r="J1699" t="inlineStr">
        <is>
          <t>0</t>
        </is>
      </c>
      <c r="K1699" t="inlineStr">
        <is>
          <t>Luxbacher, Joe.</t>
        </is>
      </c>
      <c r="L1699" t="inlineStr">
        <is>
          <t>Dubuque, IA : Eddie Bowers Publishing Co., 1992.</t>
        </is>
      </c>
      <c r="M1699" t="inlineStr">
        <is>
          <t>1992</t>
        </is>
      </c>
      <c r="N1699" t="inlineStr">
        <is>
          <t>2nd ed.</t>
        </is>
      </c>
      <c r="O1699" t="inlineStr">
        <is>
          <t>eng</t>
        </is>
      </c>
      <c r="P1699" t="inlineStr">
        <is>
          <t>iau</t>
        </is>
      </c>
      <c r="R1699" t="inlineStr">
        <is>
          <t xml:space="preserve">GV </t>
        </is>
      </c>
      <c r="S1699" t="n">
        <v>18</v>
      </c>
      <c r="T1699" t="n">
        <v>18</v>
      </c>
      <c r="U1699" t="inlineStr">
        <is>
          <t>2003-11-11</t>
        </is>
      </c>
      <c r="V1699" t="inlineStr">
        <is>
          <t>2003-11-11</t>
        </is>
      </c>
      <c r="W1699" t="inlineStr">
        <is>
          <t>1993-05-19</t>
        </is>
      </c>
      <c r="X1699" t="inlineStr">
        <is>
          <t>1993-05-19</t>
        </is>
      </c>
      <c r="Y1699" t="n">
        <v>38</v>
      </c>
      <c r="Z1699" t="n">
        <v>36</v>
      </c>
      <c r="AA1699" t="n">
        <v>137</v>
      </c>
      <c r="AB1699" t="n">
        <v>2</v>
      </c>
      <c r="AC1699" t="n">
        <v>2</v>
      </c>
      <c r="AD1699" t="n">
        <v>2</v>
      </c>
      <c r="AE1699" t="n">
        <v>3</v>
      </c>
      <c r="AF1699" t="n">
        <v>2</v>
      </c>
      <c r="AG1699" t="n">
        <v>3</v>
      </c>
      <c r="AH1699" t="n">
        <v>0</v>
      </c>
      <c r="AI1699" t="n">
        <v>0</v>
      </c>
      <c r="AJ1699" t="n">
        <v>0</v>
      </c>
      <c r="AK1699" t="n">
        <v>0</v>
      </c>
      <c r="AL1699" t="n">
        <v>0</v>
      </c>
      <c r="AM1699" t="n">
        <v>0</v>
      </c>
      <c r="AN1699" t="n">
        <v>0</v>
      </c>
      <c r="AO1699" t="n">
        <v>0</v>
      </c>
      <c r="AP1699" t="inlineStr">
        <is>
          <t>No</t>
        </is>
      </c>
      <c r="AQ1699" t="inlineStr">
        <is>
          <t>Yes</t>
        </is>
      </c>
      <c r="AR1699">
        <f>HYPERLINK("http://catalog.hathitrust.org/Record/007044836","HathiTrust Record")</f>
        <v/>
      </c>
      <c r="AS1699">
        <f>HYPERLINK("https://creighton-primo.hosted.exlibrisgroup.com/primo-explore/search?tab=default_tab&amp;search_scope=EVERYTHING&amp;vid=01CRU&amp;lang=en_US&amp;offset=0&amp;query=any,contains,991002022399702656","Catalog Record")</f>
        <v/>
      </c>
      <c r="AT1699">
        <f>HYPERLINK("http://www.worldcat.org/oclc/25726913","WorldCat Record")</f>
        <v/>
      </c>
      <c r="AU1699" t="inlineStr">
        <is>
          <t>3372435169:eng</t>
        </is>
      </c>
      <c r="AV1699" t="inlineStr">
        <is>
          <t>25726913</t>
        </is>
      </c>
      <c r="AW1699" t="inlineStr">
        <is>
          <t>991002022399702656</t>
        </is>
      </c>
      <c r="AX1699" t="inlineStr">
        <is>
          <t>991002022399702656</t>
        </is>
      </c>
      <c r="AY1699" t="inlineStr">
        <is>
          <t>2266588420002656</t>
        </is>
      </c>
      <c r="AZ1699" t="inlineStr">
        <is>
          <t>BOOK</t>
        </is>
      </c>
      <c r="BC1699" t="inlineStr">
        <is>
          <t>32285001582096</t>
        </is>
      </c>
      <c r="BD1699" t="inlineStr">
        <is>
          <t>893238545</t>
        </is>
      </c>
    </row>
    <row r="1700">
      <c r="A1700" t="inlineStr">
        <is>
          <t>No</t>
        </is>
      </c>
      <c r="B1700" t="inlineStr">
        <is>
          <t>GV943.8 .M29 1983</t>
        </is>
      </c>
      <c r="C1700" t="inlineStr">
        <is>
          <t>0                      GV 0943800M  29          1983</t>
        </is>
      </c>
      <c r="D1700" t="inlineStr">
        <is>
          <t>Complete soccer handbook / Alan E. Maher.</t>
        </is>
      </c>
      <c r="F1700" t="inlineStr">
        <is>
          <t>No</t>
        </is>
      </c>
      <c r="G1700" t="inlineStr">
        <is>
          <t>1</t>
        </is>
      </c>
      <c r="H1700" t="inlineStr">
        <is>
          <t>No</t>
        </is>
      </c>
      <c r="I1700" t="inlineStr">
        <is>
          <t>No</t>
        </is>
      </c>
      <c r="J1700" t="inlineStr">
        <is>
          <t>0</t>
        </is>
      </c>
      <c r="K1700" t="inlineStr">
        <is>
          <t>Maher, Alan E., 1930-</t>
        </is>
      </c>
      <c r="L1700" t="inlineStr">
        <is>
          <t>West Nyack, N.Y. : Parker Pub. Co., c1983.</t>
        </is>
      </c>
      <c r="M1700" t="inlineStr">
        <is>
          <t>1983</t>
        </is>
      </c>
      <c r="O1700" t="inlineStr">
        <is>
          <t>eng</t>
        </is>
      </c>
      <c r="P1700" t="inlineStr">
        <is>
          <t>nyu</t>
        </is>
      </c>
      <c r="R1700" t="inlineStr">
        <is>
          <t xml:space="preserve">GV </t>
        </is>
      </c>
      <c r="S1700" t="n">
        <v>16</v>
      </c>
      <c r="T1700" t="n">
        <v>16</v>
      </c>
      <c r="U1700" t="inlineStr">
        <is>
          <t>2004-10-09</t>
        </is>
      </c>
      <c r="V1700" t="inlineStr">
        <is>
          <t>2004-10-09</t>
        </is>
      </c>
      <c r="W1700" t="inlineStr">
        <is>
          <t>1990-07-31</t>
        </is>
      </c>
      <c r="X1700" t="inlineStr">
        <is>
          <t>1990-07-31</t>
        </is>
      </c>
      <c r="Y1700" t="n">
        <v>327</v>
      </c>
      <c r="Z1700" t="n">
        <v>299</v>
      </c>
      <c r="AA1700" t="n">
        <v>299</v>
      </c>
      <c r="AB1700" t="n">
        <v>2</v>
      </c>
      <c r="AC1700" t="n">
        <v>2</v>
      </c>
      <c r="AD1700" t="n">
        <v>8</v>
      </c>
      <c r="AE1700" t="n">
        <v>8</v>
      </c>
      <c r="AF1700" t="n">
        <v>6</v>
      </c>
      <c r="AG1700" t="n">
        <v>6</v>
      </c>
      <c r="AH1700" t="n">
        <v>1</v>
      </c>
      <c r="AI1700" t="n">
        <v>1</v>
      </c>
      <c r="AJ1700" t="n">
        <v>2</v>
      </c>
      <c r="AK1700" t="n">
        <v>2</v>
      </c>
      <c r="AL1700" t="n">
        <v>1</v>
      </c>
      <c r="AM1700" t="n">
        <v>1</v>
      </c>
      <c r="AN1700" t="n">
        <v>0</v>
      </c>
      <c r="AO1700" t="n">
        <v>0</v>
      </c>
      <c r="AP1700" t="inlineStr">
        <is>
          <t>No</t>
        </is>
      </c>
      <c r="AQ1700" t="inlineStr">
        <is>
          <t>No</t>
        </is>
      </c>
      <c r="AS1700">
        <f>HYPERLINK("https://creighton-primo.hosted.exlibrisgroup.com/primo-explore/search?tab=default_tab&amp;search_scope=EVERYTHING&amp;vid=01CRU&amp;lang=en_US&amp;offset=0&amp;query=any,contains,991000153579702656","Catalog Record")</f>
        <v/>
      </c>
      <c r="AT1700">
        <f>HYPERLINK("http://www.worldcat.org/oclc/9219154","WorldCat Record")</f>
        <v/>
      </c>
      <c r="AU1700" t="inlineStr">
        <is>
          <t>43004918:eng</t>
        </is>
      </c>
      <c r="AV1700" t="inlineStr">
        <is>
          <t>9219154</t>
        </is>
      </c>
      <c r="AW1700" t="inlineStr">
        <is>
          <t>991000153579702656</t>
        </is>
      </c>
      <c r="AX1700" t="inlineStr">
        <is>
          <t>991000153579702656</t>
        </is>
      </c>
      <c r="AY1700" t="inlineStr">
        <is>
          <t>2268365650002656</t>
        </is>
      </c>
      <c r="AZ1700" t="inlineStr">
        <is>
          <t>BOOK</t>
        </is>
      </c>
      <c r="BB1700" t="inlineStr">
        <is>
          <t>9780131633865</t>
        </is>
      </c>
      <c r="BC1700" t="inlineStr">
        <is>
          <t>32285000248962</t>
        </is>
      </c>
      <c r="BD1700" t="inlineStr">
        <is>
          <t>893224781</t>
        </is>
      </c>
    </row>
    <row r="1701">
      <c r="A1701" t="inlineStr">
        <is>
          <t>No</t>
        </is>
      </c>
      <c r="B1701" t="inlineStr">
        <is>
          <t>GV943.8 .R356 2003</t>
        </is>
      </c>
      <c r="C1701" t="inlineStr">
        <is>
          <t>0                      GV 0943800R  356         2003</t>
        </is>
      </c>
      <c r="D1701" t="inlineStr">
        <is>
          <t>Coaching soccer successfully / Roy Rees, Cor van der Meer.</t>
        </is>
      </c>
      <c r="F1701" t="inlineStr">
        <is>
          <t>No</t>
        </is>
      </c>
      <c r="G1701" t="inlineStr">
        <is>
          <t>1</t>
        </is>
      </c>
      <c r="H1701" t="inlineStr">
        <is>
          <t>No</t>
        </is>
      </c>
      <c r="I1701" t="inlineStr">
        <is>
          <t>No</t>
        </is>
      </c>
      <c r="J1701" t="inlineStr">
        <is>
          <t>0</t>
        </is>
      </c>
      <c r="K1701" t="inlineStr">
        <is>
          <t>Rees, Roy.</t>
        </is>
      </c>
      <c r="L1701" t="inlineStr">
        <is>
          <t>Champaign, IL : Human Kinetics, c2003.</t>
        </is>
      </c>
      <c r="M1701" t="inlineStr">
        <is>
          <t>2003</t>
        </is>
      </c>
      <c r="N1701" t="inlineStr">
        <is>
          <t>2nd ed.</t>
        </is>
      </c>
      <c r="O1701" t="inlineStr">
        <is>
          <t>eng</t>
        </is>
      </c>
      <c r="P1701" t="inlineStr">
        <is>
          <t>ilu</t>
        </is>
      </c>
      <c r="R1701" t="inlineStr">
        <is>
          <t xml:space="preserve">GV </t>
        </is>
      </c>
      <c r="S1701" t="n">
        <v>3</v>
      </c>
      <c r="T1701" t="n">
        <v>3</v>
      </c>
      <c r="U1701" t="inlineStr">
        <is>
          <t>2005-02-16</t>
        </is>
      </c>
      <c r="V1701" t="inlineStr">
        <is>
          <t>2005-02-16</t>
        </is>
      </c>
      <c r="W1701" t="inlineStr">
        <is>
          <t>2003-09-30</t>
        </is>
      </c>
      <c r="X1701" t="inlineStr">
        <is>
          <t>2003-09-30</t>
        </is>
      </c>
      <c r="Y1701" t="n">
        <v>391</v>
      </c>
      <c r="Z1701" t="n">
        <v>314</v>
      </c>
      <c r="AA1701" t="n">
        <v>924</v>
      </c>
      <c r="AB1701" t="n">
        <v>1</v>
      </c>
      <c r="AC1701" t="n">
        <v>7</v>
      </c>
      <c r="AD1701" t="n">
        <v>3</v>
      </c>
      <c r="AE1701" t="n">
        <v>15</v>
      </c>
      <c r="AF1701" t="n">
        <v>3</v>
      </c>
      <c r="AG1701" t="n">
        <v>6</v>
      </c>
      <c r="AH1701" t="n">
        <v>0</v>
      </c>
      <c r="AI1701" t="n">
        <v>3</v>
      </c>
      <c r="AJ1701" t="n">
        <v>1</v>
      </c>
      <c r="AK1701" t="n">
        <v>6</v>
      </c>
      <c r="AL1701" t="n">
        <v>0</v>
      </c>
      <c r="AM1701" t="n">
        <v>5</v>
      </c>
      <c r="AN1701" t="n">
        <v>0</v>
      </c>
      <c r="AO1701" t="n">
        <v>0</v>
      </c>
      <c r="AP1701" t="inlineStr">
        <is>
          <t>No</t>
        </is>
      </c>
      <c r="AQ1701" t="inlineStr">
        <is>
          <t>No</t>
        </is>
      </c>
      <c r="AS1701">
        <f>HYPERLINK("https://creighton-primo.hosted.exlibrisgroup.com/primo-explore/search?tab=default_tab&amp;search_scope=EVERYTHING&amp;vid=01CRU&amp;lang=en_US&amp;offset=0&amp;query=any,contains,991004144279702656","Catalog Record")</f>
        <v/>
      </c>
      <c r="AT1701">
        <f>HYPERLINK("http://www.worldcat.org/oclc/51336495","WorldCat Record")</f>
        <v/>
      </c>
      <c r="AU1701" t="inlineStr">
        <is>
          <t>733567:eng</t>
        </is>
      </c>
      <c r="AV1701" t="inlineStr">
        <is>
          <t>51336495</t>
        </is>
      </c>
      <c r="AW1701" t="inlineStr">
        <is>
          <t>991004144279702656</t>
        </is>
      </c>
      <c r="AX1701" t="inlineStr">
        <is>
          <t>991004144279702656</t>
        </is>
      </c>
      <c r="AY1701" t="inlineStr">
        <is>
          <t>2256581280002656</t>
        </is>
      </c>
      <c r="AZ1701" t="inlineStr">
        <is>
          <t>BOOK</t>
        </is>
      </c>
      <c r="BB1701" t="inlineStr">
        <is>
          <t>9780736046091</t>
        </is>
      </c>
      <c r="BC1701" t="inlineStr">
        <is>
          <t>32285004791884</t>
        </is>
      </c>
      <c r="BD1701" t="inlineStr">
        <is>
          <t>893900865</t>
        </is>
      </c>
    </row>
    <row r="1702">
      <c r="A1702" t="inlineStr">
        <is>
          <t>No</t>
        </is>
      </c>
      <c r="B1702" t="inlineStr">
        <is>
          <t>GV943.8 .W45 2001</t>
        </is>
      </c>
      <c r="C1702" t="inlineStr">
        <is>
          <t>0                      GV 0943800W  45          2001</t>
        </is>
      </c>
      <c r="D1702" t="inlineStr">
        <is>
          <t>Developing youth soccer players / Horst Wein.</t>
        </is>
      </c>
      <c r="F1702" t="inlineStr">
        <is>
          <t>No</t>
        </is>
      </c>
      <c r="G1702" t="inlineStr">
        <is>
          <t>1</t>
        </is>
      </c>
      <c r="H1702" t="inlineStr">
        <is>
          <t>No</t>
        </is>
      </c>
      <c r="I1702" t="inlineStr">
        <is>
          <t>No</t>
        </is>
      </c>
      <c r="J1702" t="inlineStr">
        <is>
          <t>0</t>
        </is>
      </c>
      <c r="K1702" t="inlineStr">
        <is>
          <t>Wein, Horst.</t>
        </is>
      </c>
      <c r="L1702" t="inlineStr">
        <is>
          <t>Champaign, IL : Human Kinetics, c2001.</t>
        </is>
      </c>
      <c r="M1702" t="inlineStr">
        <is>
          <t>2001</t>
        </is>
      </c>
      <c r="O1702" t="inlineStr">
        <is>
          <t>eng</t>
        </is>
      </c>
      <c r="P1702" t="inlineStr">
        <is>
          <t>ilu</t>
        </is>
      </c>
      <c r="R1702" t="inlineStr">
        <is>
          <t xml:space="preserve">GV </t>
        </is>
      </c>
      <c r="S1702" t="n">
        <v>2</v>
      </c>
      <c r="T1702" t="n">
        <v>2</v>
      </c>
      <c r="U1702" t="inlineStr">
        <is>
          <t>2004-10-28</t>
        </is>
      </c>
      <c r="V1702" t="inlineStr">
        <is>
          <t>2004-10-28</t>
        </is>
      </c>
      <c r="W1702" t="inlineStr">
        <is>
          <t>2001-01-03</t>
        </is>
      </c>
      <c r="X1702" t="inlineStr">
        <is>
          <t>2001-01-03</t>
        </is>
      </c>
      <c r="Y1702" t="n">
        <v>425</v>
      </c>
      <c r="Z1702" t="n">
        <v>337</v>
      </c>
      <c r="AA1702" t="n">
        <v>353</v>
      </c>
      <c r="AB1702" t="n">
        <v>4</v>
      </c>
      <c r="AC1702" t="n">
        <v>4</v>
      </c>
      <c r="AD1702" t="n">
        <v>2</v>
      </c>
      <c r="AE1702" t="n">
        <v>2</v>
      </c>
      <c r="AF1702" t="n">
        <v>0</v>
      </c>
      <c r="AG1702" t="n">
        <v>0</v>
      </c>
      <c r="AH1702" t="n">
        <v>0</v>
      </c>
      <c r="AI1702" t="n">
        <v>0</v>
      </c>
      <c r="AJ1702" t="n">
        <v>0</v>
      </c>
      <c r="AK1702" t="n">
        <v>0</v>
      </c>
      <c r="AL1702" t="n">
        <v>2</v>
      </c>
      <c r="AM1702" t="n">
        <v>2</v>
      </c>
      <c r="AN1702" t="n">
        <v>0</v>
      </c>
      <c r="AO1702" t="n">
        <v>0</v>
      </c>
      <c r="AP1702" t="inlineStr">
        <is>
          <t>No</t>
        </is>
      </c>
      <c r="AQ1702" t="inlineStr">
        <is>
          <t>No</t>
        </is>
      </c>
      <c r="AS1702">
        <f>HYPERLINK("https://creighton-primo.hosted.exlibrisgroup.com/primo-explore/search?tab=default_tab&amp;search_scope=EVERYTHING&amp;vid=01CRU&amp;lang=en_US&amp;offset=0&amp;query=any,contains,991003342349702656","Catalog Record")</f>
        <v/>
      </c>
      <c r="AT1702">
        <f>HYPERLINK("http://www.worldcat.org/oclc/43569434","WorldCat Record")</f>
        <v/>
      </c>
      <c r="AU1702" t="inlineStr">
        <is>
          <t>3856578891:eng</t>
        </is>
      </c>
      <c r="AV1702" t="inlineStr">
        <is>
          <t>43569434</t>
        </is>
      </c>
      <c r="AW1702" t="inlineStr">
        <is>
          <t>991003342349702656</t>
        </is>
      </c>
      <c r="AX1702" t="inlineStr">
        <is>
          <t>991003342349702656</t>
        </is>
      </c>
      <c r="AY1702" t="inlineStr">
        <is>
          <t>2263206800002656</t>
        </is>
      </c>
      <c r="AZ1702" t="inlineStr">
        <is>
          <t>BOOK</t>
        </is>
      </c>
      <c r="BB1702" t="inlineStr">
        <is>
          <t>9780736003544</t>
        </is>
      </c>
      <c r="BC1702" t="inlineStr">
        <is>
          <t>32285004279112</t>
        </is>
      </c>
      <c r="BD1702" t="inlineStr">
        <is>
          <t>893705140</t>
        </is>
      </c>
    </row>
    <row r="1703">
      <c r="A1703" t="inlineStr">
        <is>
          <t>No</t>
        </is>
      </c>
      <c r="B1703" t="inlineStr">
        <is>
          <t>GV943.8 .Y688 1992</t>
        </is>
      </c>
      <c r="C1703" t="inlineStr">
        <is>
          <t>0                      GV 0943800Y  688         1992</t>
        </is>
      </c>
      <c r="D1703" t="inlineStr">
        <is>
          <t>Youth soccer : a complete handbook / Eugene W. Brown, editor.</t>
        </is>
      </c>
      <c r="F1703" t="inlineStr">
        <is>
          <t>No</t>
        </is>
      </c>
      <c r="G1703" t="inlineStr">
        <is>
          <t>1</t>
        </is>
      </c>
      <c r="H1703" t="inlineStr">
        <is>
          <t>No</t>
        </is>
      </c>
      <c r="I1703" t="inlineStr">
        <is>
          <t>No</t>
        </is>
      </c>
      <c r="J1703" t="inlineStr">
        <is>
          <t>0</t>
        </is>
      </c>
      <c r="L1703" t="inlineStr">
        <is>
          <t>Dubuque, IA : Brown &amp; Benchmark, c1992.</t>
        </is>
      </c>
      <c r="M1703" t="inlineStr">
        <is>
          <t>1992</t>
        </is>
      </c>
      <c r="O1703" t="inlineStr">
        <is>
          <t>eng</t>
        </is>
      </c>
      <c r="P1703" t="inlineStr">
        <is>
          <t>iau</t>
        </is>
      </c>
      <c r="Q1703" t="inlineStr">
        <is>
          <t>Youth sports series</t>
        </is>
      </c>
      <c r="R1703" t="inlineStr">
        <is>
          <t xml:space="preserve">GV </t>
        </is>
      </c>
      <c r="S1703" t="n">
        <v>20</v>
      </c>
      <c r="T1703" t="n">
        <v>20</v>
      </c>
      <c r="U1703" t="inlineStr">
        <is>
          <t>2004-10-28</t>
        </is>
      </c>
      <c r="V1703" t="inlineStr">
        <is>
          <t>2004-10-28</t>
        </is>
      </c>
      <c r="W1703" t="inlineStr">
        <is>
          <t>1992-10-19</t>
        </is>
      </c>
      <c r="X1703" t="inlineStr">
        <is>
          <t>1992-10-19</t>
        </is>
      </c>
      <c r="Y1703" t="n">
        <v>188</v>
      </c>
      <c r="Z1703" t="n">
        <v>171</v>
      </c>
      <c r="AA1703" t="n">
        <v>231</v>
      </c>
      <c r="AB1703" t="n">
        <v>2</v>
      </c>
      <c r="AC1703" t="n">
        <v>2</v>
      </c>
      <c r="AD1703" t="n">
        <v>1</v>
      </c>
      <c r="AE1703" t="n">
        <v>2</v>
      </c>
      <c r="AF1703" t="n">
        <v>0</v>
      </c>
      <c r="AG1703" t="n">
        <v>1</v>
      </c>
      <c r="AH1703" t="n">
        <v>0</v>
      </c>
      <c r="AI1703" t="n">
        <v>0</v>
      </c>
      <c r="AJ1703" t="n">
        <v>0</v>
      </c>
      <c r="AK1703" t="n">
        <v>1</v>
      </c>
      <c r="AL1703" t="n">
        <v>1</v>
      </c>
      <c r="AM1703" t="n">
        <v>1</v>
      </c>
      <c r="AN1703" t="n">
        <v>0</v>
      </c>
      <c r="AO1703" t="n">
        <v>0</v>
      </c>
      <c r="AP1703" t="inlineStr">
        <is>
          <t>No</t>
        </is>
      </c>
      <c r="AQ1703" t="inlineStr">
        <is>
          <t>Yes</t>
        </is>
      </c>
      <c r="AR1703">
        <f>HYPERLINK("http://catalog.hathitrust.org/Record/003597528","HathiTrust Record")</f>
        <v/>
      </c>
      <c r="AS1703">
        <f>HYPERLINK("https://creighton-primo.hosted.exlibrisgroup.com/primo-explore/search?tab=default_tab&amp;search_scope=EVERYTHING&amp;vid=01CRU&amp;lang=en_US&amp;offset=0&amp;query=any,contains,991002017659702656","Catalog Record")</f>
        <v/>
      </c>
      <c r="AT1703">
        <f>HYPERLINK("http://www.worldcat.org/oclc/25670432","WorldCat Record")</f>
        <v/>
      </c>
      <c r="AU1703" t="inlineStr">
        <is>
          <t>55573058:eng</t>
        </is>
      </c>
      <c r="AV1703" t="inlineStr">
        <is>
          <t>25670432</t>
        </is>
      </c>
      <c r="AW1703" t="inlineStr">
        <is>
          <t>991002017659702656</t>
        </is>
      </c>
      <c r="AX1703" t="inlineStr">
        <is>
          <t>991002017659702656</t>
        </is>
      </c>
      <c r="AY1703" t="inlineStr">
        <is>
          <t>2271816670002656</t>
        </is>
      </c>
      <c r="AZ1703" t="inlineStr">
        <is>
          <t>BOOK</t>
        </is>
      </c>
      <c r="BB1703" t="inlineStr">
        <is>
          <t>9780697148377</t>
        </is>
      </c>
      <c r="BC1703" t="inlineStr">
        <is>
          <t>32285001318558</t>
        </is>
      </c>
      <c r="BD1703" t="inlineStr">
        <is>
          <t>893773124</t>
        </is>
      </c>
    </row>
    <row r="1704">
      <c r="A1704" t="inlineStr">
        <is>
          <t>No</t>
        </is>
      </c>
      <c r="B1704" t="inlineStr">
        <is>
          <t>GV943.9.T7 M32 1983</t>
        </is>
      </c>
      <c r="C1704" t="inlineStr">
        <is>
          <t>0                      GV 0943900T  7                  M  32          1983</t>
        </is>
      </c>
      <c r="D1704" t="inlineStr">
        <is>
          <t>Winning soccer drills / James P. McGettigan.</t>
        </is>
      </c>
      <c r="F1704" t="inlineStr">
        <is>
          <t>No</t>
        </is>
      </c>
      <c r="G1704" t="inlineStr">
        <is>
          <t>1</t>
        </is>
      </c>
      <c r="H1704" t="inlineStr">
        <is>
          <t>No</t>
        </is>
      </c>
      <c r="I1704" t="inlineStr">
        <is>
          <t>No</t>
        </is>
      </c>
      <c r="J1704" t="inlineStr">
        <is>
          <t>0</t>
        </is>
      </c>
      <c r="K1704" t="inlineStr">
        <is>
          <t>McGettigan, James P., 1932-</t>
        </is>
      </c>
      <c r="L1704" t="inlineStr">
        <is>
          <t>West Nyack, N.Y. : Parker Pub. Co., 1983, c1980.</t>
        </is>
      </c>
      <c r="M1704" t="inlineStr">
        <is>
          <t>1983</t>
        </is>
      </c>
      <c r="N1704" t="inlineStr">
        <is>
          <t>Reward ed.</t>
        </is>
      </c>
      <c r="O1704" t="inlineStr">
        <is>
          <t>eng</t>
        </is>
      </c>
      <c r="P1704" t="inlineStr">
        <is>
          <t>nyu</t>
        </is>
      </c>
      <c r="R1704" t="inlineStr">
        <is>
          <t xml:space="preserve">GV </t>
        </is>
      </c>
      <c r="S1704" t="n">
        <v>5</v>
      </c>
      <c r="T1704" t="n">
        <v>5</v>
      </c>
      <c r="U1704" t="inlineStr">
        <is>
          <t>2001-03-25</t>
        </is>
      </c>
      <c r="V1704" t="inlineStr">
        <is>
          <t>2001-03-25</t>
        </is>
      </c>
      <c r="W1704" t="inlineStr">
        <is>
          <t>1990-07-31</t>
        </is>
      </c>
      <c r="X1704" t="inlineStr">
        <is>
          <t>1990-07-31</t>
        </is>
      </c>
      <c r="Y1704" t="n">
        <v>144</v>
      </c>
      <c r="Z1704" t="n">
        <v>127</v>
      </c>
      <c r="AA1704" t="n">
        <v>133</v>
      </c>
      <c r="AB1704" t="n">
        <v>2</v>
      </c>
      <c r="AC1704" t="n">
        <v>2</v>
      </c>
      <c r="AD1704" t="n">
        <v>2</v>
      </c>
      <c r="AE1704" t="n">
        <v>2</v>
      </c>
      <c r="AF1704" t="n">
        <v>1</v>
      </c>
      <c r="AG1704" t="n">
        <v>1</v>
      </c>
      <c r="AH1704" t="n">
        <v>0</v>
      </c>
      <c r="AI1704" t="n">
        <v>0</v>
      </c>
      <c r="AJ1704" t="n">
        <v>0</v>
      </c>
      <c r="AK1704" t="n">
        <v>0</v>
      </c>
      <c r="AL1704" t="n">
        <v>1</v>
      </c>
      <c r="AM1704" t="n">
        <v>1</v>
      </c>
      <c r="AN1704" t="n">
        <v>0</v>
      </c>
      <c r="AO1704" t="n">
        <v>0</v>
      </c>
      <c r="AP1704" t="inlineStr">
        <is>
          <t>No</t>
        </is>
      </c>
      <c r="AQ1704" t="inlineStr">
        <is>
          <t>Yes</t>
        </is>
      </c>
      <c r="AR1704">
        <f>HYPERLINK("http://catalog.hathitrust.org/Record/000646712","HathiTrust Record")</f>
        <v/>
      </c>
      <c r="AS1704">
        <f>HYPERLINK("https://creighton-primo.hosted.exlibrisgroup.com/primo-explore/search?tab=default_tab&amp;search_scope=EVERYTHING&amp;vid=01CRU&amp;lang=en_US&amp;offset=0&amp;query=any,contains,991000211929702656","Catalog Record")</f>
        <v/>
      </c>
      <c r="AT1704">
        <f>HYPERLINK("http://www.worldcat.org/oclc/9553810","WorldCat Record")</f>
        <v/>
      </c>
      <c r="AU1704" t="inlineStr">
        <is>
          <t>5624037646:eng</t>
        </is>
      </c>
      <c r="AV1704" t="inlineStr">
        <is>
          <t>9553810</t>
        </is>
      </c>
      <c r="AW1704" t="inlineStr">
        <is>
          <t>991000211929702656</t>
        </is>
      </c>
      <c r="AX1704" t="inlineStr">
        <is>
          <t>991000211929702656</t>
        </is>
      </c>
      <c r="AY1704" t="inlineStr">
        <is>
          <t>2269080860002656</t>
        </is>
      </c>
      <c r="AZ1704" t="inlineStr">
        <is>
          <t>BOOK</t>
        </is>
      </c>
      <c r="BB1704" t="inlineStr">
        <is>
          <t>9780139610868</t>
        </is>
      </c>
      <c r="BC1704" t="inlineStr">
        <is>
          <t>32285000249002</t>
        </is>
      </c>
      <c r="BD1704" t="inlineStr">
        <is>
          <t>893796513</t>
        </is>
      </c>
    </row>
    <row r="1705">
      <c r="A1705" t="inlineStr">
        <is>
          <t>No</t>
        </is>
      </c>
      <c r="B1705" t="inlineStr">
        <is>
          <t>GV944.2 .A97 2009</t>
        </is>
      </c>
      <c r="C1705" t="inlineStr">
        <is>
          <t>0                      GV 0944200A  97          2009</t>
        </is>
      </c>
      <c r="D1705" t="inlineStr">
        <is>
          <t>However tall the mountain : a dream, eight girls, and a journey home / Awista Ayub.</t>
        </is>
      </c>
      <c r="F1705" t="inlineStr">
        <is>
          <t>No</t>
        </is>
      </c>
      <c r="G1705" t="inlineStr">
        <is>
          <t>1</t>
        </is>
      </c>
      <c r="H1705" t="inlineStr">
        <is>
          <t>No</t>
        </is>
      </c>
      <c r="I1705" t="inlineStr">
        <is>
          <t>No</t>
        </is>
      </c>
      <c r="J1705" t="inlineStr">
        <is>
          <t>0</t>
        </is>
      </c>
      <c r="K1705" t="inlineStr">
        <is>
          <t>Ayub, Awista.</t>
        </is>
      </c>
      <c r="L1705" t="inlineStr">
        <is>
          <t>New York : Hyperion, c2009.</t>
        </is>
      </c>
      <c r="M1705" t="inlineStr">
        <is>
          <t>2009</t>
        </is>
      </c>
      <c r="N1705" t="inlineStr">
        <is>
          <t>1st ed.</t>
        </is>
      </c>
      <c r="O1705" t="inlineStr">
        <is>
          <t>eng</t>
        </is>
      </c>
      <c r="P1705" t="inlineStr">
        <is>
          <t>nyu</t>
        </is>
      </c>
      <c r="R1705" t="inlineStr">
        <is>
          <t xml:space="preserve">GV </t>
        </is>
      </c>
      <c r="S1705" t="n">
        <v>1</v>
      </c>
      <c r="T1705" t="n">
        <v>1</v>
      </c>
      <c r="U1705" t="inlineStr">
        <is>
          <t>2009-09-10</t>
        </is>
      </c>
      <c r="V1705" t="inlineStr">
        <is>
          <t>2009-09-10</t>
        </is>
      </c>
      <c r="W1705" t="inlineStr">
        <is>
          <t>2009-09-10</t>
        </is>
      </c>
      <c r="X1705" t="inlineStr">
        <is>
          <t>2009-09-10</t>
        </is>
      </c>
      <c r="Y1705" t="n">
        <v>573</v>
      </c>
      <c r="Z1705" t="n">
        <v>525</v>
      </c>
      <c r="AA1705" t="n">
        <v>545</v>
      </c>
      <c r="AB1705" t="n">
        <v>5</v>
      </c>
      <c r="AC1705" t="n">
        <v>5</v>
      </c>
      <c r="AD1705" t="n">
        <v>6</v>
      </c>
      <c r="AE1705" t="n">
        <v>6</v>
      </c>
      <c r="AF1705" t="n">
        <v>1</v>
      </c>
      <c r="AG1705" t="n">
        <v>1</v>
      </c>
      <c r="AH1705" t="n">
        <v>3</v>
      </c>
      <c r="AI1705" t="n">
        <v>3</v>
      </c>
      <c r="AJ1705" t="n">
        <v>2</v>
      </c>
      <c r="AK1705" t="n">
        <v>2</v>
      </c>
      <c r="AL1705" t="n">
        <v>2</v>
      </c>
      <c r="AM1705" t="n">
        <v>2</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HYPERLINK("https://creighton-primo.hosted.exlibrisgroup.com/primo-explore/search?tab=default_tab&amp;search_scope=EVERYTHING&amp;vid=01CRU&amp;lang=en_US&amp;offset=0&amp;query=any,contains,991005330169702656","Catalog Record")</f>
        <v/>
      </c>
      <c r="AT1705">
        <f>HYPERLINK("http://www.worldcat.org/oclc/262885043","WorldCat Record")</f>
        <v/>
      </c>
      <c r="AU1705" t="inlineStr">
        <is>
          <t>832535846:eng</t>
        </is>
      </c>
      <c r="AV1705" t="inlineStr">
        <is>
          <t>262885043</t>
        </is>
      </c>
      <c r="AW1705" t="inlineStr">
        <is>
          <t>991005330169702656</t>
        </is>
      </c>
      <c r="AX1705" t="inlineStr">
        <is>
          <t>991005330169702656</t>
        </is>
      </c>
      <c r="AY1705" t="inlineStr">
        <is>
          <t>2256564550002656</t>
        </is>
      </c>
      <c r="AZ1705" t="inlineStr">
        <is>
          <t>BOOK</t>
        </is>
      </c>
      <c r="BB1705" t="inlineStr">
        <is>
          <t>9781401322496</t>
        </is>
      </c>
      <c r="BC1705" t="inlineStr">
        <is>
          <t>32285005543607</t>
        </is>
      </c>
      <c r="BD1705" t="inlineStr">
        <is>
          <t>893607213</t>
        </is>
      </c>
    </row>
    <row r="1706">
      <c r="A1706" t="inlineStr">
        <is>
          <t>No</t>
        </is>
      </c>
      <c r="B1706" t="inlineStr">
        <is>
          <t>GV944.G7 T57 1981</t>
        </is>
      </c>
      <c r="C1706" t="inlineStr">
        <is>
          <t>0                      GV 0944000G  7                  T  57          1981</t>
        </is>
      </c>
      <c r="D1706" t="inlineStr">
        <is>
          <t>Footballers and businessmen : the origins of professional soccer in England / Steven Tischler.</t>
        </is>
      </c>
      <c r="F1706" t="inlineStr">
        <is>
          <t>No</t>
        </is>
      </c>
      <c r="G1706" t="inlineStr">
        <is>
          <t>1</t>
        </is>
      </c>
      <c r="H1706" t="inlineStr">
        <is>
          <t>No</t>
        </is>
      </c>
      <c r="I1706" t="inlineStr">
        <is>
          <t>No</t>
        </is>
      </c>
      <c r="J1706" t="inlineStr">
        <is>
          <t>0</t>
        </is>
      </c>
      <c r="K1706" t="inlineStr">
        <is>
          <t>Tischler, Steven.</t>
        </is>
      </c>
      <c r="L1706" t="inlineStr">
        <is>
          <t>New York : Holmes &amp; Meier Publishers, 1981.</t>
        </is>
      </c>
      <c r="M1706" t="inlineStr">
        <is>
          <t>1981</t>
        </is>
      </c>
      <c r="O1706" t="inlineStr">
        <is>
          <t>eng</t>
        </is>
      </c>
      <c r="P1706" t="inlineStr">
        <is>
          <t>nyu</t>
        </is>
      </c>
      <c r="R1706" t="inlineStr">
        <is>
          <t xml:space="preserve">GV </t>
        </is>
      </c>
      <c r="S1706" t="n">
        <v>16</v>
      </c>
      <c r="T1706" t="n">
        <v>16</v>
      </c>
      <c r="U1706" t="inlineStr">
        <is>
          <t>2004-11-07</t>
        </is>
      </c>
      <c r="V1706" t="inlineStr">
        <is>
          <t>2004-11-07</t>
        </is>
      </c>
      <c r="W1706" t="inlineStr">
        <is>
          <t>1990-07-31</t>
        </is>
      </c>
      <c r="X1706" t="inlineStr">
        <is>
          <t>1990-07-31</t>
        </is>
      </c>
      <c r="Y1706" t="n">
        <v>251</v>
      </c>
      <c r="Z1706" t="n">
        <v>198</v>
      </c>
      <c r="AA1706" t="n">
        <v>198</v>
      </c>
      <c r="AB1706" t="n">
        <v>1</v>
      </c>
      <c r="AC1706" t="n">
        <v>1</v>
      </c>
      <c r="AD1706" t="n">
        <v>5</v>
      </c>
      <c r="AE1706" t="n">
        <v>5</v>
      </c>
      <c r="AF1706" t="n">
        <v>2</v>
      </c>
      <c r="AG1706" t="n">
        <v>2</v>
      </c>
      <c r="AH1706" t="n">
        <v>1</v>
      </c>
      <c r="AI1706" t="n">
        <v>1</v>
      </c>
      <c r="AJ1706" t="n">
        <v>3</v>
      </c>
      <c r="AK1706" t="n">
        <v>3</v>
      </c>
      <c r="AL1706" t="n">
        <v>0</v>
      </c>
      <c r="AM1706" t="n">
        <v>0</v>
      </c>
      <c r="AN1706" t="n">
        <v>0</v>
      </c>
      <c r="AO1706" t="n">
        <v>0</v>
      </c>
      <c r="AP1706" t="inlineStr">
        <is>
          <t>No</t>
        </is>
      </c>
      <c r="AQ1706" t="inlineStr">
        <is>
          <t>No</t>
        </is>
      </c>
      <c r="AS1706">
        <f>HYPERLINK("https://creighton-primo.hosted.exlibrisgroup.com/primo-explore/search?tab=default_tab&amp;search_scope=EVERYTHING&amp;vid=01CRU&amp;lang=en_US&amp;offset=0&amp;query=any,contains,991005079429702656","Catalog Record")</f>
        <v/>
      </c>
      <c r="AT1706">
        <f>HYPERLINK("http://www.worldcat.org/oclc/7169785","WorldCat Record")</f>
        <v/>
      </c>
      <c r="AU1706" t="inlineStr">
        <is>
          <t>836668525:eng</t>
        </is>
      </c>
      <c r="AV1706" t="inlineStr">
        <is>
          <t>7169785</t>
        </is>
      </c>
      <c r="AW1706" t="inlineStr">
        <is>
          <t>991005079429702656</t>
        </is>
      </c>
      <c r="AX1706" t="inlineStr">
        <is>
          <t>991005079429702656</t>
        </is>
      </c>
      <c r="AY1706" t="inlineStr">
        <is>
          <t>2268755610002656</t>
        </is>
      </c>
      <c r="AZ1706" t="inlineStr">
        <is>
          <t>BOOK</t>
        </is>
      </c>
      <c r="BB1706" t="inlineStr">
        <is>
          <t>9780841906587</t>
        </is>
      </c>
      <c r="BC1706" t="inlineStr">
        <is>
          <t>32285000249028</t>
        </is>
      </c>
      <c r="BD1706" t="inlineStr">
        <is>
          <t>893883300</t>
        </is>
      </c>
    </row>
    <row r="1707">
      <c r="A1707" t="inlineStr">
        <is>
          <t>No</t>
        </is>
      </c>
      <c r="B1707" t="inlineStr">
        <is>
          <t>GV945 .C67 1985</t>
        </is>
      </c>
      <c r="C1707" t="inlineStr">
        <is>
          <t>0                      GV 0945000C  67          1985</t>
        </is>
      </c>
      <c r="D1707" t="inlineStr">
        <is>
          <t>Rugby union : the skills of the game / Barrie Corless.</t>
        </is>
      </c>
      <c r="F1707" t="inlineStr">
        <is>
          <t>No</t>
        </is>
      </c>
      <c r="G1707" t="inlineStr">
        <is>
          <t>1</t>
        </is>
      </c>
      <c r="H1707" t="inlineStr">
        <is>
          <t>No</t>
        </is>
      </c>
      <c r="I1707" t="inlineStr">
        <is>
          <t>No</t>
        </is>
      </c>
      <c r="J1707" t="inlineStr">
        <is>
          <t>0</t>
        </is>
      </c>
      <c r="K1707" t="inlineStr">
        <is>
          <t>Corless, Barrie.</t>
        </is>
      </c>
      <c r="L1707" t="inlineStr">
        <is>
          <t>Marlborough : Crowood, 1985.</t>
        </is>
      </c>
      <c r="M1707" t="inlineStr">
        <is>
          <t>1985</t>
        </is>
      </c>
      <c r="O1707" t="inlineStr">
        <is>
          <t>eng</t>
        </is>
      </c>
      <c r="P1707" t="inlineStr">
        <is>
          <t>enk</t>
        </is>
      </c>
      <c r="Q1707" t="inlineStr">
        <is>
          <t>Crowood sports books</t>
        </is>
      </c>
      <c r="R1707" t="inlineStr">
        <is>
          <t xml:space="preserve">GV </t>
        </is>
      </c>
      <c r="S1707" t="n">
        <v>32</v>
      </c>
      <c r="T1707" t="n">
        <v>32</v>
      </c>
      <c r="U1707" t="inlineStr">
        <is>
          <t>2005-09-14</t>
        </is>
      </c>
      <c r="V1707" t="inlineStr">
        <is>
          <t>2005-09-14</t>
        </is>
      </c>
      <c r="W1707" t="inlineStr">
        <is>
          <t>1990-03-19</t>
        </is>
      </c>
      <c r="X1707" t="inlineStr">
        <is>
          <t>1990-03-19</t>
        </is>
      </c>
      <c r="Y1707" t="n">
        <v>77</v>
      </c>
      <c r="Z1707" t="n">
        <v>26</v>
      </c>
      <c r="AA1707" t="n">
        <v>31</v>
      </c>
      <c r="AB1707" t="n">
        <v>1</v>
      </c>
      <c r="AC1707" t="n">
        <v>2</v>
      </c>
      <c r="AD1707" t="n">
        <v>0</v>
      </c>
      <c r="AE1707" t="n">
        <v>1</v>
      </c>
      <c r="AF1707" t="n">
        <v>0</v>
      </c>
      <c r="AG1707" t="n">
        <v>0</v>
      </c>
      <c r="AH1707" t="n">
        <v>0</v>
      </c>
      <c r="AI1707" t="n">
        <v>0</v>
      </c>
      <c r="AJ1707" t="n">
        <v>0</v>
      </c>
      <c r="AK1707" t="n">
        <v>0</v>
      </c>
      <c r="AL1707" t="n">
        <v>0</v>
      </c>
      <c r="AM1707" t="n">
        <v>1</v>
      </c>
      <c r="AN1707" t="n">
        <v>0</v>
      </c>
      <c r="AO1707" t="n">
        <v>0</v>
      </c>
      <c r="AP1707" t="inlineStr">
        <is>
          <t>No</t>
        </is>
      </c>
      <c r="AQ1707" t="inlineStr">
        <is>
          <t>No</t>
        </is>
      </c>
      <c r="AS1707">
        <f>HYPERLINK("https://creighton-primo.hosted.exlibrisgroup.com/primo-explore/search?tab=default_tab&amp;search_scope=EVERYTHING&amp;vid=01CRU&amp;lang=en_US&amp;offset=0&amp;query=any,contains,991000694179702656","Catalog Record")</f>
        <v/>
      </c>
      <c r="AT1707">
        <f>HYPERLINK("http://www.worldcat.org/oclc/12508593","WorldCat Record")</f>
        <v/>
      </c>
      <c r="AU1707" t="inlineStr">
        <is>
          <t>28046463:eng</t>
        </is>
      </c>
      <c r="AV1707" t="inlineStr">
        <is>
          <t>12508593</t>
        </is>
      </c>
      <c r="AW1707" t="inlineStr">
        <is>
          <t>991000694179702656</t>
        </is>
      </c>
      <c r="AX1707" t="inlineStr">
        <is>
          <t>991000694179702656</t>
        </is>
      </c>
      <c r="AY1707" t="inlineStr">
        <is>
          <t>2261536530002656</t>
        </is>
      </c>
      <c r="AZ1707" t="inlineStr">
        <is>
          <t>BOOK</t>
        </is>
      </c>
      <c r="BB1707" t="inlineStr">
        <is>
          <t>9780946284061</t>
        </is>
      </c>
      <c r="BC1707" t="inlineStr">
        <is>
          <t>32285000085653</t>
        </is>
      </c>
      <c r="BD1707" t="inlineStr">
        <is>
          <t>893413596</t>
        </is>
      </c>
    </row>
    <row r="1708">
      <c r="A1708" t="inlineStr">
        <is>
          <t>No</t>
        </is>
      </c>
      <c r="B1708" t="inlineStr">
        <is>
          <t>GV950 .C638 1988</t>
        </is>
      </c>
      <c r="C1708" t="inlineStr">
        <is>
          <t>0                      GV 0950000C  638         1988</t>
        </is>
      </c>
      <c r="D1708" t="inlineStr">
        <is>
          <t>College football's twenty-five greatest teams / editors, Joe Hoppel, Mike Nahrstedt, Steve Zesch.</t>
        </is>
      </c>
      <c r="F1708" t="inlineStr">
        <is>
          <t>No</t>
        </is>
      </c>
      <c r="G1708" t="inlineStr">
        <is>
          <t>1</t>
        </is>
      </c>
      <c r="H1708" t="inlineStr">
        <is>
          <t>No</t>
        </is>
      </c>
      <c r="I1708" t="inlineStr">
        <is>
          <t>No</t>
        </is>
      </c>
      <c r="J1708" t="inlineStr">
        <is>
          <t>0</t>
        </is>
      </c>
      <c r="L1708" t="inlineStr">
        <is>
          <t>St. Louis, Mo. : Sporting News Pub. Co., c1988.</t>
        </is>
      </c>
      <c r="M1708" t="inlineStr">
        <is>
          <t>1988</t>
        </is>
      </c>
      <c r="N1708" t="inlineStr">
        <is>
          <t>1st ed.</t>
        </is>
      </c>
      <c r="O1708" t="inlineStr">
        <is>
          <t>eng</t>
        </is>
      </c>
      <c r="P1708" t="inlineStr">
        <is>
          <t>mou</t>
        </is>
      </c>
      <c r="R1708" t="inlineStr">
        <is>
          <t xml:space="preserve">GV </t>
        </is>
      </c>
      <c r="S1708" t="n">
        <v>22</v>
      </c>
      <c r="T1708" t="n">
        <v>22</v>
      </c>
      <c r="U1708" t="inlineStr">
        <is>
          <t>2000-10-14</t>
        </is>
      </c>
      <c r="V1708" t="inlineStr">
        <is>
          <t>2000-10-14</t>
        </is>
      </c>
      <c r="W1708" t="inlineStr">
        <is>
          <t>1990-07-05</t>
        </is>
      </c>
      <c r="X1708" t="inlineStr">
        <is>
          <t>1990-07-05</t>
        </is>
      </c>
      <c r="Y1708" t="n">
        <v>186</v>
      </c>
      <c r="Z1708" t="n">
        <v>183</v>
      </c>
      <c r="AA1708" t="n">
        <v>185</v>
      </c>
      <c r="AB1708" t="n">
        <v>3</v>
      </c>
      <c r="AC1708" t="n">
        <v>3</v>
      </c>
      <c r="AD1708" t="n">
        <v>1</v>
      </c>
      <c r="AE1708" t="n">
        <v>1</v>
      </c>
      <c r="AF1708" t="n">
        <v>1</v>
      </c>
      <c r="AG1708" t="n">
        <v>1</v>
      </c>
      <c r="AH1708" t="n">
        <v>0</v>
      </c>
      <c r="AI1708" t="n">
        <v>0</v>
      </c>
      <c r="AJ1708" t="n">
        <v>0</v>
      </c>
      <c r="AK1708" t="n">
        <v>0</v>
      </c>
      <c r="AL1708" t="n">
        <v>0</v>
      </c>
      <c r="AM1708" t="n">
        <v>0</v>
      </c>
      <c r="AN1708" t="n">
        <v>0</v>
      </c>
      <c r="AO1708" t="n">
        <v>0</v>
      </c>
      <c r="AP1708" t="inlineStr">
        <is>
          <t>No</t>
        </is>
      </c>
      <c r="AQ1708" t="inlineStr">
        <is>
          <t>Yes</t>
        </is>
      </c>
      <c r="AR1708">
        <f>HYPERLINK("http://catalog.hathitrust.org/Record/004441856","HathiTrust Record")</f>
        <v/>
      </c>
      <c r="AS1708">
        <f>HYPERLINK("https://creighton-primo.hosted.exlibrisgroup.com/primo-explore/search?tab=default_tab&amp;search_scope=EVERYTHING&amp;vid=01CRU&amp;lang=en_US&amp;offset=0&amp;query=any,contains,991001395899702656","Catalog Record")</f>
        <v/>
      </c>
      <c r="AT1708">
        <f>HYPERLINK("http://www.worldcat.org/oclc/18786392","WorldCat Record")</f>
        <v/>
      </c>
      <c r="AU1708" t="inlineStr">
        <is>
          <t>19038567:eng</t>
        </is>
      </c>
      <c r="AV1708" t="inlineStr">
        <is>
          <t>18786392</t>
        </is>
      </c>
      <c r="AW1708" t="inlineStr">
        <is>
          <t>991001395899702656</t>
        </is>
      </c>
      <c r="AX1708" t="inlineStr">
        <is>
          <t>991001395899702656</t>
        </is>
      </c>
      <c r="AY1708" t="inlineStr">
        <is>
          <t>2263525690002656</t>
        </is>
      </c>
      <c r="AZ1708" t="inlineStr">
        <is>
          <t>BOOK</t>
        </is>
      </c>
      <c r="BB1708" t="inlineStr">
        <is>
          <t>9780892042814</t>
        </is>
      </c>
      <c r="BC1708" t="inlineStr">
        <is>
          <t>32285000207240</t>
        </is>
      </c>
      <c r="BD1708" t="inlineStr">
        <is>
          <t>893621311</t>
        </is>
      </c>
    </row>
    <row r="1709">
      <c r="A1709" t="inlineStr">
        <is>
          <t>No</t>
        </is>
      </c>
      <c r="B1709" t="inlineStr">
        <is>
          <t>GV950 .G46 2000</t>
        </is>
      </c>
      <c r="C1709" t="inlineStr">
        <is>
          <t>0                      GV 0950000G  46          2000</t>
        </is>
      </c>
      <c r="D1709" t="inlineStr">
        <is>
          <t>For pride, profit, and patriarchy : football and the incorporation of American cultural values / Gerald R. Gems.</t>
        </is>
      </c>
      <c r="F1709" t="inlineStr">
        <is>
          <t>No</t>
        </is>
      </c>
      <c r="G1709" t="inlineStr">
        <is>
          <t>1</t>
        </is>
      </c>
      <c r="H1709" t="inlineStr">
        <is>
          <t>No</t>
        </is>
      </c>
      <c r="I1709" t="inlineStr">
        <is>
          <t>No</t>
        </is>
      </c>
      <c r="J1709" t="inlineStr">
        <is>
          <t>0</t>
        </is>
      </c>
      <c r="K1709" t="inlineStr">
        <is>
          <t>Gems, Gerald R.</t>
        </is>
      </c>
      <c r="L1709" t="inlineStr">
        <is>
          <t>Lanham, Md. : Scarecrow Press, 2000.</t>
        </is>
      </c>
      <c r="M1709" t="inlineStr">
        <is>
          <t>2000</t>
        </is>
      </c>
      <c r="O1709" t="inlineStr">
        <is>
          <t>eng</t>
        </is>
      </c>
      <c r="P1709" t="inlineStr">
        <is>
          <t>mdu</t>
        </is>
      </c>
      <c r="Q1709" t="inlineStr">
        <is>
          <t>American sports history series ; no. 16</t>
        </is>
      </c>
      <c r="R1709" t="inlineStr">
        <is>
          <t xml:space="preserve">GV </t>
        </is>
      </c>
      <c r="S1709" t="n">
        <v>4</v>
      </c>
      <c r="T1709" t="n">
        <v>4</v>
      </c>
      <c r="U1709" t="inlineStr">
        <is>
          <t>2009-10-16</t>
        </is>
      </c>
      <c r="V1709" t="inlineStr">
        <is>
          <t>2009-10-16</t>
        </is>
      </c>
      <c r="W1709" t="inlineStr">
        <is>
          <t>2000-11-02</t>
        </is>
      </c>
      <c r="X1709" t="inlineStr">
        <is>
          <t>2000-11-02</t>
        </is>
      </c>
      <c r="Y1709" t="n">
        <v>271</v>
      </c>
      <c r="Z1709" t="n">
        <v>235</v>
      </c>
      <c r="AA1709" t="n">
        <v>235</v>
      </c>
      <c r="AB1709" t="n">
        <v>4</v>
      </c>
      <c r="AC1709" t="n">
        <v>4</v>
      </c>
      <c r="AD1709" t="n">
        <v>10</v>
      </c>
      <c r="AE1709" t="n">
        <v>10</v>
      </c>
      <c r="AF1709" t="n">
        <v>4</v>
      </c>
      <c r="AG1709" t="n">
        <v>4</v>
      </c>
      <c r="AH1709" t="n">
        <v>2</v>
      </c>
      <c r="AI1709" t="n">
        <v>2</v>
      </c>
      <c r="AJ1709" t="n">
        <v>4</v>
      </c>
      <c r="AK1709" t="n">
        <v>4</v>
      </c>
      <c r="AL1709" t="n">
        <v>3</v>
      </c>
      <c r="AM1709" t="n">
        <v>3</v>
      </c>
      <c r="AN1709" t="n">
        <v>0</v>
      </c>
      <c r="AO1709" t="n">
        <v>0</v>
      </c>
      <c r="AP1709" t="inlineStr">
        <is>
          <t>No</t>
        </is>
      </c>
      <c r="AQ1709" t="inlineStr">
        <is>
          <t>No</t>
        </is>
      </c>
      <c r="AS1709">
        <f>HYPERLINK("https://creighton-primo.hosted.exlibrisgroup.com/primo-explore/search?tab=default_tab&amp;search_scope=EVERYTHING&amp;vid=01CRU&amp;lang=en_US&amp;offset=0&amp;query=any,contains,991003304609702656","Catalog Record")</f>
        <v/>
      </c>
      <c r="AT1709">
        <f>HYPERLINK("http://www.worldcat.org/oclc/43481774","WorldCat Record")</f>
        <v/>
      </c>
      <c r="AU1709" t="inlineStr">
        <is>
          <t>837074234:eng</t>
        </is>
      </c>
      <c r="AV1709" t="inlineStr">
        <is>
          <t>43481774</t>
        </is>
      </c>
      <c r="AW1709" t="inlineStr">
        <is>
          <t>991003304609702656</t>
        </is>
      </c>
      <c r="AX1709" t="inlineStr">
        <is>
          <t>991003304609702656</t>
        </is>
      </c>
      <c r="AY1709" t="inlineStr">
        <is>
          <t>2268435700002656</t>
        </is>
      </c>
      <c r="AZ1709" t="inlineStr">
        <is>
          <t>BOOK</t>
        </is>
      </c>
      <c r="BB1709" t="inlineStr">
        <is>
          <t>9780810836853</t>
        </is>
      </c>
      <c r="BC1709" t="inlineStr">
        <is>
          <t>32285004262589</t>
        </is>
      </c>
      <c r="BD1709" t="inlineStr">
        <is>
          <t>893518357</t>
        </is>
      </c>
    </row>
    <row r="1710">
      <c r="A1710" t="inlineStr">
        <is>
          <t>No</t>
        </is>
      </c>
      <c r="B1710" t="inlineStr">
        <is>
          <t>GV951 .B26 1996</t>
        </is>
      </c>
      <c r="C1710" t="inlineStr">
        <is>
          <t>0                      GV 0951000B  26          1996</t>
        </is>
      </c>
      <c r="D1710" t="inlineStr">
        <is>
          <t>Football America : celebrating our national passion / text by Phil Barber and Ray Didinger ; foreword by Don Shula.</t>
        </is>
      </c>
      <c r="F1710" t="inlineStr">
        <is>
          <t>No</t>
        </is>
      </c>
      <c r="G1710" t="inlineStr">
        <is>
          <t>1</t>
        </is>
      </c>
      <c r="H1710" t="inlineStr">
        <is>
          <t>No</t>
        </is>
      </c>
      <c r="I1710" t="inlineStr">
        <is>
          <t>No</t>
        </is>
      </c>
      <c r="J1710" t="inlineStr">
        <is>
          <t>0</t>
        </is>
      </c>
      <c r="K1710" t="inlineStr">
        <is>
          <t>Barber, Phil.</t>
        </is>
      </c>
      <c r="L1710" t="inlineStr">
        <is>
          <t>Atlanta : Turner Pub., c1996.</t>
        </is>
      </c>
      <c r="M1710" t="inlineStr">
        <is>
          <t>1996</t>
        </is>
      </c>
      <c r="O1710" t="inlineStr">
        <is>
          <t>eng</t>
        </is>
      </c>
      <c r="P1710" t="inlineStr">
        <is>
          <t>gau</t>
        </is>
      </c>
      <c r="R1710" t="inlineStr">
        <is>
          <t xml:space="preserve">GV </t>
        </is>
      </c>
      <c r="S1710" t="n">
        <v>2</v>
      </c>
      <c r="T1710" t="n">
        <v>2</v>
      </c>
      <c r="U1710" t="inlineStr">
        <is>
          <t>2007-10-10</t>
        </is>
      </c>
      <c r="V1710" t="inlineStr">
        <is>
          <t>2007-10-10</t>
        </is>
      </c>
      <c r="W1710" t="inlineStr">
        <is>
          <t>2006-11-16</t>
        </is>
      </c>
      <c r="X1710" t="inlineStr">
        <is>
          <t>2006-11-16</t>
        </is>
      </c>
      <c r="Y1710" t="n">
        <v>480</v>
      </c>
      <c r="Z1710" t="n">
        <v>475</v>
      </c>
      <c r="AA1710" t="n">
        <v>483</v>
      </c>
      <c r="AB1710" t="n">
        <v>6</v>
      </c>
      <c r="AC1710" t="n">
        <v>6</v>
      </c>
      <c r="AD1710" t="n">
        <v>2</v>
      </c>
      <c r="AE1710" t="n">
        <v>2</v>
      </c>
      <c r="AF1710" t="n">
        <v>0</v>
      </c>
      <c r="AG1710" t="n">
        <v>0</v>
      </c>
      <c r="AH1710" t="n">
        <v>0</v>
      </c>
      <c r="AI1710" t="n">
        <v>0</v>
      </c>
      <c r="AJ1710" t="n">
        <v>0</v>
      </c>
      <c r="AK1710" t="n">
        <v>0</v>
      </c>
      <c r="AL1710" t="n">
        <v>2</v>
      </c>
      <c r="AM1710" t="n">
        <v>2</v>
      </c>
      <c r="AN1710" t="n">
        <v>0</v>
      </c>
      <c r="AO1710" t="n">
        <v>0</v>
      </c>
      <c r="AP1710" t="inlineStr">
        <is>
          <t>No</t>
        </is>
      </c>
      <c r="AQ1710" t="inlineStr">
        <is>
          <t>Yes</t>
        </is>
      </c>
      <c r="AR1710">
        <f>HYPERLINK("http://catalog.hathitrust.org/Record/012257957","HathiTrust Record")</f>
        <v/>
      </c>
      <c r="AS1710">
        <f>HYPERLINK("https://creighton-primo.hosted.exlibrisgroup.com/primo-explore/search?tab=default_tab&amp;search_scope=EVERYTHING&amp;vid=01CRU&amp;lang=en_US&amp;offset=0&amp;query=any,contains,991004981799702656","Catalog Record")</f>
        <v/>
      </c>
      <c r="AT1710">
        <f>HYPERLINK("http://www.worldcat.org/oclc/34618177","WorldCat Record")</f>
        <v/>
      </c>
      <c r="AU1710" t="inlineStr">
        <is>
          <t>1048124841:eng</t>
        </is>
      </c>
      <c r="AV1710" t="inlineStr">
        <is>
          <t>34618177</t>
        </is>
      </c>
      <c r="AW1710" t="inlineStr">
        <is>
          <t>991004981799702656</t>
        </is>
      </c>
      <c r="AX1710" t="inlineStr">
        <is>
          <t>991004981799702656</t>
        </is>
      </c>
      <c r="AY1710" t="inlineStr">
        <is>
          <t>2271759790002656</t>
        </is>
      </c>
      <c r="AZ1710" t="inlineStr">
        <is>
          <t>BOOK</t>
        </is>
      </c>
      <c r="BB1710" t="inlineStr">
        <is>
          <t>9781570362972</t>
        </is>
      </c>
      <c r="BC1710" t="inlineStr">
        <is>
          <t>32285005239792</t>
        </is>
      </c>
      <c r="BD1710" t="inlineStr">
        <is>
          <t>893242044</t>
        </is>
      </c>
    </row>
    <row r="1711">
      <c r="A1711" t="inlineStr">
        <is>
          <t>No</t>
        </is>
      </c>
      <c r="B1711" t="inlineStr">
        <is>
          <t>GV951 .N28 1986</t>
        </is>
      </c>
      <c r="C1711" t="inlineStr">
        <is>
          <t>0                      GV 0951000N  28          1986</t>
        </is>
      </c>
      <c r="D1711" t="inlineStr">
        <is>
          <t>Football for young players and parents / by Joe Namath ; created and produced with Bob Oates, Jr. ; illustrations by Todd Treadway ; special photography by Rob Brown.</t>
        </is>
      </c>
      <c r="F1711" t="inlineStr">
        <is>
          <t>No</t>
        </is>
      </c>
      <c r="G1711" t="inlineStr">
        <is>
          <t>1</t>
        </is>
      </c>
      <c r="H1711" t="inlineStr">
        <is>
          <t>No</t>
        </is>
      </c>
      <c r="I1711" t="inlineStr">
        <is>
          <t>No</t>
        </is>
      </c>
      <c r="J1711" t="inlineStr">
        <is>
          <t>0</t>
        </is>
      </c>
      <c r="K1711" t="inlineStr">
        <is>
          <t>Namath, Joe Willie, 1943-</t>
        </is>
      </c>
      <c r="L1711" t="inlineStr">
        <is>
          <t>New York : Simon and Schuster, c1986.</t>
        </is>
      </c>
      <c r="M1711" t="inlineStr">
        <is>
          <t>1986</t>
        </is>
      </c>
      <c r="O1711" t="inlineStr">
        <is>
          <t>eng</t>
        </is>
      </c>
      <c r="P1711" t="inlineStr">
        <is>
          <t>nyu</t>
        </is>
      </c>
      <c r="R1711" t="inlineStr">
        <is>
          <t xml:space="preserve">GV </t>
        </is>
      </c>
      <c r="S1711" t="n">
        <v>9</v>
      </c>
      <c r="T1711" t="n">
        <v>9</v>
      </c>
      <c r="U1711" t="inlineStr">
        <is>
          <t>1996-08-30</t>
        </is>
      </c>
      <c r="V1711" t="inlineStr">
        <is>
          <t>1996-08-30</t>
        </is>
      </c>
      <c r="W1711" t="inlineStr">
        <is>
          <t>1990-07-31</t>
        </is>
      </c>
      <c r="X1711" t="inlineStr">
        <is>
          <t>1990-07-31</t>
        </is>
      </c>
      <c r="Y1711" t="n">
        <v>385</v>
      </c>
      <c r="Z1711" t="n">
        <v>379</v>
      </c>
      <c r="AA1711" t="n">
        <v>408</v>
      </c>
      <c r="AB1711" t="n">
        <v>4</v>
      </c>
      <c r="AC1711" t="n">
        <v>4</v>
      </c>
      <c r="AD1711" t="n">
        <v>1</v>
      </c>
      <c r="AE1711" t="n">
        <v>1</v>
      </c>
      <c r="AF1711" t="n">
        <v>0</v>
      </c>
      <c r="AG1711" t="n">
        <v>0</v>
      </c>
      <c r="AH1711" t="n">
        <v>0</v>
      </c>
      <c r="AI1711" t="n">
        <v>0</v>
      </c>
      <c r="AJ1711" t="n">
        <v>0</v>
      </c>
      <c r="AK1711" t="n">
        <v>0</v>
      </c>
      <c r="AL1711" t="n">
        <v>1</v>
      </c>
      <c r="AM1711" t="n">
        <v>1</v>
      </c>
      <c r="AN1711" t="n">
        <v>0</v>
      </c>
      <c r="AO1711" t="n">
        <v>0</v>
      </c>
      <c r="AP1711" t="inlineStr">
        <is>
          <t>No</t>
        </is>
      </c>
      <c r="AQ1711" t="inlineStr">
        <is>
          <t>Yes</t>
        </is>
      </c>
      <c r="AR1711">
        <f>HYPERLINK("http://catalog.hathitrust.org/Record/000480235","HathiTrust Record")</f>
        <v/>
      </c>
      <c r="AS1711">
        <f>HYPERLINK("https://creighton-primo.hosted.exlibrisgroup.com/primo-explore/search?tab=default_tab&amp;search_scope=EVERYTHING&amp;vid=01CRU&amp;lang=en_US&amp;offset=0&amp;query=any,contains,991000856869702656","Catalog Record")</f>
        <v/>
      </c>
      <c r="AT1711">
        <f>HYPERLINK("http://www.worldcat.org/oclc/13665065","WorldCat Record")</f>
        <v/>
      </c>
      <c r="AU1711" t="inlineStr">
        <is>
          <t>7071073:eng</t>
        </is>
      </c>
      <c r="AV1711" t="inlineStr">
        <is>
          <t>13665065</t>
        </is>
      </c>
      <c r="AW1711" t="inlineStr">
        <is>
          <t>991000856869702656</t>
        </is>
      </c>
      <c r="AX1711" t="inlineStr">
        <is>
          <t>991000856869702656</t>
        </is>
      </c>
      <c r="AY1711" t="inlineStr">
        <is>
          <t>2271413950002656</t>
        </is>
      </c>
      <c r="AZ1711" t="inlineStr">
        <is>
          <t>BOOK</t>
        </is>
      </c>
      <c r="BB1711" t="inlineStr">
        <is>
          <t>9780671523251</t>
        </is>
      </c>
      <c r="BC1711" t="inlineStr">
        <is>
          <t>32285000249044</t>
        </is>
      </c>
      <c r="BD1711" t="inlineStr">
        <is>
          <t>893872068</t>
        </is>
      </c>
    </row>
    <row r="1712">
      <c r="A1712" t="inlineStr">
        <is>
          <t>No</t>
        </is>
      </c>
      <c r="B1712" t="inlineStr">
        <is>
          <t>GV951.25 .W3</t>
        </is>
      </c>
      <c r="C1712" t="inlineStr">
        <is>
          <t>0                      GV 0951250W  3</t>
        </is>
      </c>
      <c r="D1712" t="inlineStr">
        <is>
          <t>The swing end offense.</t>
        </is>
      </c>
      <c r="F1712" t="inlineStr">
        <is>
          <t>No</t>
        </is>
      </c>
      <c r="G1712" t="inlineStr">
        <is>
          <t>1</t>
        </is>
      </c>
      <c r="H1712" t="inlineStr">
        <is>
          <t>No</t>
        </is>
      </c>
      <c r="I1712" t="inlineStr">
        <is>
          <t>No</t>
        </is>
      </c>
      <c r="J1712" t="inlineStr">
        <is>
          <t>0</t>
        </is>
      </c>
      <c r="K1712" t="inlineStr">
        <is>
          <t>Walker, Robert E.</t>
        </is>
      </c>
      <c r="L1712" t="inlineStr">
        <is>
          <t>Englewood Cliffs, N. J., Prentice-Hall [1964]</t>
        </is>
      </c>
      <c r="M1712" t="inlineStr">
        <is>
          <t>1964</t>
        </is>
      </c>
      <c r="O1712" t="inlineStr">
        <is>
          <t>eng</t>
        </is>
      </c>
      <c r="P1712" t="inlineStr">
        <is>
          <t xml:space="preserve">xx </t>
        </is>
      </c>
      <c r="R1712" t="inlineStr">
        <is>
          <t xml:space="preserve">GV </t>
        </is>
      </c>
      <c r="S1712" t="n">
        <v>2</v>
      </c>
      <c r="T1712" t="n">
        <v>2</v>
      </c>
      <c r="U1712" t="inlineStr">
        <is>
          <t>1995-10-02</t>
        </is>
      </c>
      <c r="V1712" t="inlineStr">
        <is>
          <t>1995-10-02</t>
        </is>
      </c>
      <c r="W1712" t="inlineStr">
        <is>
          <t>1995-11-28</t>
        </is>
      </c>
      <c r="X1712" t="inlineStr">
        <is>
          <t>1995-11-28</t>
        </is>
      </c>
      <c r="Y1712" t="n">
        <v>97</v>
      </c>
      <c r="Z1712" t="n">
        <v>92</v>
      </c>
      <c r="AA1712" t="n">
        <v>92</v>
      </c>
      <c r="AB1712" t="n">
        <v>3</v>
      </c>
      <c r="AC1712" t="n">
        <v>3</v>
      </c>
      <c r="AD1712" t="n">
        <v>3</v>
      </c>
      <c r="AE1712" t="n">
        <v>3</v>
      </c>
      <c r="AF1712" t="n">
        <v>1</v>
      </c>
      <c r="AG1712" t="n">
        <v>1</v>
      </c>
      <c r="AH1712" t="n">
        <v>0</v>
      </c>
      <c r="AI1712" t="n">
        <v>0</v>
      </c>
      <c r="AJ1712" t="n">
        <v>0</v>
      </c>
      <c r="AK1712" t="n">
        <v>0</v>
      </c>
      <c r="AL1712" t="n">
        <v>2</v>
      </c>
      <c r="AM1712" t="n">
        <v>2</v>
      </c>
      <c r="AN1712" t="n">
        <v>0</v>
      </c>
      <c r="AO1712" t="n">
        <v>0</v>
      </c>
      <c r="AP1712" t="inlineStr">
        <is>
          <t>No</t>
        </is>
      </c>
      <c r="AQ1712" t="inlineStr">
        <is>
          <t>No</t>
        </is>
      </c>
      <c r="AS1712">
        <f>HYPERLINK("https://creighton-primo.hosted.exlibrisgroup.com/primo-explore/search?tab=default_tab&amp;search_scope=EVERYTHING&amp;vid=01CRU&amp;lang=en_US&amp;offset=0&amp;query=any,contains,991004153369702656","Catalog Record")</f>
        <v/>
      </c>
      <c r="AT1712">
        <f>HYPERLINK("http://www.worldcat.org/oclc/2531732","WorldCat Record")</f>
        <v/>
      </c>
      <c r="AU1712" t="inlineStr">
        <is>
          <t>5494683:eng</t>
        </is>
      </c>
      <c r="AV1712" t="inlineStr">
        <is>
          <t>2531732</t>
        </is>
      </c>
      <c r="AW1712" t="inlineStr">
        <is>
          <t>991004153369702656</t>
        </is>
      </c>
      <c r="AX1712" t="inlineStr">
        <is>
          <t>991004153369702656</t>
        </is>
      </c>
      <c r="AY1712" t="inlineStr">
        <is>
          <t>2267898900002656</t>
        </is>
      </c>
      <c r="AZ1712" t="inlineStr">
        <is>
          <t>BOOK</t>
        </is>
      </c>
      <c r="BC1712" t="inlineStr">
        <is>
          <t>32285002120011</t>
        </is>
      </c>
      <c r="BD1712" t="inlineStr">
        <is>
          <t>893235113</t>
        </is>
      </c>
    </row>
    <row r="1713">
      <c r="A1713" t="inlineStr">
        <is>
          <t>No</t>
        </is>
      </c>
      <c r="B1713" t="inlineStr">
        <is>
          <t>GV951.5 .B47 1982b</t>
        </is>
      </c>
      <c r="C1713" t="inlineStr">
        <is>
          <t>0                      GV 0951500B  47          1982b</t>
        </is>
      </c>
      <c r="D1713" t="inlineStr">
        <is>
          <t>Raymond Berry's complete guide to coaching pass receivers / Raymond Berry with C.H. "Butch" Gilbert, Jr.</t>
        </is>
      </c>
      <c r="F1713" t="inlineStr">
        <is>
          <t>No</t>
        </is>
      </c>
      <c r="G1713" t="inlineStr">
        <is>
          <t>1</t>
        </is>
      </c>
      <c r="H1713" t="inlineStr">
        <is>
          <t>No</t>
        </is>
      </c>
      <c r="I1713" t="inlineStr">
        <is>
          <t>No</t>
        </is>
      </c>
      <c r="J1713" t="inlineStr">
        <is>
          <t>0</t>
        </is>
      </c>
      <c r="K1713" t="inlineStr">
        <is>
          <t>Berry, Raymond, 1933-</t>
        </is>
      </c>
      <c r="L1713" t="inlineStr">
        <is>
          <t>West Nyack, N.Y. : Parker Pub. Co., c1982.</t>
        </is>
      </c>
      <c r="M1713" t="inlineStr">
        <is>
          <t>1982</t>
        </is>
      </c>
      <c r="O1713" t="inlineStr">
        <is>
          <t>eng</t>
        </is>
      </c>
      <c r="P1713" t="inlineStr">
        <is>
          <t>nyu</t>
        </is>
      </c>
      <c r="R1713" t="inlineStr">
        <is>
          <t xml:space="preserve">GV </t>
        </is>
      </c>
      <c r="S1713" t="n">
        <v>7</v>
      </c>
      <c r="T1713" t="n">
        <v>7</v>
      </c>
      <c r="U1713" t="inlineStr">
        <is>
          <t>2000-02-11</t>
        </is>
      </c>
      <c r="V1713" t="inlineStr">
        <is>
          <t>2000-02-11</t>
        </is>
      </c>
      <c r="W1713" t="inlineStr">
        <is>
          <t>1990-10-29</t>
        </is>
      </c>
      <c r="X1713" t="inlineStr">
        <is>
          <t>1990-10-29</t>
        </is>
      </c>
      <c r="Y1713" t="n">
        <v>186</v>
      </c>
      <c r="Z1713" t="n">
        <v>176</v>
      </c>
      <c r="AA1713" t="n">
        <v>176</v>
      </c>
      <c r="AB1713" t="n">
        <v>1</v>
      </c>
      <c r="AC1713" t="n">
        <v>1</v>
      </c>
      <c r="AD1713" t="n">
        <v>2</v>
      </c>
      <c r="AE1713" t="n">
        <v>2</v>
      </c>
      <c r="AF1713" t="n">
        <v>2</v>
      </c>
      <c r="AG1713" t="n">
        <v>2</v>
      </c>
      <c r="AH1713" t="n">
        <v>0</v>
      </c>
      <c r="AI1713" t="n">
        <v>0</v>
      </c>
      <c r="AJ1713" t="n">
        <v>0</v>
      </c>
      <c r="AK1713" t="n">
        <v>0</v>
      </c>
      <c r="AL1713" t="n">
        <v>0</v>
      </c>
      <c r="AM1713" t="n">
        <v>0</v>
      </c>
      <c r="AN1713" t="n">
        <v>0</v>
      </c>
      <c r="AO1713" t="n">
        <v>0</v>
      </c>
      <c r="AP1713" t="inlineStr">
        <is>
          <t>No</t>
        </is>
      </c>
      <c r="AQ1713" t="inlineStr">
        <is>
          <t>No</t>
        </is>
      </c>
      <c r="AS1713">
        <f>HYPERLINK("https://creighton-primo.hosted.exlibrisgroup.com/primo-explore/search?tab=default_tab&amp;search_scope=EVERYTHING&amp;vid=01CRU&amp;lang=en_US&amp;offset=0&amp;query=any,contains,991005212569702656","Catalog Record")</f>
        <v/>
      </c>
      <c r="AT1713">
        <f>HYPERLINK("http://www.worldcat.org/oclc/8170582","WorldCat Record")</f>
        <v/>
      </c>
      <c r="AU1713" t="inlineStr">
        <is>
          <t>30945207:eng</t>
        </is>
      </c>
      <c r="AV1713" t="inlineStr">
        <is>
          <t>8170582</t>
        </is>
      </c>
      <c r="AW1713" t="inlineStr">
        <is>
          <t>991005212569702656</t>
        </is>
      </c>
      <c r="AX1713" t="inlineStr">
        <is>
          <t>991005212569702656</t>
        </is>
      </c>
      <c r="AY1713" t="inlineStr">
        <is>
          <t>2256410190002656</t>
        </is>
      </c>
      <c r="AZ1713" t="inlineStr">
        <is>
          <t>BOOK</t>
        </is>
      </c>
      <c r="BB1713" t="inlineStr">
        <is>
          <t>9780137532100</t>
        </is>
      </c>
      <c r="BC1713" t="inlineStr">
        <is>
          <t>32285000344621</t>
        </is>
      </c>
      <c r="BD1713" t="inlineStr">
        <is>
          <t>893870703</t>
        </is>
      </c>
    </row>
    <row r="1714">
      <c r="A1714" t="inlineStr">
        <is>
          <t>No</t>
        </is>
      </c>
      <c r="B1714" t="inlineStr">
        <is>
          <t>GV951.9 .L4</t>
        </is>
      </c>
      <c r="C1714" t="inlineStr">
        <is>
          <t>0                      GV 0951900L  4</t>
        </is>
      </c>
      <c r="D1714" t="inlineStr">
        <is>
          <t>Notre Dame football : the T formation / Frank William Leahy.</t>
        </is>
      </c>
      <c r="F1714" t="inlineStr">
        <is>
          <t>No</t>
        </is>
      </c>
      <c r="G1714" t="inlineStr">
        <is>
          <t>1</t>
        </is>
      </c>
      <c r="H1714" t="inlineStr">
        <is>
          <t>No</t>
        </is>
      </c>
      <c r="I1714" t="inlineStr">
        <is>
          <t>No</t>
        </is>
      </c>
      <c r="J1714" t="inlineStr">
        <is>
          <t>0</t>
        </is>
      </c>
      <c r="K1714" t="inlineStr">
        <is>
          <t>Leahy, Frank, 1908-1973.</t>
        </is>
      </c>
      <c r="M1714" t="inlineStr">
        <is>
          <t>1949</t>
        </is>
      </c>
      <c r="O1714" t="inlineStr">
        <is>
          <t>eng</t>
        </is>
      </c>
      <c r="P1714" t="inlineStr">
        <is>
          <t>nyu</t>
        </is>
      </c>
      <c r="Q1714" t="inlineStr">
        <is>
          <t>Prentice-Hall books on health and sports</t>
        </is>
      </c>
      <c r="R1714" t="inlineStr">
        <is>
          <t xml:space="preserve">GV </t>
        </is>
      </c>
      <c r="S1714" t="n">
        <v>2</v>
      </c>
      <c r="T1714" t="n">
        <v>2</v>
      </c>
      <c r="U1714" t="inlineStr">
        <is>
          <t>2007-10-02</t>
        </is>
      </c>
      <c r="V1714" t="inlineStr">
        <is>
          <t>2007-10-02</t>
        </is>
      </c>
      <c r="W1714" t="inlineStr">
        <is>
          <t>1996-09-04</t>
        </is>
      </c>
      <c r="X1714" t="inlineStr">
        <is>
          <t>1996-09-04</t>
        </is>
      </c>
      <c r="Y1714" t="n">
        <v>225</v>
      </c>
      <c r="Z1714" t="n">
        <v>221</v>
      </c>
      <c r="AA1714" t="n">
        <v>285</v>
      </c>
      <c r="AB1714" t="n">
        <v>4</v>
      </c>
      <c r="AC1714" t="n">
        <v>4</v>
      </c>
      <c r="AD1714" t="n">
        <v>11</v>
      </c>
      <c r="AE1714" t="n">
        <v>15</v>
      </c>
      <c r="AF1714" t="n">
        <v>0</v>
      </c>
      <c r="AG1714" t="n">
        <v>1</v>
      </c>
      <c r="AH1714" t="n">
        <v>2</v>
      </c>
      <c r="AI1714" t="n">
        <v>4</v>
      </c>
      <c r="AJ1714" t="n">
        <v>7</v>
      </c>
      <c r="AK1714" t="n">
        <v>9</v>
      </c>
      <c r="AL1714" t="n">
        <v>3</v>
      </c>
      <c r="AM1714" t="n">
        <v>3</v>
      </c>
      <c r="AN1714" t="n">
        <v>0</v>
      </c>
      <c r="AO1714" t="n">
        <v>0</v>
      </c>
      <c r="AP1714" t="inlineStr">
        <is>
          <t>No</t>
        </is>
      </c>
      <c r="AQ1714" t="inlineStr">
        <is>
          <t>No</t>
        </is>
      </c>
      <c r="AR1714">
        <f>HYPERLINK("http://catalog.hathitrust.org/Record/001062795","HathiTrust Record")</f>
        <v/>
      </c>
      <c r="AS1714">
        <f>HYPERLINK("https://creighton-primo.hosted.exlibrisgroup.com/primo-explore/search?tab=default_tab&amp;search_scope=EVERYTHING&amp;vid=01CRU&amp;lang=en_US&amp;offset=0&amp;query=any,contains,991005108719702656","Catalog Record")</f>
        <v/>
      </c>
      <c r="AT1714">
        <f>HYPERLINK("http://www.worldcat.org/oclc/7384977","WorldCat Record")</f>
        <v/>
      </c>
      <c r="AU1714" t="inlineStr">
        <is>
          <t>4200210:eng</t>
        </is>
      </c>
      <c r="AV1714" t="inlineStr">
        <is>
          <t>7384977</t>
        </is>
      </c>
      <c r="AW1714" t="inlineStr">
        <is>
          <t>991005108719702656</t>
        </is>
      </c>
      <c r="AX1714" t="inlineStr">
        <is>
          <t>991005108719702656</t>
        </is>
      </c>
      <c r="AY1714" t="inlineStr">
        <is>
          <t>2265143060002656</t>
        </is>
      </c>
      <c r="AZ1714" t="inlineStr">
        <is>
          <t>BOOK</t>
        </is>
      </c>
      <c r="BC1714" t="inlineStr">
        <is>
          <t>32285002305745</t>
        </is>
      </c>
      <c r="BD1714" t="inlineStr">
        <is>
          <t>893520436</t>
        </is>
      </c>
    </row>
    <row r="1715">
      <c r="A1715" t="inlineStr">
        <is>
          <t>No</t>
        </is>
      </c>
      <c r="B1715" t="inlineStr">
        <is>
          <t>GV953.5 .B76</t>
        </is>
      </c>
      <c r="C1715" t="inlineStr">
        <is>
          <t>0                      GV 0953500B  76</t>
        </is>
      </c>
      <c r="D1715" t="inlineStr">
        <is>
          <t>The Notre-Dame weight-training program for football / by Peter Paul Lusardi Broccoletti, with Pat Scanlon.</t>
        </is>
      </c>
      <c r="F1715" t="inlineStr">
        <is>
          <t>No</t>
        </is>
      </c>
      <c r="G1715" t="inlineStr">
        <is>
          <t>1</t>
        </is>
      </c>
      <c r="H1715" t="inlineStr">
        <is>
          <t>No</t>
        </is>
      </c>
      <c r="I1715" t="inlineStr">
        <is>
          <t>No</t>
        </is>
      </c>
      <c r="J1715" t="inlineStr">
        <is>
          <t>0</t>
        </is>
      </c>
      <c r="K1715" t="inlineStr">
        <is>
          <t>Broccoletti, Pete, 1942-</t>
        </is>
      </c>
      <c r="L1715" t="inlineStr">
        <is>
          <t>South Bend, Ind. : Icarus Press, 1979.</t>
        </is>
      </c>
      <c r="M1715" t="inlineStr">
        <is>
          <t>1979</t>
        </is>
      </c>
      <c r="O1715" t="inlineStr">
        <is>
          <t>eng</t>
        </is>
      </c>
      <c r="P1715" t="inlineStr">
        <is>
          <t>inu</t>
        </is>
      </c>
      <c r="R1715" t="inlineStr">
        <is>
          <t xml:space="preserve">GV </t>
        </is>
      </c>
      <c r="S1715" t="n">
        <v>5</v>
      </c>
      <c r="T1715" t="n">
        <v>5</v>
      </c>
      <c r="U1715" t="inlineStr">
        <is>
          <t>2004-07-12</t>
        </is>
      </c>
      <c r="V1715" t="inlineStr">
        <is>
          <t>2004-07-12</t>
        </is>
      </c>
      <c r="W1715" t="inlineStr">
        <is>
          <t>1990-07-31</t>
        </is>
      </c>
      <c r="X1715" t="inlineStr">
        <is>
          <t>1990-07-31</t>
        </is>
      </c>
      <c r="Y1715" t="n">
        <v>108</v>
      </c>
      <c r="Z1715" t="n">
        <v>105</v>
      </c>
      <c r="AA1715" t="n">
        <v>107</v>
      </c>
      <c r="AB1715" t="n">
        <v>2</v>
      </c>
      <c r="AC1715" t="n">
        <v>2</v>
      </c>
      <c r="AD1715" t="n">
        <v>2</v>
      </c>
      <c r="AE1715" t="n">
        <v>2</v>
      </c>
      <c r="AF1715" t="n">
        <v>1</v>
      </c>
      <c r="AG1715" t="n">
        <v>1</v>
      </c>
      <c r="AH1715" t="n">
        <v>0</v>
      </c>
      <c r="AI1715" t="n">
        <v>0</v>
      </c>
      <c r="AJ1715" t="n">
        <v>0</v>
      </c>
      <c r="AK1715" t="n">
        <v>0</v>
      </c>
      <c r="AL1715" t="n">
        <v>1</v>
      </c>
      <c r="AM1715" t="n">
        <v>1</v>
      </c>
      <c r="AN1715" t="n">
        <v>0</v>
      </c>
      <c r="AO1715" t="n">
        <v>0</v>
      </c>
      <c r="AP1715" t="inlineStr">
        <is>
          <t>No</t>
        </is>
      </c>
      <c r="AQ1715" t="inlineStr">
        <is>
          <t>Yes</t>
        </is>
      </c>
      <c r="AR1715">
        <f>HYPERLINK("http://catalog.hathitrust.org/Record/009822482","HathiTrust Record")</f>
        <v/>
      </c>
      <c r="AS1715">
        <f>HYPERLINK("https://creighton-primo.hosted.exlibrisgroup.com/primo-explore/search?tab=default_tab&amp;search_scope=EVERYTHING&amp;vid=01CRU&amp;lang=en_US&amp;offset=0&amp;query=any,contains,991004656109702656","Catalog Record")</f>
        <v/>
      </c>
      <c r="AT1715">
        <f>HYPERLINK("http://www.worldcat.org/oclc/4495364","WorldCat Record")</f>
        <v/>
      </c>
      <c r="AU1715" t="inlineStr">
        <is>
          <t>553025:eng</t>
        </is>
      </c>
      <c r="AV1715" t="inlineStr">
        <is>
          <t>4495364</t>
        </is>
      </c>
      <c r="AW1715" t="inlineStr">
        <is>
          <t>991004656109702656</t>
        </is>
      </c>
      <c r="AX1715" t="inlineStr">
        <is>
          <t>991004656109702656</t>
        </is>
      </c>
      <c r="AY1715" t="inlineStr">
        <is>
          <t>2268058780002656</t>
        </is>
      </c>
      <c r="AZ1715" t="inlineStr">
        <is>
          <t>BOOK</t>
        </is>
      </c>
      <c r="BB1715" t="inlineStr">
        <is>
          <t>9780896515024</t>
        </is>
      </c>
      <c r="BC1715" t="inlineStr">
        <is>
          <t>32285000249168</t>
        </is>
      </c>
      <c r="BD1715" t="inlineStr">
        <is>
          <t>893319488</t>
        </is>
      </c>
    </row>
    <row r="1716">
      <c r="A1716" t="inlineStr">
        <is>
          <t>No</t>
        </is>
      </c>
      <c r="B1716" t="inlineStr">
        <is>
          <t>GV954 .M32 2004</t>
        </is>
      </c>
      <c r="C1716" t="inlineStr">
        <is>
          <t>0                      GV 0954000M  32          2004</t>
        </is>
      </c>
      <c r="D1716" t="inlineStr">
        <is>
          <t>America's game : the epic story of how pro football captured a nation / Michael MacCambridge.</t>
        </is>
      </c>
      <c r="F1716" t="inlineStr">
        <is>
          <t>No</t>
        </is>
      </c>
      <c r="G1716" t="inlineStr">
        <is>
          <t>1</t>
        </is>
      </c>
      <c r="H1716" t="inlineStr">
        <is>
          <t>No</t>
        </is>
      </c>
      <c r="I1716" t="inlineStr">
        <is>
          <t>No</t>
        </is>
      </c>
      <c r="J1716" t="inlineStr">
        <is>
          <t>0</t>
        </is>
      </c>
      <c r="K1716" t="inlineStr">
        <is>
          <t>MacCambridge, Michael, 1963-</t>
        </is>
      </c>
      <c r="L1716" t="inlineStr">
        <is>
          <t>New York : Random House, c2004.</t>
        </is>
      </c>
      <c r="M1716" t="inlineStr">
        <is>
          <t>2004</t>
        </is>
      </c>
      <c r="N1716" t="inlineStr">
        <is>
          <t>1st ed.</t>
        </is>
      </c>
      <c r="O1716" t="inlineStr">
        <is>
          <t>eng</t>
        </is>
      </c>
      <c r="P1716" t="inlineStr">
        <is>
          <t>nyu</t>
        </is>
      </c>
      <c r="R1716" t="inlineStr">
        <is>
          <t xml:space="preserve">GV </t>
        </is>
      </c>
      <c r="S1716" t="n">
        <v>5</v>
      </c>
      <c r="T1716" t="n">
        <v>5</v>
      </c>
      <c r="U1716" t="inlineStr">
        <is>
          <t>2010-09-27</t>
        </is>
      </c>
      <c r="V1716" t="inlineStr">
        <is>
          <t>2010-09-27</t>
        </is>
      </c>
      <c r="W1716" t="inlineStr">
        <is>
          <t>2005-01-04</t>
        </is>
      </c>
      <c r="X1716" t="inlineStr">
        <is>
          <t>2005-01-04</t>
        </is>
      </c>
      <c r="Y1716" t="n">
        <v>1308</v>
      </c>
      <c r="Z1716" t="n">
        <v>1280</v>
      </c>
      <c r="AA1716" t="n">
        <v>1398</v>
      </c>
      <c r="AB1716" t="n">
        <v>11</v>
      </c>
      <c r="AC1716" t="n">
        <v>11</v>
      </c>
      <c r="AD1716" t="n">
        <v>29</v>
      </c>
      <c r="AE1716" t="n">
        <v>30</v>
      </c>
      <c r="AF1716" t="n">
        <v>17</v>
      </c>
      <c r="AG1716" t="n">
        <v>18</v>
      </c>
      <c r="AH1716" t="n">
        <v>4</v>
      </c>
      <c r="AI1716" t="n">
        <v>4</v>
      </c>
      <c r="AJ1716" t="n">
        <v>8</v>
      </c>
      <c r="AK1716" t="n">
        <v>8</v>
      </c>
      <c r="AL1716" t="n">
        <v>6</v>
      </c>
      <c r="AM1716" t="n">
        <v>6</v>
      </c>
      <c r="AN1716" t="n">
        <v>0</v>
      </c>
      <c r="AO1716" t="n">
        <v>0</v>
      </c>
      <c r="AP1716" t="inlineStr">
        <is>
          <t>No</t>
        </is>
      </c>
      <c r="AQ1716" t="inlineStr">
        <is>
          <t>No</t>
        </is>
      </c>
      <c r="AS1716">
        <f>HYPERLINK("https://creighton-primo.hosted.exlibrisgroup.com/primo-explore/search?tab=default_tab&amp;search_scope=EVERYTHING&amp;vid=01CRU&amp;lang=en_US&amp;offset=0&amp;query=any,contains,991004430639702656","Catalog Record")</f>
        <v/>
      </c>
      <c r="AT1716">
        <f>HYPERLINK("http://www.worldcat.org/oclc/55487248","WorldCat Record")</f>
        <v/>
      </c>
      <c r="AU1716" t="inlineStr">
        <is>
          <t>889290278:eng</t>
        </is>
      </c>
      <c r="AV1716" t="inlineStr">
        <is>
          <t>55487248</t>
        </is>
      </c>
      <c r="AW1716" t="inlineStr">
        <is>
          <t>991004430639702656</t>
        </is>
      </c>
      <c r="AX1716" t="inlineStr">
        <is>
          <t>991004430639702656</t>
        </is>
      </c>
      <c r="AY1716" t="inlineStr">
        <is>
          <t>2263237920002656</t>
        </is>
      </c>
      <c r="AZ1716" t="inlineStr">
        <is>
          <t>BOOK</t>
        </is>
      </c>
      <c r="BB1716" t="inlineStr">
        <is>
          <t>9780375504549</t>
        </is>
      </c>
      <c r="BC1716" t="inlineStr">
        <is>
          <t>32285005018527</t>
        </is>
      </c>
      <c r="BD1716" t="inlineStr">
        <is>
          <t>893532396</t>
        </is>
      </c>
    </row>
    <row r="1717">
      <c r="A1717" t="inlineStr">
        <is>
          <t>No</t>
        </is>
      </c>
      <c r="B1717" t="inlineStr">
        <is>
          <t>GV954 .M37 1998</t>
        </is>
      </c>
      <c r="C1717" t="inlineStr">
        <is>
          <t>0                      GV 0954000M  37          1998</t>
        </is>
      </c>
      <c r="D1717" t="inlineStr">
        <is>
          <t>The Sunday game : at the dawn of professional football / by Keith McClellan.</t>
        </is>
      </c>
      <c r="F1717" t="inlineStr">
        <is>
          <t>No</t>
        </is>
      </c>
      <c r="G1717" t="inlineStr">
        <is>
          <t>1</t>
        </is>
      </c>
      <c r="H1717" t="inlineStr">
        <is>
          <t>No</t>
        </is>
      </c>
      <c r="I1717" t="inlineStr">
        <is>
          <t>No</t>
        </is>
      </c>
      <c r="J1717" t="inlineStr">
        <is>
          <t>0</t>
        </is>
      </c>
      <c r="K1717" t="inlineStr">
        <is>
          <t>McClellan, Keith.</t>
        </is>
      </c>
      <c r="L1717" t="inlineStr">
        <is>
          <t>Akron, OH : University of Akron Press, 1998.</t>
        </is>
      </c>
      <c r="M1717" t="inlineStr">
        <is>
          <t>1998</t>
        </is>
      </c>
      <c r="N1717" t="inlineStr">
        <is>
          <t>1st ed.</t>
        </is>
      </c>
      <c r="O1717" t="inlineStr">
        <is>
          <t>eng</t>
        </is>
      </c>
      <c r="P1717" t="inlineStr">
        <is>
          <t>ohu</t>
        </is>
      </c>
      <c r="Q1717" t="inlineStr">
        <is>
          <t>Ohio history and culture</t>
        </is>
      </c>
      <c r="R1717" t="inlineStr">
        <is>
          <t xml:space="preserve">GV </t>
        </is>
      </c>
      <c r="S1717" t="n">
        <v>1</v>
      </c>
      <c r="T1717" t="n">
        <v>1</v>
      </c>
      <c r="U1717" t="inlineStr">
        <is>
          <t>2001-09-24</t>
        </is>
      </c>
      <c r="V1717" t="inlineStr">
        <is>
          <t>2001-09-24</t>
        </is>
      </c>
      <c r="W1717" t="inlineStr">
        <is>
          <t>2000-04-11</t>
        </is>
      </c>
      <c r="X1717" t="inlineStr">
        <is>
          <t>2000-04-11</t>
        </is>
      </c>
      <c r="Y1717" t="n">
        <v>460</v>
      </c>
      <c r="Z1717" t="n">
        <v>451</v>
      </c>
      <c r="AA1717" t="n">
        <v>602</v>
      </c>
      <c r="AB1717" t="n">
        <v>3</v>
      </c>
      <c r="AC1717" t="n">
        <v>3</v>
      </c>
      <c r="AD1717" t="n">
        <v>14</v>
      </c>
      <c r="AE1717" t="n">
        <v>16</v>
      </c>
      <c r="AF1717" t="n">
        <v>6</v>
      </c>
      <c r="AG1717" t="n">
        <v>8</v>
      </c>
      <c r="AH1717" t="n">
        <v>3</v>
      </c>
      <c r="AI1717" t="n">
        <v>4</v>
      </c>
      <c r="AJ1717" t="n">
        <v>6</v>
      </c>
      <c r="AK1717" t="n">
        <v>6</v>
      </c>
      <c r="AL1717" t="n">
        <v>2</v>
      </c>
      <c r="AM1717" t="n">
        <v>2</v>
      </c>
      <c r="AN1717" t="n">
        <v>0</v>
      </c>
      <c r="AO1717" t="n">
        <v>0</v>
      </c>
      <c r="AP1717" t="inlineStr">
        <is>
          <t>No</t>
        </is>
      </c>
      <c r="AQ1717" t="inlineStr">
        <is>
          <t>Yes</t>
        </is>
      </c>
      <c r="AR1717">
        <f>HYPERLINK("http://catalog.hathitrust.org/Record/003993276","HathiTrust Record")</f>
        <v/>
      </c>
      <c r="AS1717">
        <f>HYPERLINK("https://creighton-primo.hosted.exlibrisgroup.com/primo-explore/search?tab=default_tab&amp;search_scope=EVERYTHING&amp;vid=01CRU&amp;lang=en_US&amp;offset=0&amp;query=any,contains,991002939609702656","Catalog Record")</f>
        <v/>
      </c>
      <c r="AT1717">
        <f>HYPERLINK("http://www.worldcat.org/oclc/39108740","WorldCat Record")</f>
        <v/>
      </c>
      <c r="AU1717" t="inlineStr">
        <is>
          <t>793962540:eng</t>
        </is>
      </c>
      <c r="AV1717" t="inlineStr">
        <is>
          <t>39108740</t>
        </is>
      </c>
      <c r="AW1717" t="inlineStr">
        <is>
          <t>991002939609702656</t>
        </is>
      </c>
      <c r="AX1717" t="inlineStr">
        <is>
          <t>991002939609702656</t>
        </is>
      </c>
      <c r="AY1717" t="inlineStr">
        <is>
          <t>2263697980002656</t>
        </is>
      </c>
      <c r="AZ1717" t="inlineStr">
        <is>
          <t>BOOK</t>
        </is>
      </c>
      <c r="BB1717" t="inlineStr">
        <is>
          <t>9781884836350</t>
        </is>
      </c>
      <c r="BC1717" t="inlineStr">
        <is>
          <t>32285003675914</t>
        </is>
      </c>
      <c r="BD1717" t="inlineStr">
        <is>
          <t>893616786</t>
        </is>
      </c>
    </row>
    <row r="1718">
      <c r="A1718" t="inlineStr">
        <is>
          <t>No</t>
        </is>
      </c>
      <c r="B1718" t="inlineStr">
        <is>
          <t>GV954 .P48 1997</t>
        </is>
      </c>
      <c r="C1718" t="inlineStr">
        <is>
          <t>0                      GV 0954000P  48          1997</t>
        </is>
      </c>
      <c r="D1718" t="inlineStr">
        <is>
          <t>Pigskin : the early years of pro football / Robert W. Peterson.</t>
        </is>
      </c>
      <c r="F1718" t="inlineStr">
        <is>
          <t>No</t>
        </is>
      </c>
      <c r="G1718" t="inlineStr">
        <is>
          <t>1</t>
        </is>
      </c>
      <c r="H1718" t="inlineStr">
        <is>
          <t>No</t>
        </is>
      </c>
      <c r="I1718" t="inlineStr">
        <is>
          <t>No</t>
        </is>
      </c>
      <c r="J1718" t="inlineStr">
        <is>
          <t>0</t>
        </is>
      </c>
      <c r="K1718" t="inlineStr">
        <is>
          <t>Peterson, Robert, 1925-2006.</t>
        </is>
      </c>
      <c r="L1718" t="inlineStr">
        <is>
          <t>New York : Oxford University Press, 1997.</t>
        </is>
      </c>
      <c r="M1718" t="inlineStr">
        <is>
          <t>1997</t>
        </is>
      </c>
      <c r="O1718" t="inlineStr">
        <is>
          <t>eng</t>
        </is>
      </c>
      <c r="P1718" t="inlineStr">
        <is>
          <t>nyu</t>
        </is>
      </c>
      <c r="R1718" t="inlineStr">
        <is>
          <t xml:space="preserve">GV </t>
        </is>
      </c>
      <c r="S1718" t="n">
        <v>1</v>
      </c>
      <c r="T1718" t="n">
        <v>1</v>
      </c>
      <c r="U1718" t="inlineStr">
        <is>
          <t>2006-09-07</t>
        </is>
      </c>
      <c r="V1718" t="inlineStr">
        <is>
          <t>2006-09-07</t>
        </is>
      </c>
      <c r="W1718" t="inlineStr">
        <is>
          <t>2006-09-07</t>
        </is>
      </c>
      <c r="X1718" t="inlineStr">
        <is>
          <t>2006-09-07</t>
        </is>
      </c>
      <c r="Y1718" t="n">
        <v>669</v>
      </c>
      <c r="Z1718" t="n">
        <v>639</v>
      </c>
      <c r="AA1718" t="n">
        <v>924</v>
      </c>
      <c r="AB1718" t="n">
        <v>5</v>
      </c>
      <c r="AC1718" t="n">
        <v>7</v>
      </c>
      <c r="AD1718" t="n">
        <v>11</v>
      </c>
      <c r="AE1718" t="n">
        <v>15</v>
      </c>
      <c r="AF1718" t="n">
        <v>4</v>
      </c>
      <c r="AG1718" t="n">
        <v>6</v>
      </c>
      <c r="AH1718" t="n">
        <v>1</v>
      </c>
      <c r="AI1718" t="n">
        <v>1</v>
      </c>
      <c r="AJ1718" t="n">
        <v>3</v>
      </c>
      <c r="AK1718" t="n">
        <v>4</v>
      </c>
      <c r="AL1718" t="n">
        <v>3</v>
      </c>
      <c r="AM1718" t="n">
        <v>5</v>
      </c>
      <c r="AN1718" t="n">
        <v>1</v>
      </c>
      <c r="AO1718" t="n">
        <v>1</v>
      </c>
      <c r="AP1718" t="inlineStr">
        <is>
          <t>No</t>
        </is>
      </c>
      <c r="AQ1718" t="inlineStr">
        <is>
          <t>No</t>
        </is>
      </c>
      <c r="AS1718">
        <f>HYPERLINK("https://creighton-primo.hosted.exlibrisgroup.com/primo-explore/search?tab=default_tab&amp;search_scope=EVERYTHING&amp;vid=01CRU&amp;lang=en_US&amp;offset=0&amp;query=any,contains,991004915649702656","Catalog Record")</f>
        <v/>
      </c>
      <c r="AT1718">
        <f>HYPERLINK("http://www.worldcat.org/oclc/34742498","WorldCat Record")</f>
        <v/>
      </c>
      <c r="AU1718" t="inlineStr">
        <is>
          <t>801256971:eng</t>
        </is>
      </c>
      <c r="AV1718" t="inlineStr">
        <is>
          <t>34742498</t>
        </is>
      </c>
      <c r="AW1718" t="inlineStr">
        <is>
          <t>991004915649702656</t>
        </is>
      </c>
      <c r="AX1718" t="inlineStr">
        <is>
          <t>991004915649702656</t>
        </is>
      </c>
      <c r="AY1718" t="inlineStr">
        <is>
          <t>2270247580002656</t>
        </is>
      </c>
      <c r="AZ1718" t="inlineStr">
        <is>
          <t>BOOK</t>
        </is>
      </c>
      <c r="BB1718" t="inlineStr">
        <is>
          <t>9780195076073</t>
        </is>
      </c>
      <c r="BC1718" t="inlineStr">
        <is>
          <t>32285005222376</t>
        </is>
      </c>
      <c r="BD1718" t="inlineStr">
        <is>
          <t>893536263</t>
        </is>
      </c>
    </row>
    <row r="1719">
      <c r="A1719" t="inlineStr">
        <is>
          <t>No</t>
        </is>
      </c>
      <c r="B1719" t="inlineStr">
        <is>
          <t>GV954.32 .W47 1992</t>
        </is>
      </c>
      <c r="C1719" t="inlineStr">
        <is>
          <t>0                      GV 0954320W  47          1992</t>
        </is>
      </c>
      <c r="D1719" t="inlineStr">
        <is>
          <t>The meat market : the inside story of the NFL draft / Richard Whittingham.</t>
        </is>
      </c>
      <c r="F1719" t="inlineStr">
        <is>
          <t>No</t>
        </is>
      </c>
      <c r="G1719" t="inlineStr">
        <is>
          <t>1</t>
        </is>
      </c>
      <c r="H1719" t="inlineStr">
        <is>
          <t>No</t>
        </is>
      </c>
      <c r="I1719" t="inlineStr">
        <is>
          <t>No</t>
        </is>
      </c>
      <c r="J1719" t="inlineStr">
        <is>
          <t>0</t>
        </is>
      </c>
      <c r="K1719" t="inlineStr">
        <is>
          <t>Whittingham, Richard, 1939-2005.</t>
        </is>
      </c>
      <c r="L1719" t="inlineStr">
        <is>
          <t>New York : Macmillan ; Toronto : Maxwell Macmillan ; New York : Maxwell Macmillan International, c1992.</t>
        </is>
      </c>
      <c r="M1719" t="inlineStr">
        <is>
          <t>1992</t>
        </is>
      </c>
      <c r="O1719" t="inlineStr">
        <is>
          <t>eng</t>
        </is>
      </c>
      <c r="P1719" t="inlineStr">
        <is>
          <t>nyu</t>
        </is>
      </c>
      <c r="R1719" t="inlineStr">
        <is>
          <t xml:space="preserve">GV </t>
        </is>
      </c>
      <c r="S1719" t="n">
        <v>2</v>
      </c>
      <c r="T1719" t="n">
        <v>2</v>
      </c>
      <c r="U1719" t="inlineStr">
        <is>
          <t>2006-11-16</t>
        </is>
      </c>
      <c r="V1719" t="inlineStr">
        <is>
          <t>2006-11-16</t>
        </is>
      </c>
      <c r="W1719" t="inlineStr">
        <is>
          <t>2006-11-16</t>
        </is>
      </c>
      <c r="X1719" t="inlineStr">
        <is>
          <t>2006-11-16</t>
        </is>
      </c>
      <c r="Y1719" t="n">
        <v>265</v>
      </c>
      <c r="Z1719" t="n">
        <v>255</v>
      </c>
      <c r="AA1719" t="n">
        <v>256</v>
      </c>
      <c r="AB1719" t="n">
        <v>2</v>
      </c>
      <c r="AC1719" t="n">
        <v>2</v>
      </c>
      <c r="AD1719" t="n">
        <v>3</v>
      </c>
      <c r="AE1719" t="n">
        <v>3</v>
      </c>
      <c r="AF1719" t="n">
        <v>0</v>
      </c>
      <c r="AG1719" t="n">
        <v>0</v>
      </c>
      <c r="AH1719" t="n">
        <v>0</v>
      </c>
      <c r="AI1719" t="n">
        <v>0</v>
      </c>
      <c r="AJ1719" t="n">
        <v>2</v>
      </c>
      <c r="AK1719" t="n">
        <v>2</v>
      </c>
      <c r="AL1719" t="n">
        <v>1</v>
      </c>
      <c r="AM1719" t="n">
        <v>1</v>
      </c>
      <c r="AN1719" t="n">
        <v>0</v>
      </c>
      <c r="AO1719" t="n">
        <v>0</v>
      </c>
      <c r="AP1719" t="inlineStr">
        <is>
          <t>No</t>
        </is>
      </c>
      <c r="AQ1719" t="inlineStr">
        <is>
          <t>Yes</t>
        </is>
      </c>
      <c r="AR1719">
        <f>HYPERLINK("http://catalog.hathitrust.org/Record/002582823","HathiTrust Record")</f>
        <v/>
      </c>
      <c r="AS1719">
        <f>HYPERLINK("https://creighton-primo.hosted.exlibrisgroup.com/primo-explore/search?tab=default_tab&amp;search_scope=EVERYTHING&amp;vid=01CRU&amp;lang=en_US&amp;offset=0&amp;query=any,contains,991004982039702656","Catalog Record")</f>
        <v/>
      </c>
      <c r="AT1719">
        <f>HYPERLINK("http://www.worldcat.org/oclc/25674796","WorldCat Record")</f>
        <v/>
      </c>
      <c r="AU1719" t="inlineStr">
        <is>
          <t>28660411:eng</t>
        </is>
      </c>
      <c r="AV1719" t="inlineStr">
        <is>
          <t>25674796</t>
        </is>
      </c>
      <c r="AW1719" t="inlineStr">
        <is>
          <t>991004982039702656</t>
        </is>
      </c>
      <c r="AX1719" t="inlineStr">
        <is>
          <t>991004982039702656</t>
        </is>
      </c>
      <c r="AY1719" t="inlineStr">
        <is>
          <t>2270165520002656</t>
        </is>
      </c>
      <c r="AZ1719" t="inlineStr">
        <is>
          <t>BOOK</t>
        </is>
      </c>
      <c r="BB1719" t="inlineStr">
        <is>
          <t>9780002627665</t>
        </is>
      </c>
      <c r="BC1719" t="inlineStr">
        <is>
          <t>32285005260368</t>
        </is>
      </c>
      <c r="BD1719" t="inlineStr">
        <is>
          <t>893889508</t>
        </is>
      </c>
    </row>
    <row r="1720">
      <c r="A1720" t="inlineStr">
        <is>
          <t>No</t>
        </is>
      </c>
      <c r="B1720" t="inlineStr">
        <is>
          <t>GV954.4 .S56 1995</t>
        </is>
      </c>
      <c r="C1720" t="inlineStr">
        <is>
          <t>0                      GV 0954400S  56          1995</t>
        </is>
      </c>
      <c r="D1720" t="inlineStr">
        <is>
          <t>Everyone's a coach : you can inspire anyone to be a winner / Don Shula &amp; Ken Blanchard.</t>
        </is>
      </c>
      <c r="F1720" t="inlineStr">
        <is>
          <t>No</t>
        </is>
      </c>
      <c r="G1720" t="inlineStr">
        <is>
          <t>1</t>
        </is>
      </c>
      <c r="H1720" t="inlineStr">
        <is>
          <t>No</t>
        </is>
      </c>
      <c r="I1720" t="inlineStr">
        <is>
          <t>No</t>
        </is>
      </c>
      <c r="J1720" t="inlineStr">
        <is>
          <t>0</t>
        </is>
      </c>
      <c r="K1720" t="inlineStr">
        <is>
          <t>Shula, Don, 1930-2020.</t>
        </is>
      </c>
      <c r="L1720" t="inlineStr">
        <is>
          <t>Grand Rapids, Mich. : Zondervan Pub. House, c1995.</t>
        </is>
      </c>
      <c r="M1720" t="inlineStr">
        <is>
          <t>1995</t>
        </is>
      </c>
      <c r="O1720" t="inlineStr">
        <is>
          <t>eng</t>
        </is>
      </c>
      <c r="P1720" t="inlineStr">
        <is>
          <t>miu</t>
        </is>
      </c>
      <c r="R1720" t="inlineStr">
        <is>
          <t xml:space="preserve">GV </t>
        </is>
      </c>
      <c r="S1720" t="n">
        <v>10</v>
      </c>
      <c r="T1720" t="n">
        <v>10</v>
      </c>
      <c r="U1720" t="inlineStr">
        <is>
          <t>2002-11-26</t>
        </is>
      </c>
      <c r="V1720" t="inlineStr">
        <is>
          <t>2002-11-26</t>
        </is>
      </c>
      <c r="W1720" t="inlineStr">
        <is>
          <t>1995-05-15</t>
        </is>
      </c>
      <c r="X1720" t="inlineStr">
        <is>
          <t>1995-05-15</t>
        </is>
      </c>
      <c r="Y1720" t="n">
        <v>656</v>
      </c>
      <c r="Z1720" t="n">
        <v>618</v>
      </c>
      <c r="AA1720" t="n">
        <v>631</v>
      </c>
      <c r="AB1720" t="n">
        <v>14</v>
      </c>
      <c r="AC1720" t="n">
        <v>14</v>
      </c>
      <c r="AD1720" t="n">
        <v>13</v>
      </c>
      <c r="AE1720" t="n">
        <v>13</v>
      </c>
      <c r="AF1720" t="n">
        <v>5</v>
      </c>
      <c r="AG1720" t="n">
        <v>5</v>
      </c>
      <c r="AH1720" t="n">
        <v>1</v>
      </c>
      <c r="AI1720" t="n">
        <v>1</v>
      </c>
      <c r="AJ1720" t="n">
        <v>5</v>
      </c>
      <c r="AK1720" t="n">
        <v>5</v>
      </c>
      <c r="AL1720" t="n">
        <v>5</v>
      </c>
      <c r="AM1720" t="n">
        <v>5</v>
      </c>
      <c r="AN1720" t="n">
        <v>0</v>
      </c>
      <c r="AO1720" t="n">
        <v>0</v>
      </c>
      <c r="AP1720" t="inlineStr">
        <is>
          <t>No</t>
        </is>
      </c>
      <c r="AQ1720" t="inlineStr">
        <is>
          <t>No</t>
        </is>
      </c>
      <c r="AS1720">
        <f>HYPERLINK("https://creighton-primo.hosted.exlibrisgroup.com/primo-explore/search?tab=default_tab&amp;search_scope=EVERYTHING&amp;vid=01CRU&amp;lang=en_US&amp;offset=0&amp;query=any,contains,991002452559702656","Catalog Record")</f>
        <v/>
      </c>
      <c r="AT1720">
        <f>HYPERLINK("http://www.worldcat.org/oclc/31971614","WorldCat Record")</f>
        <v/>
      </c>
      <c r="AU1720" t="inlineStr">
        <is>
          <t>34057601:eng</t>
        </is>
      </c>
      <c r="AV1720" t="inlineStr">
        <is>
          <t>31971614</t>
        </is>
      </c>
      <c r="AW1720" t="inlineStr">
        <is>
          <t>991002452559702656</t>
        </is>
      </c>
      <c r="AX1720" t="inlineStr">
        <is>
          <t>991002452559702656</t>
        </is>
      </c>
      <c r="AY1720" t="inlineStr">
        <is>
          <t>2267044700002656</t>
        </is>
      </c>
      <c r="AZ1720" t="inlineStr">
        <is>
          <t>BOOK</t>
        </is>
      </c>
      <c r="BB1720" t="inlineStr">
        <is>
          <t>9780310501206</t>
        </is>
      </c>
      <c r="BC1720" t="inlineStr">
        <is>
          <t>32285002039823</t>
        </is>
      </c>
      <c r="BD1720" t="inlineStr">
        <is>
          <t>893603619</t>
        </is>
      </c>
    </row>
    <row r="1721">
      <c r="A1721" t="inlineStr">
        <is>
          <t>No</t>
        </is>
      </c>
      <c r="B1721" t="inlineStr">
        <is>
          <t>GV955.5.N35 H37 1986</t>
        </is>
      </c>
      <c r="C1721" t="inlineStr">
        <is>
          <t>0                      GV 0955500N  35                 H  37          1986</t>
        </is>
      </c>
      <c r="D1721" t="inlineStr">
        <is>
          <t>The League : the rise and decline of the NFL / David Harris.</t>
        </is>
      </c>
      <c r="F1721" t="inlineStr">
        <is>
          <t>No</t>
        </is>
      </c>
      <c r="G1721" t="inlineStr">
        <is>
          <t>1</t>
        </is>
      </c>
      <c r="H1721" t="inlineStr">
        <is>
          <t>No</t>
        </is>
      </c>
      <c r="I1721" t="inlineStr">
        <is>
          <t>No</t>
        </is>
      </c>
      <c r="J1721" t="inlineStr">
        <is>
          <t>0</t>
        </is>
      </c>
      <c r="K1721" t="inlineStr">
        <is>
          <t>Harris, David, 1946-</t>
        </is>
      </c>
      <c r="L1721" t="inlineStr">
        <is>
          <t>Toronto : New York : Bantam Books, c1986.</t>
        </is>
      </c>
      <c r="M1721" t="inlineStr">
        <is>
          <t>1986</t>
        </is>
      </c>
      <c r="O1721" t="inlineStr">
        <is>
          <t>eng</t>
        </is>
      </c>
      <c r="P1721" t="inlineStr">
        <is>
          <t>onc</t>
        </is>
      </c>
      <c r="R1721" t="inlineStr">
        <is>
          <t xml:space="preserve">GV </t>
        </is>
      </c>
      <c r="S1721" t="n">
        <v>10</v>
      </c>
      <c r="T1721" t="n">
        <v>10</v>
      </c>
      <c r="U1721" t="inlineStr">
        <is>
          <t>2005-10-02</t>
        </is>
      </c>
      <c r="V1721" t="inlineStr">
        <is>
          <t>2005-10-02</t>
        </is>
      </c>
      <c r="W1721" t="inlineStr">
        <is>
          <t>1990-02-05</t>
        </is>
      </c>
      <c r="X1721" t="inlineStr">
        <is>
          <t>1990-02-05</t>
        </is>
      </c>
      <c r="Y1721" t="n">
        <v>671</v>
      </c>
      <c r="Z1721" t="n">
        <v>652</v>
      </c>
      <c r="AA1721" t="n">
        <v>674</v>
      </c>
      <c r="AB1721" t="n">
        <v>3</v>
      </c>
      <c r="AC1721" t="n">
        <v>3</v>
      </c>
      <c r="AD1721" t="n">
        <v>13</v>
      </c>
      <c r="AE1721" t="n">
        <v>13</v>
      </c>
      <c r="AF1721" t="n">
        <v>5</v>
      </c>
      <c r="AG1721" t="n">
        <v>5</v>
      </c>
      <c r="AH1721" t="n">
        <v>3</v>
      </c>
      <c r="AI1721" t="n">
        <v>3</v>
      </c>
      <c r="AJ1721" t="n">
        <v>6</v>
      </c>
      <c r="AK1721" t="n">
        <v>6</v>
      </c>
      <c r="AL1721" t="n">
        <v>1</v>
      </c>
      <c r="AM1721" t="n">
        <v>1</v>
      </c>
      <c r="AN1721" t="n">
        <v>1</v>
      </c>
      <c r="AO1721" t="n">
        <v>1</v>
      </c>
      <c r="AP1721" t="inlineStr">
        <is>
          <t>No</t>
        </is>
      </c>
      <c r="AQ1721" t="inlineStr">
        <is>
          <t>No</t>
        </is>
      </c>
      <c r="AS1721">
        <f>HYPERLINK("https://creighton-primo.hosted.exlibrisgroup.com/primo-explore/search?tab=default_tab&amp;search_scope=EVERYTHING&amp;vid=01CRU&amp;lang=en_US&amp;offset=0&amp;query=any,contains,991000870339702656","Catalog Record")</f>
        <v/>
      </c>
      <c r="AT1721">
        <f>HYPERLINK("http://www.worldcat.org/oclc/13792128","WorldCat Record")</f>
        <v/>
      </c>
      <c r="AU1721" t="inlineStr">
        <is>
          <t>7838952:eng</t>
        </is>
      </c>
      <c r="AV1721" t="inlineStr">
        <is>
          <t>13792128</t>
        </is>
      </c>
      <c r="AW1721" t="inlineStr">
        <is>
          <t>991000870339702656</t>
        </is>
      </c>
      <c r="AX1721" t="inlineStr">
        <is>
          <t>991000870339702656</t>
        </is>
      </c>
      <c r="AY1721" t="inlineStr">
        <is>
          <t>2272644330002656</t>
        </is>
      </c>
      <c r="AZ1721" t="inlineStr">
        <is>
          <t>BOOK</t>
        </is>
      </c>
      <c r="BB1721" t="inlineStr">
        <is>
          <t>9780553051674</t>
        </is>
      </c>
      <c r="BC1721" t="inlineStr">
        <is>
          <t>32285000021005</t>
        </is>
      </c>
      <c r="BD1721" t="inlineStr">
        <is>
          <t>893509186</t>
        </is>
      </c>
    </row>
    <row r="1722">
      <c r="A1722" t="inlineStr">
        <is>
          <t>No</t>
        </is>
      </c>
      <c r="B1722" t="inlineStr">
        <is>
          <t>GV956.G7 L6 1989</t>
        </is>
      </c>
      <c r="C1722" t="inlineStr">
        <is>
          <t>0                      GV 0956000G  7                  L  6           1989</t>
        </is>
      </c>
      <c r="D1722" t="inlineStr">
        <is>
          <t>Run to daylight! / Vince Lombardi with W.C. Heinz ; introduction by John Madden and Dave Anderson.</t>
        </is>
      </c>
      <c r="F1722" t="inlineStr">
        <is>
          <t>No</t>
        </is>
      </c>
      <c r="G1722" t="inlineStr">
        <is>
          <t>1</t>
        </is>
      </c>
      <c r="H1722" t="inlineStr">
        <is>
          <t>No</t>
        </is>
      </c>
      <c r="I1722" t="inlineStr">
        <is>
          <t>No</t>
        </is>
      </c>
      <c r="J1722" t="inlineStr">
        <is>
          <t>0</t>
        </is>
      </c>
      <c r="K1722" t="inlineStr">
        <is>
          <t>Lombardi, Vince.</t>
        </is>
      </c>
      <c r="L1722" t="inlineStr">
        <is>
          <t>New York : Simon &amp; Schuster, 1989, c1963.</t>
        </is>
      </c>
      <c r="M1722" t="inlineStr">
        <is>
          <t>1989</t>
        </is>
      </c>
      <c r="O1722" t="inlineStr">
        <is>
          <t>eng</t>
        </is>
      </c>
      <c r="P1722" t="inlineStr">
        <is>
          <t>nyu</t>
        </is>
      </c>
      <c r="Q1722" t="inlineStr">
        <is>
          <t>Fireside sports classic</t>
        </is>
      </c>
      <c r="R1722" t="inlineStr">
        <is>
          <t xml:space="preserve">GV </t>
        </is>
      </c>
      <c r="S1722" t="n">
        <v>1</v>
      </c>
      <c r="T1722" t="n">
        <v>1</v>
      </c>
      <c r="U1722" t="inlineStr">
        <is>
          <t>2008-07-29</t>
        </is>
      </c>
      <c r="V1722" t="inlineStr">
        <is>
          <t>2008-07-29</t>
        </is>
      </c>
      <c r="W1722" t="inlineStr">
        <is>
          <t>2008-07-29</t>
        </is>
      </c>
      <c r="X1722" t="inlineStr">
        <is>
          <t>2008-07-29</t>
        </is>
      </c>
      <c r="Y1722" t="n">
        <v>55</v>
      </c>
      <c r="Z1722" t="n">
        <v>54</v>
      </c>
      <c r="AA1722" t="n">
        <v>675</v>
      </c>
      <c r="AB1722" t="n">
        <v>3</v>
      </c>
      <c r="AC1722" t="n">
        <v>10</v>
      </c>
      <c r="AD1722" t="n">
        <v>3</v>
      </c>
      <c r="AE1722" t="n">
        <v>12</v>
      </c>
      <c r="AF1722" t="n">
        <v>1</v>
      </c>
      <c r="AG1722" t="n">
        <v>4</v>
      </c>
      <c r="AH1722" t="n">
        <v>0</v>
      </c>
      <c r="AI1722" t="n">
        <v>2</v>
      </c>
      <c r="AJ1722" t="n">
        <v>1</v>
      </c>
      <c r="AK1722" t="n">
        <v>5</v>
      </c>
      <c r="AL1722" t="n">
        <v>2</v>
      </c>
      <c r="AM1722" t="n">
        <v>3</v>
      </c>
      <c r="AN1722" t="n">
        <v>0</v>
      </c>
      <c r="AO1722" t="n">
        <v>0</v>
      </c>
      <c r="AP1722" t="inlineStr">
        <is>
          <t>No</t>
        </is>
      </c>
      <c r="AQ1722" t="inlineStr">
        <is>
          <t>No</t>
        </is>
      </c>
      <c r="AS1722">
        <f>HYPERLINK("https://creighton-primo.hosted.exlibrisgroup.com/primo-explore/search?tab=default_tab&amp;search_scope=EVERYTHING&amp;vid=01CRU&amp;lang=en_US&amp;offset=0&amp;query=any,contains,991005257019702656","Catalog Record")</f>
        <v/>
      </c>
      <c r="AT1722">
        <f>HYPERLINK("http://www.worldcat.org/oclc/20347496","WorldCat Record")</f>
        <v/>
      </c>
      <c r="AU1722" t="inlineStr">
        <is>
          <t>412125:eng</t>
        </is>
      </c>
      <c r="AV1722" t="inlineStr">
        <is>
          <t>20347496</t>
        </is>
      </c>
      <c r="AW1722" t="inlineStr">
        <is>
          <t>991005257019702656</t>
        </is>
      </c>
      <c r="AX1722" t="inlineStr">
        <is>
          <t>991005257019702656</t>
        </is>
      </c>
      <c r="AY1722" t="inlineStr">
        <is>
          <t>2271236890002656</t>
        </is>
      </c>
      <c r="AZ1722" t="inlineStr">
        <is>
          <t>BOOK</t>
        </is>
      </c>
      <c r="BB1722" t="inlineStr">
        <is>
          <t>9780671682132</t>
        </is>
      </c>
      <c r="BC1722" t="inlineStr">
        <is>
          <t>32285005451470</t>
        </is>
      </c>
      <c r="BD1722" t="inlineStr">
        <is>
          <t>893418631</t>
        </is>
      </c>
    </row>
    <row r="1723">
      <c r="A1723" t="inlineStr">
        <is>
          <t>No</t>
        </is>
      </c>
      <c r="B1723" t="inlineStr">
        <is>
          <t>GV957 .B68 O97 2004</t>
        </is>
      </c>
      <c r="C1723" t="inlineStr">
        <is>
          <t>0                      GV 0957000B  68                 O  97          2004</t>
        </is>
      </c>
      <c r="D1723" t="inlineStr">
        <is>
          <t>Bowl games : college football's greatest tradition / Robert M. Ours.</t>
        </is>
      </c>
      <c r="F1723" t="inlineStr">
        <is>
          <t>No</t>
        </is>
      </c>
      <c r="G1723" t="inlineStr">
        <is>
          <t>1</t>
        </is>
      </c>
      <c r="H1723" t="inlineStr">
        <is>
          <t>No</t>
        </is>
      </c>
      <c r="I1723" t="inlineStr">
        <is>
          <t>No</t>
        </is>
      </c>
      <c r="J1723" t="inlineStr">
        <is>
          <t>0</t>
        </is>
      </c>
      <c r="K1723" t="inlineStr">
        <is>
          <t>Ours, Robert M.</t>
        </is>
      </c>
      <c r="L1723" t="inlineStr">
        <is>
          <t>Yardley, Pa. : Westholme Pub., c2004.</t>
        </is>
      </c>
      <c r="M1723" t="inlineStr">
        <is>
          <t>2004</t>
        </is>
      </c>
      <c r="O1723" t="inlineStr">
        <is>
          <t>eng</t>
        </is>
      </c>
      <c r="P1723" t="inlineStr">
        <is>
          <t>pau</t>
        </is>
      </c>
      <c r="R1723" t="inlineStr">
        <is>
          <t xml:space="preserve">GV </t>
        </is>
      </c>
      <c r="S1723" t="n">
        <v>3</v>
      </c>
      <c r="T1723" t="n">
        <v>3</v>
      </c>
      <c r="U1723" t="inlineStr">
        <is>
          <t>2007-09-19</t>
        </is>
      </c>
      <c r="V1723" t="inlineStr">
        <is>
          <t>2007-09-19</t>
        </is>
      </c>
      <c r="W1723" t="inlineStr">
        <is>
          <t>2005-03-22</t>
        </is>
      </c>
      <c r="X1723" t="inlineStr">
        <is>
          <t>2005-03-22</t>
        </is>
      </c>
      <c r="Y1723" t="n">
        <v>108</v>
      </c>
      <c r="Z1723" t="n">
        <v>106</v>
      </c>
      <c r="AA1723" t="n">
        <v>106</v>
      </c>
      <c r="AB1723" t="n">
        <v>1</v>
      </c>
      <c r="AC1723" t="n">
        <v>1</v>
      </c>
      <c r="AD1723" t="n">
        <v>1</v>
      </c>
      <c r="AE1723" t="n">
        <v>1</v>
      </c>
      <c r="AF1723" t="n">
        <v>0</v>
      </c>
      <c r="AG1723" t="n">
        <v>0</v>
      </c>
      <c r="AH1723" t="n">
        <v>0</v>
      </c>
      <c r="AI1723" t="n">
        <v>0</v>
      </c>
      <c r="AJ1723" t="n">
        <v>1</v>
      </c>
      <c r="AK1723" t="n">
        <v>1</v>
      </c>
      <c r="AL1723" t="n">
        <v>0</v>
      </c>
      <c r="AM1723" t="n">
        <v>0</v>
      </c>
      <c r="AN1723" t="n">
        <v>0</v>
      </c>
      <c r="AO1723" t="n">
        <v>0</v>
      </c>
      <c r="AP1723" t="inlineStr">
        <is>
          <t>No</t>
        </is>
      </c>
      <c r="AQ1723" t="inlineStr">
        <is>
          <t>No</t>
        </is>
      </c>
      <c r="AS1723">
        <f>HYPERLINK("https://creighton-primo.hosted.exlibrisgroup.com/primo-explore/search?tab=default_tab&amp;search_scope=EVERYTHING&amp;vid=01CRU&amp;lang=en_US&amp;offset=0&amp;query=any,contains,991004477159702656","Catalog Record")</f>
        <v/>
      </c>
      <c r="AT1723">
        <f>HYPERLINK("http://www.worldcat.org/oclc/57370708","WorldCat Record")</f>
        <v/>
      </c>
      <c r="AU1723" t="inlineStr">
        <is>
          <t>18679543:eng</t>
        </is>
      </c>
      <c r="AV1723" t="inlineStr">
        <is>
          <t>57370708</t>
        </is>
      </c>
      <c r="AW1723" t="inlineStr">
        <is>
          <t>991004477159702656</t>
        </is>
      </c>
      <c r="AX1723" t="inlineStr">
        <is>
          <t>991004477159702656</t>
        </is>
      </c>
      <c r="AY1723" t="inlineStr">
        <is>
          <t>2259822750002656</t>
        </is>
      </c>
      <c r="AZ1723" t="inlineStr">
        <is>
          <t>BOOK</t>
        </is>
      </c>
      <c r="BB1723" t="inlineStr">
        <is>
          <t>9781594160011</t>
        </is>
      </c>
      <c r="BC1723" t="inlineStr">
        <is>
          <t>32285005043889</t>
        </is>
      </c>
      <c r="BD1723" t="inlineStr">
        <is>
          <t>893253733</t>
        </is>
      </c>
    </row>
    <row r="1724">
      <c r="A1724" t="inlineStr">
        <is>
          <t>No</t>
        </is>
      </c>
      <c r="B1724" t="inlineStr">
        <is>
          <t>GV958.5.I55 W66 1989</t>
        </is>
      </c>
      <c r="C1724" t="inlineStr">
        <is>
          <t>0                      GV 0958500I  55                 W  66          1989</t>
        </is>
      </c>
      <c r="D1724" t="inlineStr">
        <is>
          <t>Big Ten country : a journey through one football season / Bob Wood.</t>
        </is>
      </c>
      <c r="F1724" t="inlineStr">
        <is>
          <t>No</t>
        </is>
      </c>
      <c r="G1724" t="inlineStr">
        <is>
          <t>1</t>
        </is>
      </c>
      <c r="H1724" t="inlineStr">
        <is>
          <t>No</t>
        </is>
      </c>
      <c r="I1724" t="inlineStr">
        <is>
          <t>No</t>
        </is>
      </c>
      <c r="J1724" t="inlineStr">
        <is>
          <t>0</t>
        </is>
      </c>
      <c r="K1724" t="inlineStr">
        <is>
          <t>Wood, Bob, 1957-</t>
        </is>
      </c>
      <c r="L1724" t="inlineStr">
        <is>
          <t>New York : Morrow, c1989.</t>
        </is>
      </c>
      <c r="M1724" t="inlineStr">
        <is>
          <t>1989</t>
        </is>
      </c>
      <c r="O1724" t="inlineStr">
        <is>
          <t>eng</t>
        </is>
      </c>
      <c r="P1724" t="inlineStr">
        <is>
          <t>nyu</t>
        </is>
      </c>
      <c r="R1724" t="inlineStr">
        <is>
          <t xml:space="preserve">GV </t>
        </is>
      </c>
      <c r="S1724" t="n">
        <v>1</v>
      </c>
      <c r="T1724" t="n">
        <v>1</v>
      </c>
      <c r="U1724" t="inlineStr">
        <is>
          <t>2010-07-15</t>
        </is>
      </c>
      <c r="V1724" t="inlineStr">
        <is>
          <t>2010-07-15</t>
        </is>
      </c>
      <c r="W1724" t="inlineStr">
        <is>
          <t>2010-07-15</t>
        </is>
      </c>
      <c r="X1724" t="inlineStr">
        <is>
          <t>2010-07-15</t>
        </is>
      </c>
      <c r="Y1724" t="n">
        <v>205</v>
      </c>
      <c r="Z1724" t="n">
        <v>204</v>
      </c>
      <c r="AA1724" t="n">
        <v>211</v>
      </c>
      <c r="AB1724" t="n">
        <v>2</v>
      </c>
      <c r="AC1724" t="n">
        <v>2</v>
      </c>
      <c r="AD1724" t="n">
        <v>2</v>
      </c>
      <c r="AE1724" t="n">
        <v>2</v>
      </c>
      <c r="AF1724" t="n">
        <v>2</v>
      </c>
      <c r="AG1724" t="n">
        <v>2</v>
      </c>
      <c r="AH1724" t="n">
        <v>0</v>
      </c>
      <c r="AI1724" t="n">
        <v>0</v>
      </c>
      <c r="AJ1724" t="n">
        <v>0</v>
      </c>
      <c r="AK1724" t="n">
        <v>0</v>
      </c>
      <c r="AL1724" t="n">
        <v>0</v>
      </c>
      <c r="AM1724" t="n">
        <v>0</v>
      </c>
      <c r="AN1724" t="n">
        <v>0</v>
      </c>
      <c r="AO1724" t="n">
        <v>0</v>
      </c>
      <c r="AP1724" t="inlineStr">
        <is>
          <t>No</t>
        </is>
      </c>
      <c r="AQ1724" t="inlineStr">
        <is>
          <t>Yes</t>
        </is>
      </c>
      <c r="AR1724">
        <f>HYPERLINK("http://catalog.hathitrust.org/Record/002746222","HathiTrust Record")</f>
        <v/>
      </c>
      <c r="AS1724">
        <f>HYPERLINK("https://creighton-primo.hosted.exlibrisgroup.com/primo-explore/search?tab=default_tab&amp;search_scope=EVERYTHING&amp;vid=01CRU&amp;lang=en_US&amp;offset=0&amp;query=any,contains,991000028269702656","Catalog Record")</f>
        <v/>
      </c>
      <c r="AT1724">
        <f>HYPERLINK("http://www.worldcat.org/oclc/19921910","WorldCat Record")</f>
        <v/>
      </c>
      <c r="AU1724" t="inlineStr">
        <is>
          <t>21468412:eng</t>
        </is>
      </c>
      <c r="AV1724" t="inlineStr">
        <is>
          <t>19921910</t>
        </is>
      </c>
      <c r="AW1724" t="inlineStr">
        <is>
          <t>991000028269702656</t>
        </is>
      </c>
      <c r="AX1724" t="inlineStr">
        <is>
          <t>991000028269702656</t>
        </is>
      </c>
      <c r="AY1724" t="inlineStr">
        <is>
          <t>2269427470002656</t>
        </is>
      </c>
      <c r="AZ1724" t="inlineStr">
        <is>
          <t>BOOK</t>
        </is>
      </c>
      <c r="BB1724" t="inlineStr">
        <is>
          <t>9780688089221</t>
        </is>
      </c>
      <c r="BC1724" t="inlineStr">
        <is>
          <t>32285005590293</t>
        </is>
      </c>
      <c r="BD1724" t="inlineStr">
        <is>
          <t>893790184</t>
        </is>
      </c>
    </row>
    <row r="1725">
      <c r="A1725" t="inlineStr">
        <is>
          <t>No</t>
        </is>
      </c>
      <c r="B1725" t="inlineStr">
        <is>
          <t>GV958.M5 W47 1990</t>
        </is>
      </c>
      <c r="C1725" t="inlineStr">
        <is>
          <t>0                      GV 0958000M  5                  W  47          1990</t>
        </is>
      </c>
      <c r="D1725" t="inlineStr">
        <is>
          <t>Behind the green curtain : the sacrifice of ethics and academics in Michigan State football's rise to national prominence / Stu Whitney and Bob Kourtakis.</t>
        </is>
      </c>
      <c r="F1725" t="inlineStr">
        <is>
          <t>No</t>
        </is>
      </c>
      <c r="G1725" t="inlineStr">
        <is>
          <t>1</t>
        </is>
      </c>
      <c r="H1725" t="inlineStr">
        <is>
          <t>No</t>
        </is>
      </c>
      <c r="I1725" t="inlineStr">
        <is>
          <t>No</t>
        </is>
      </c>
      <c r="J1725" t="inlineStr">
        <is>
          <t>0</t>
        </is>
      </c>
      <c r="K1725" t="inlineStr">
        <is>
          <t>Whitney, Stu, 1967-</t>
        </is>
      </c>
      <c r="L1725" t="inlineStr">
        <is>
          <t>Grand Rapids, MI : Masters Press, c1990.</t>
        </is>
      </c>
      <c r="M1725" t="inlineStr">
        <is>
          <t>1990</t>
        </is>
      </c>
      <c r="N1725" t="inlineStr">
        <is>
          <t>1st ed.</t>
        </is>
      </c>
      <c r="O1725" t="inlineStr">
        <is>
          <t>eng</t>
        </is>
      </c>
      <c r="P1725" t="inlineStr">
        <is>
          <t>miu</t>
        </is>
      </c>
      <c r="R1725" t="inlineStr">
        <is>
          <t xml:space="preserve">GV </t>
        </is>
      </c>
      <c r="S1725" t="n">
        <v>1</v>
      </c>
      <c r="T1725" t="n">
        <v>1</v>
      </c>
      <c r="U1725" t="inlineStr">
        <is>
          <t>2009-04-23</t>
        </is>
      </c>
      <c r="V1725" t="inlineStr">
        <is>
          <t>2009-04-23</t>
        </is>
      </c>
      <c r="W1725" t="inlineStr">
        <is>
          <t>2009-04-23</t>
        </is>
      </c>
      <c r="X1725" t="inlineStr">
        <is>
          <t>2009-04-23</t>
        </is>
      </c>
      <c r="Y1725" t="n">
        <v>126</v>
      </c>
      <c r="Z1725" t="n">
        <v>116</v>
      </c>
      <c r="AA1725" t="n">
        <v>118</v>
      </c>
      <c r="AB1725" t="n">
        <v>1</v>
      </c>
      <c r="AC1725" t="n">
        <v>1</v>
      </c>
      <c r="AD1725" t="n">
        <v>1</v>
      </c>
      <c r="AE1725" t="n">
        <v>1</v>
      </c>
      <c r="AF1725" t="n">
        <v>1</v>
      </c>
      <c r="AG1725" t="n">
        <v>1</v>
      </c>
      <c r="AH1725" t="n">
        <v>0</v>
      </c>
      <c r="AI1725" t="n">
        <v>0</v>
      </c>
      <c r="AJ1725" t="n">
        <v>0</v>
      </c>
      <c r="AK1725" t="n">
        <v>0</v>
      </c>
      <c r="AL1725" t="n">
        <v>0</v>
      </c>
      <c r="AM1725" t="n">
        <v>0</v>
      </c>
      <c r="AN1725" t="n">
        <v>0</v>
      </c>
      <c r="AO1725" t="n">
        <v>0</v>
      </c>
      <c r="AP1725" t="inlineStr">
        <is>
          <t>No</t>
        </is>
      </c>
      <c r="AQ1725" t="inlineStr">
        <is>
          <t>Yes</t>
        </is>
      </c>
      <c r="AR1725">
        <f>HYPERLINK("http://catalog.hathitrust.org/Record/004491167","HathiTrust Record")</f>
        <v/>
      </c>
      <c r="AS1725">
        <f>HYPERLINK("https://creighton-primo.hosted.exlibrisgroup.com/primo-explore/search?tab=default_tab&amp;search_scope=EVERYTHING&amp;vid=01CRU&amp;lang=en_US&amp;offset=0&amp;query=any,contains,991005312569702656","Catalog Record")</f>
        <v/>
      </c>
      <c r="AT1725">
        <f>HYPERLINK("http://www.worldcat.org/oclc/22183279","WorldCat Record")</f>
        <v/>
      </c>
      <c r="AU1725" t="inlineStr">
        <is>
          <t>23628581:eng</t>
        </is>
      </c>
      <c r="AV1725" t="inlineStr">
        <is>
          <t>22183279</t>
        </is>
      </c>
      <c r="AW1725" t="inlineStr">
        <is>
          <t>991005312569702656</t>
        </is>
      </c>
      <c r="AX1725" t="inlineStr">
        <is>
          <t>991005312569702656</t>
        </is>
      </c>
      <c r="AY1725" t="inlineStr">
        <is>
          <t>2258924380002656</t>
        </is>
      </c>
      <c r="AZ1725" t="inlineStr">
        <is>
          <t>BOOK</t>
        </is>
      </c>
      <c r="BB1725" t="inlineStr">
        <is>
          <t>9780940279339</t>
        </is>
      </c>
      <c r="BC1725" t="inlineStr">
        <is>
          <t>32285005518211</t>
        </is>
      </c>
      <c r="BD1725" t="inlineStr">
        <is>
          <t>893695121</t>
        </is>
      </c>
    </row>
    <row r="1726">
      <c r="A1726" t="inlineStr">
        <is>
          <t>No</t>
        </is>
      </c>
      <c r="B1726" t="inlineStr">
        <is>
          <t>GV958.N4 I87 1975</t>
        </is>
      </c>
      <c r="C1726" t="inlineStr">
        <is>
          <t>0                      GV 0958000N  4                  I  87          1975</t>
        </is>
      </c>
      <c r="D1726" t="inlineStr">
        <is>
          <t>The Cornhuskers : Nebraska football / David Israel.</t>
        </is>
      </c>
      <c r="F1726" t="inlineStr">
        <is>
          <t>No</t>
        </is>
      </c>
      <c r="G1726" t="inlineStr">
        <is>
          <t>1</t>
        </is>
      </c>
      <c r="H1726" t="inlineStr">
        <is>
          <t>No</t>
        </is>
      </c>
      <c r="I1726" t="inlineStr">
        <is>
          <t>No</t>
        </is>
      </c>
      <c r="J1726" t="inlineStr">
        <is>
          <t>0</t>
        </is>
      </c>
      <c r="K1726" t="inlineStr">
        <is>
          <t>Israel, David.</t>
        </is>
      </c>
      <c r="L1726" t="inlineStr">
        <is>
          <t>Chicago : Regnery, c1975.</t>
        </is>
      </c>
      <c r="M1726" t="inlineStr">
        <is>
          <t>1975</t>
        </is>
      </c>
      <c r="O1726" t="inlineStr">
        <is>
          <t>eng</t>
        </is>
      </c>
      <c r="P1726" t="inlineStr">
        <is>
          <t>ilu</t>
        </is>
      </c>
      <c r="Q1726" t="inlineStr">
        <is>
          <t>The Illustrated college football series</t>
        </is>
      </c>
      <c r="R1726" t="inlineStr">
        <is>
          <t xml:space="preserve">GV </t>
        </is>
      </c>
      <c r="S1726" t="n">
        <v>21</v>
      </c>
      <c r="T1726" t="n">
        <v>21</v>
      </c>
      <c r="U1726" t="inlineStr">
        <is>
          <t>2004-09-28</t>
        </is>
      </c>
      <c r="V1726" t="inlineStr">
        <is>
          <t>2004-09-28</t>
        </is>
      </c>
      <c r="W1726" t="inlineStr">
        <is>
          <t>1991-02-28</t>
        </is>
      </c>
      <c r="X1726" t="inlineStr">
        <is>
          <t>1991-02-28</t>
        </is>
      </c>
      <c r="Y1726" t="n">
        <v>43</v>
      </c>
      <c r="Z1726" t="n">
        <v>43</v>
      </c>
      <c r="AA1726" t="n">
        <v>43</v>
      </c>
      <c r="AB1726" t="n">
        <v>15</v>
      </c>
      <c r="AC1726" t="n">
        <v>15</v>
      </c>
      <c r="AD1726" t="n">
        <v>5</v>
      </c>
      <c r="AE1726" t="n">
        <v>5</v>
      </c>
      <c r="AF1726" t="n">
        <v>0</v>
      </c>
      <c r="AG1726" t="n">
        <v>0</v>
      </c>
      <c r="AH1726" t="n">
        <v>0</v>
      </c>
      <c r="AI1726" t="n">
        <v>0</v>
      </c>
      <c r="AJ1726" t="n">
        <v>0</v>
      </c>
      <c r="AK1726" t="n">
        <v>0</v>
      </c>
      <c r="AL1726" t="n">
        <v>5</v>
      </c>
      <c r="AM1726" t="n">
        <v>5</v>
      </c>
      <c r="AN1726" t="n">
        <v>0</v>
      </c>
      <c r="AO1726" t="n">
        <v>0</v>
      </c>
      <c r="AP1726" t="inlineStr">
        <is>
          <t>No</t>
        </is>
      </c>
      <c r="AQ1726" t="inlineStr">
        <is>
          <t>No</t>
        </is>
      </c>
      <c r="AS1726">
        <f>HYPERLINK("https://creighton-primo.hosted.exlibrisgroup.com/primo-explore/search?tab=default_tab&amp;search_scope=EVERYTHING&amp;vid=01CRU&amp;lang=en_US&amp;offset=0&amp;query=any,contains,991003786299702656","Catalog Record")</f>
        <v/>
      </c>
      <c r="AT1726">
        <f>HYPERLINK("http://www.worldcat.org/oclc/1502267","WorldCat Record")</f>
        <v/>
      </c>
      <c r="AU1726" t="inlineStr">
        <is>
          <t>2300038:eng</t>
        </is>
      </c>
      <c r="AV1726" t="inlineStr">
        <is>
          <t>1502267</t>
        </is>
      </c>
      <c r="AW1726" t="inlineStr">
        <is>
          <t>991003786299702656</t>
        </is>
      </c>
      <c r="AX1726" t="inlineStr">
        <is>
          <t>991003786299702656</t>
        </is>
      </c>
      <c r="AY1726" t="inlineStr">
        <is>
          <t>2263449750002656</t>
        </is>
      </c>
      <c r="AZ1726" t="inlineStr">
        <is>
          <t>BOOK</t>
        </is>
      </c>
      <c r="BB1726" t="inlineStr">
        <is>
          <t>9780809281800</t>
        </is>
      </c>
      <c r="BC1726" t="inlineStr">
        <is>
          <t>32285000494764</t>
        </is>
      </c>
      <c r="BD1726" t="inlineStr">
        <is>
          <t>893611450</t>
        </is>
      </c>
    </row>
    <row r="1727">
      <c r="A1727" t="inlineStr">
        <is>
          <t>No</t>
        </is>
      </c>
      <c r="B1727" t="inlineStr">
        <is>
          <t>GV958.N6 S64 1993</t>
        </is>
      </c>
      <c r="C1727" t="inlineStr">
        <is>
          <t>0                      GV 0958000N  6                  S  64          1993</t>
        </is>
      </c>
      <c r="D1727" t="inlineStr">
        <is>
          <t>Shake down the thunder : the creation of Notre Dame football / Murray Sperber.</t>
        </is>
      </c>
      <c r="F1727" t="inlineStr">
        <is>
          <t>No</t>
        </is>
      </c>
      <c r="G1727" t="inlineStr">
        <is>
          <t>1</t>
        </is>
      </c>
      <c r="H1727" t="inlineStr">
        <is>
          <t>No</t>
        </is>
      </c>
      <c r="I1727" t="inlineStr">
        <is>
          <t>No</t>
        </is>
      </c>
      <c r="J1727" t="inlineStr">
        <is>
          <t>0</t>
        </is>
      </c>
      <c r="K1727" t="inlineStr">
        <is>
          <t>Sperber, Murray A.</t>
        </is>
      </c>
      <c r="L1727" t="inlineStr">
        <is>
          <t>New York : Henry Holt and Co., 1993.</t>
        </is>
      </c>
      <c r="M1727" t="inlineStr">
        <is>
          <t>1993</t>
        </is>
      </c>
      <c r="N1727" t="inlineStr">
        <is>
          <t>1st ed.</t>
        </is>
      </c>
      <c r="O1727" t="inlineStr">
        <is>
          <t>eng</t>
        </is>
      </c>
      <c r="P1727" t="inlineStr">
        <is>
          <t>nyu</t>
        </is>
      </c>
      <c r="R1727" t="inlineStr">
        <is>
          <t xml:space="preserve">GV </t>
        </is>
      </c>
      <c r="S1727" t="n">
        <v>5</v>
      </c>
      <c r="T1727" t="n">
        <v>5</v>
      </c>
      <c r="U1727" t="inlineStr">
        <is>
          <t>2010-03-28</t>
        </is>
      </c>
      <c r="V1727" t="inlineStr">
        <is>
          <t>2010-03-28</t>
        </is>
      </c>
      <c r="W1727" t="inlineStr">
        <is>
          <t>1994-01-14</t>
        </is>
      </c>
      <c r="X1727" t="inlineStr">
        <is>
          <t>1994-01-14</t>
        </is>
      </c>
      <c r="Y1727" t="n">
        <v>550</v>
      </c>
      <c r="Z1727" t="n">
        <v>543</v>
      </c>
      <c r="AA1727" t="n">
        <v>620</v>
      </c>
      <c r="AB1727" t="n">
        <v>2</v>
      </c>
      <c r="AC1727" t="n">
        <v>4</v>
      </c>
      <c r="AD1727" t="n">
        <v>13</v>
      </c>
      <c r="AE1727" t="n">
        <v>16</v>
      </c>
      <c r="AF1727" t="n">
        <v>4</v>
      </c>
      <c r="AG1727" t="n">
        <v>5</v>
      </c>
      <c r="AH1727" t="n">
        <v>3</v>
      </c>
      <c r="AI1727" t="n">
        <v>3</v>
      </c>
      <c r="AJ1727" t="n">
        <v>8</v>
      </c>
      <c r="AK1727" t="n">
        <v>8</v>
      </c>
      <c r="AL1727" t="n">
        <v>1</v>
      </c>
      <c r="AM1727" t="n">
        <v>3</v>
      </c>
      <c r="AN1727" t="n">
        <v>0</v>
      </c>
      <c r="AO1727" t="n">
        <v>0</v>
      </c>
      <c r="AP1727" t="inlineStr">
        <is>
          <t>No</t>
        </is>
      </c>
      <c r="AQ1727" t="inlineStr">
        <is>
          <t>No</t>
        </is>
      </c>
      <c r="AS1727">
        <f>HYPERLINK("https://creighton-primo.hosted.exlibrisgroup.com/primo-explore/search?tab=default_tab&amp;search_scope=EVERYTHING&amp;vid=01CRU&amp;lang=en_US&amp;offset=0&amp;query=any,contains,991002216939702656","Catalog Record")</f>
        <v/>
      </c>
      <c r="AT1727">
        <f>HYPERLINK("http://www.worldcat.org/oclc/28548350","WorldCat Record")</f>
        <v/>
      </c>
      <c r="AU1727" t="inlineStr">
        <is>
          <t>31062520:eng</t>
        </is>
      </c>
      <c r="AV1727" t="inlineStr">
        <is>
          <t>28548350</t>
        </is>
      </c>
      <c r="AW1727" t="inlineStr">
        <is>
          <t>991002216939702656</t>
        </is>
      </c>
      <c r="AX1727" t="inlineStr">
        <is>
          <t>991002216939702656</t>
        </is>
      </c>
      <c r="AY1727" t="inlineStr">
        <is>
          <t>2257521740002656</t>
        </is>
      </c>
      <c r="AZ1727" t="inlineStr">
        <is>
          <t>BOOK</t>
        </is>
      </c>
      <c r="BB1727" t="inlineStr">
        <is>
          <t>9780805018745</t>
        </is>
      </c>
      <c r="BC1727" t="inlineStr">
        <is>
          <t>32285001832202</t>
        </is>
      </c>
      <c r="BD1727" t="inlineStr">
        <is>
          <t>893510454</t>
        </is>
      </c>
    </row>
    <row r="1728">
      <c r="A1728" t="inlineStr">
        <is>
          <t>No</t>
        </is>
      </c>
      <c r="B1728" t="inlineStr">
        <is>
          <t>GV958.N6 Y43 1993</t>
        </is>
      </c>
      <c r="C1728" t="inlineStr">
        <is>
          <t>0                      GV 0958000N  6                  Y  43          1993</t>
        </is>
      </c>
      <c r="D1728" t="inlineStr">
        <is>
          <t>Under the tarnished dome : how Notre Dame betrayed it's ideals for football glory / Don Yaeger and Douglas S. Looney.</t>
        </is>
      </c>
      <c r="F1728" t="inlineStr">
        <is>
          <t>No</t>
        </is>
      </c>
      <c r="G1728" t="inlineStr">
        <is>
          <t>1</t>
        </is>
      </c>
      <c r="H1728" t="inlineStr">
        <is>
          <t>No</t>
        </is>
      </c>
      <c r="I1728" t="inlineStr">
        <is>
          <t>No</t>
        </is>
      </c>
      <c r="J1728" t="inlineStr">
        <is>
          <t>0</t>
        </is>
      </c>
      <c r="K1728" t="inlineStr">
        <is>
          <t>Yaeger, Don.</t>
        </is>
      </c>
      <c r="L1728" t="inlineStr">
        <is>
          <t>New York : Simon &amp; Schuster, c1993.</t>
        </is>
      </c>
      <c r="M1728" t="inlineStr">
        <is>
          <t>1993</t>
        </is>
      </c>
      <c r="O1728" t="inlineStr">
        <is>
          <t>eng</t>
        </is>
      </c>
      <c r="P1728" t="inlineStr">
        <is>
          <t>nyu</t>
        </is>
      </c>
      <c r="R1728" t="inlineStr">
        <is>
          <t xml:space="preserve">GV </t>
        </is>
      </c>
      <c r="S1728" t="n">
        <v>2</v>
      </c>
      <c r="T1728" t="n">
        <v>2</v>
      </c>
      <c r="U1728" t="inlineStr">
        <is>
          <t>2005-06-01</t>
        </is>
      </c>
      <c r="V1728" t="inlineStr">
        <is>
          <t>2005-06-01</t>
        </is>
      </c>
      <c r="W1728" t="inlineStr">
        <is>
          <t>2005-06-01</t>
        </is>
      </c>
      <c r="X1728" t="inlineStr">
        <is>
          <t>2005-06-01</t>
        </is>
      </c>
      <c r="Y1728" t="n">
        <v>640</v>
      </c>
      <c r="Z1728" t="n">
        <v>627</v>
      </c>
      <c r="AA1728" t="n">
        <v>634</v>
      </c>
      <c r="AB1728" t="n">
        <v>7</v>
      </c>
      <c r="AC1728" t="n">
        <v>7</v>
      </c>
      <c r="AD1728" t="n">
        <v>11</v>
      </c>
      <c r="AE1728" t="n">
        <v>11</v>
      </c>
      <c r="AF1728" t="n">
        <v>3</v>
      </c>
      <c r="AG1728" t="n">
        <v>3</v>
      </c>
      <c r="AH1728" t="n">
        <v>0</v>
      </c>
      <c r="AI1728" t="n">
        <v>0</v>
      </c>
      <c r="AJ1728" t="n">
        <v>6</v>
      </c>
      <c r="AK1728" t="n">
        <v>6</v>
      </c>
      <c r="AL1728" t="n">
        <v>2</v>
      </c>
      <c r="AM1728" t="n">
        <v>2</v>
      </c>
      <c r="AN1728" t="n">
        <v>0</v>
      </c>
      <c r="AO1728" t="n">
        <v>0</v>
      </c>
      <c r="AP1728" t="inlineStr">
        <is>
          <t>No</t>
        </is>
      </c>
      <c r="AQ1728" t="inlineStr">
        <is>
          <t>Yes</t>
        </is>
      </c>
      <c r="AR1728">
        <f>HYPERLINK("http://catalog.hathitrust.org/Record/002799943","HathiTrust Record")</f>
        <v/>
      </c>
      <c r="AS1728">
        <f>HYPERLINK("https://creighton-primo.hosted.exlibrisgroup.com/primo-explore/search?tab=default_tab&amp;search_scope=EVERYTHING&amp;vid=01CRU&amp;lang=en_US&amp;offset=0&amp;query=any,contains,991004556729702656","Catalog Record")</f>
        <v/>
      </c>
      <c r="AT1728">
        <f>HYPERLINK("http://www.worldcat.org/oclc/28548229","WorldCat Record")</f>
        <v/>
      </c>
      <c r="AU1728" t="inlineStr">
        <is>
          <t>199153884:eng</t>
        </is>
      </c>
      <c r="AV1728" t="inlineStr">
        <is>
          <t>28548229</t>
        </is>
      </c>
      <c r="AW1728" t="inlineStr">
        <is>
          <t>991004556729702656</t>
        </is>
      </c>
      <c r="AX1728" t="inlineStr">
        <is>
          <t>991004556729702656</t>
        </is>
      </c>
      <c r="AY1728" t="inlineStr">
        <is>
          <t>2257462840002656</t>
        </is>
      </c>
      <c r="AZ1728" t="inlineStr">
        <is>
          <t>BOOK</t>
        </is>
      </c>
      <c r="BB1728" t="inlineStr">
        <is>
          <t>9780671869502</t>
        </is>
      </c>
      <c r="BC1728" t="inlineStr">
        <is>
          <t>32285005091847</t>
        </is>
      </c>
      <c r="BD1728" t="inlineStr">
        <is>
          <t>893325511</t>
        </is>
      </c>
    </row>
    <row r="1729">
      <c r="A1729" t="inlineStr">
        <is>
          <t>No</t>
        </is>
      </c>
      <c r="B1729" t="inlineStr">
        <is>
          <t>GV958.S69 W48 1989</t>
        </is>
      </c>
      <c r="C1729" t="inlineStr">
        <is>
          <t>0                      GV 0958000S  69                 W  48          1989</t>
        </is>
      </c>
      <c r="D1729" t="inlineStr">
        <is>
          <t>A payroll to meet : a story of greed, corruption, and football at SMU / David Whitford.</t>
        </is>
      </c>
      <c r="F1729" t="inlineStr">
        <is>
          <t>No</t>
        </is>
      </c>
      <c r="G1729" t="inlineStr">
        <is>
          <t>1</t>
        </is>
      </c>
      <c r="H1729" t="inlineStr">
        <is>
          <t>No</t>
        </is>
      </c>
      <c r="I1729" t="inlineStr">
        <is>
          <t>No</t>
        </is>
      </c>
      <c r="J1729" t="inlineStr">
        <is>
          <t>0</t>
        </is>
      </c>
      <c r="K1729" t="inlineStr">
        <is>
          <t>Whitford, David.</t>
        </is>
      </c>
      <c r="L1729" t="inlineStr">
        <is>
          <t>New York : Macmillan, c1989.</t>
        </is>
      </c>
      <c r="M1729" t="inlineStr">
        <is>
          <t>1989</t>
        </is>
      </c>
      <c r="O1729" t="inlineStr">
        <is>
          <t>eng</t>
        </is>
      </c>
      <c r="P1729" t="inlineStr">
        <is>
          <t>nyu</t>
        </is>
      </c>
      <c r="R1729" t="inlineStr">
        <is>
          <t xml:space="preserve">GV </t>
        </is>
      </c>
      <c r="S1729" t="n">
        <v>1</v>
      </c>
      <c r="T1729" t="n">
        <v>1</v>
      </c>
      <c r="U1729" t="inlineStr">
        <is>
          <t>2010-12-13</t>
        </is>
      </c>
      <c r="V1729" t="inlineStr">
        <is>
          <t>2010-12-13</t>
        </is>
      </c>
      <c r="W1729" t="inlineStr">
        <is>
          <t>2007-02-22</t>
        </is>
      </c>
      <c r="X1729" t="inlineStr">
        <is>
          <t>2007-02-22</t>
        </is>
      </c>
      <c r="Y1729" t="n">
        <v>350</v>
      </c>
      <c r="Z1729" t="n">
        <v>341</v>
      </c>
      <c r="AA1729" t="n">
        <v>376</v>
      </c>
      <c r="AB1729" t="n">
        <v>2</v>
      </c>
      <c r="AC1729" t="n">
        <v>4</v>
      </c>
      <c r="AD1729" t="n">
        <v>6</v>
      </c>
      <c r="AE1729" t="n">
        <v>9</v>
      </c>
      <c r="AF1729" t="n">
        <v>1</v>
      </c>
      <c r="AG1729" t="n">
        <v>2</v>
      </c>
      <c r="AH1729" t="n">
        <v>2</v>
      </c>
      <c r="AI1729" t="n">
        <v>3</v>
      </c>
      <c r="AJ1729" t="n">
        <v>6</v>
      </c>
      <c r="AK1729" t="n">
        <v>6</v>
      </c>
      <c r="AL1729" t="n">
        <v>0</v>
      </c>
      <c r="AM1729" t="n">
        <v>2</v>
      </c>
      <c r="AN1729" t="n">
        <v>0</v>
      </c>
      <c r="AO1729" t="n">
        <v>0</v>
      </c>
      <c r="AP1729" t="inlineStr">
        <is>
          <t>No</t>
        </is>
      </c>
      <c r="AQ1729" t="inlineStr">
        <is>
          <t>Yes</t>
        </is>
      </c>
      <c r="AR1729">
        <f>HYPERLINK("http://catalog.hathitrust.org/Record/001550808","HathiTrust Record")</f>
        <v/>
      </c>
      <c r="AS1729">
        <f>HYPERLINK("https://creighton-primo.hosted.exlibrisgroup.com/primo-explore/search?tab=default_tab&amp;search_scope=EVERYTHING&amp;vid=01CRU&amp;lang=en_US&amp;offset=0&amp;query=any,contains,991005042759702656","Catalog Record")</f>
        <v/>
      </c>
      <c r="AT1729">
        <f>HYPERLINK("http://www.worldcat.org/oclc/19555913","WorldCat Record")</f>
        <v/>
      </c>
      <c r="AU1729" t="inlineStr">
        <is>
          <t>21197089:eng</t>
        </is>
      </c>
      <c r="AV1729" t="inlineStr">
        <is>
          <t>19555913</t>
        </is>
      </c>
      <c r="AW1729" t="inlineStr">
        <is>
          <t>991005042759702656</t>
        </is>
      </c>
      <c r="AX1729" t="inlineStr">
        <is>
          <t>991005042759702656</t>
        </is>
      </c>
      <c r="AY1729" t="inlineStr">
        <is>
          <t>2271669640002656</t>
        </is>
      </c>
      <c r="AZ1729" t="inlineStr">
        <is>
          <t>BOOK</t>
        </is>
      </c>
      <c r="BB1729" t="inlineStr">
        <is>
          <t>9780026271912</t>
        </is>
      </c>
      <c r="BC1729" t="inlineStr">
        <is>
          <t>32285005278840</t>
        </is>
      </c>
      <c r="BD1729" t="inlineStr">
        <is>
          <t>893254364</t>
        </is>
      </c>
    </row>
    <row r="1730">
      <c r="A1730" t="inlineStr">
        <is>
          <t>No</t>
        </is>
      </c>
      <c r="B1730" t="inlineStr">
        <is>
          <t>GV958.U587 T45 1994</t>
        </is>
      </c>
      <c r="C1730" t="inlineStr">
        <is>
          <t>0                      GV 0958000U  587                T  45          1994</t>
        </is>
      </c>
      <c r="D1730" t="inlineStr">
        <is>
          <t>From red ink to roses : the turbulent transformation of a Big Ten program / Rick Telander.</t>
        </is>
      </c>
      <c r="F1730" t="inlineStr">
        <is>
          <t>No</t>
        </is>
      </c>
      <c r="G1730" t="inlineStr">
        <is>
          <t>1</t>
        </is>
      </c>
      <c r="H1730" t="inlineStr">
        <is>
          <t>No</t>
        </is>
      </c>
      <c r="I1730" t="inlineStr">
        <is>
          <t>No</t>
        </is>
      </c>
      <c r="J1730" t="inlineStr">
        <is>
          <t>0</t>
        </is>
      </c>
      <c r="K1730" t="inlineStr">
        <is>
          <t>Telander, Rick.</t>
        </is>
      </c>
      <c r="L1730" t="inlineStr">
        <is>
          <t>New York : Simon &amp; Schuster, c1994.</t>
        </is>
      </c>
      <c r="M1730" t="inlineStr">
        <is>
          <t>1994</t>
        </is>
      </c>
      <c r="O1730" t="inlineStr">
        <is>
          <t>eng</t>
        </is>
      </c>
      <c r="P1730" t="inlineStr">
        <is>
          <t>nyu</t>
        </is>
      </c>
      <c r="R1730" t="inlineStr">
        <is>
          <t xml:space="preserve">GV </t>
        </is>
      </c>
      <c r="S1730" t="n">
        <v>2</v>
      </c>
      <c r="T1730" t="n">
        <v>2</v>
      </c>
      <c r="U1730" t="inlineStr">
        <is>
          <t>2005-11-04</t>
        </is>
      </c>
      <c r="V1730" t="inlineStr">
        <is>
          <t>2005-11-04</t>
        </is>
      </c>
      <c r="W1730" t="inlineStr">
        <is>
          <t>2005-10-13</t>
        </is>
      </c>
      <c r="X1730" t="inlineStr">
        <is>
          <t>2005-10-13</t>
        </is>
      </c>
      <c r="Y1730" t="n">
        <v>235</v>
      </c>
      <c r="Z1730" t="n">
        <v>233</v>
      </c>
      <c r="AA1730" t="n">
        <v>233</v>
      </c>
      <c r="AB1730" t="n">
        <v>2</v>
      </c>
      <c r="AC1730" t="n">
        <v>2</v>
      </c>
      <c r="AD1730" t="n">
        <v>8</v>
      </c>
      <c r="AE1730" t="n">
        <v>8</v>
      </c>
      <c r="AF1730" t="n">
        <v>3</v>
      </c>
      <c r="AG1730" t="n">
        <v>3</v>
      </c>
      <c r="AH1730" t="n">
        <v>0</v>
      </c>
      <c r="AI1730" t="n">
        <v>0</v>
      </c>
      <c r="AJ1730" t="n">
        <v>5</v>
      </c>
      <c r="AK1730" t="n">
        <v>5</v>
      </c>
      <c r="AL1730" t="n">
        <v>1</v>
      </c>
      <c r="AM1730" t="n">
        <v>1</v>
      </c>
      <c r="AN1730" t="n">
        <v>0</v>
      </c>
      <c r="AO1730" t="n">
        <v>0</v>
      </c>
      <c r="AP1730" t="inlineStr">
        <is>
          <t>No</t>
        </is>
      </c>
      <c r="AQ1730" t="inlineStr">
        <is>
          <t>No</t>
        </is>
      </c>
      <c r="AS1730">
        <f>HYPERLINK("https://creighton-primo.hosted.exlibrisgroup.com/primo-explore/search?tab=default_tab&amp;search_scope=EVERYTHING&amp;vid=01CRU&amp;lang=en_US&amp;offset=0&amp;query=any,contains,991004678829702656","Catalog Record")</f>
        <v/>
      </c>
      <c r="AT1730">
        <f>HYPERLINK("http://www.worldcat.org/oclc/30625004","WorldCat Record")</f>
        <v/>
      </c>
      <c r="AU1730" t="inlineStr">
        <is>
          <t>32692916:eng</t>
        </is>
      </c>
      <c r="AV1730" t="inlineStr">
        <is>
          <t>30625004</t>
        </is>
      </c>
      <c r="AW1730" t="inlineStr">
        <is>
          <t>991004678829702656</t>
        </is>
      </c>
      <c r="AX1730" t="inlineStr">
        <is>
          <t>991004678829702656</t>
        </is>
      </c>
      <c r="AY1730" t="inlineStr">
        <is>
          <t>2260847260002656</t>
        </is>
      </c>
      <c r="AZ1730" t="inlineStr">
        <is>
          <t>BOOK</t>
        </is>
      </c>
      <c r="BB1730" t="inlineStr">
        <is>
          <t>9780671748531</t>
        </is>
      </c>
      <c r="BC1730" t="inlineStr">
        <is>
          <t>32285005089734</t>
        </is>
      </c>
      <c r="BD1730" t="inlineStr">
        <is>
          <t>893247845</t>
        </is>
      </c>
    </row>
    <row r="1731">
      <c r="A1731" t="inlineStr">
        <is>
          <t>No</t>
        </is>
      </c>
      <c r="B1731" t="inlineStr">
        <is>
          <t>GV964.A1 S68 2004</t>
        </is>
      </c>
      <c r="C1731" t="inlineStr">
        <is>
          <t>0                      GV 0964000A  1                  S  68          2004</t>
        </is>
      </c>
      <c r="D1731" t="inlineStr">
        <is>
          <t>The wicked game : Arnold Palmer, Jack Nicklaus, Tiger Woods, and the story of modern golf / Howard Sounes.</t>
        </is>
      </c>
      <c r="F1731" t="inlineStr">
        <is>
          <t>No</t>
        </is>
      </c>
      <c r="G1731" t="inlineStr">
        <is>
          <t>1</t>
        </is>
      </c>
      <c r="H1731" t="inlineStr">
        <is>
          <t>No</t>
        </is>
      </c>
      <c r="I1731" t="inlineStr">
        <is>
          <t>No</t>
        </is>
      </c>
      <c r="J1731" t="inlineStr">
        <is>
          <t>0</t>
        </is>
      </c>
      <c r="K1731" t="inlineStr">
        <is>
          <t>Sounes, Howard, 1965-</t>
        </is>
      </c>
      <c r="L1731" t="inlineStr">
        <is>
          <t>New York : W. Morrow, c2004.</t>
        </is>
      </c>
      <c r="M1731" t="inlineStr">
        <is>
          <t>2004</t>
        </is>
      </c>
      <c r="N1731" t="inlineStr">
        <is>
          <t>1st ed.</t>
        </is>
      </c>
      <c r="O1731" t="inlineStr">
        <is>
          <t>eng</t>
        </is>
      </c>
      <c r="P1731" t="inlineStr">
        <is>
          <t>nyu</t>
        </is>
      </c>
      <c r="R1731" t="inlineStr">
        <is>
          <t xml:space="preserve">GV </t>
        </is>
      </c>
      <c r="S1731" t="n">
        <v>8</v>
      </c>
      <c r="T1731" t="n">
        <v>8</v>
      </c>
      <c r="U1731" t="inlineStr">
        <is>
          <t>2009-10-04</t>
        </is>
      </c>
      <c r="V1731" t="inlineStr">
        <is>
          <t>2009-10-04</t>
        </is>
      </c>
      <c r="W1731" t="inlineStr">
        <is>
          <t>2005-01-31</t>
        </is>
      </c>
      <c r="X1731" t="inlineStr">
        <is>
          <t>2005-01-31</t>
        </is>
      </c>
      <c r="Y1731" t="n">
        <v>540</v>
      </c>
      <c r="Z1731" t="n">
        <v>522</v>
      </c>
      <c r="AA1731" t="n">
        <v>543</v>
      </c>
      <c r="AB1731" t="n">
        <v>2</v>
      </c>
      <c r="AC1731" t="n">
        <v>2</v>
      </c>
      <c r="AD1731" t="n">
        <v>2</v>
      </c>
      <c r="AE1731" t="n">
        <v>2</v>
      </c>
      <c r="AF1731" t="n">
        <v>0</v>
      </c>
      <c r="AG1731" t="n">
        <v>0</v>
      </c>
      <c r="AH1731" t="n">
        <v>1</v>
      </c>
      <c r="AI1731" t="n">
        <v>1</v>
      </c>
      <c r="AJ1731" t="n">
        <v>0</v>
      </c>
      <c r="AK1731" t="n">
        <v>0</v>
      </c>
      <c r="AL1731" t="n">
        <v>1</v>
      </c>
      <c r="AM1731" t="n">
        <v>1</v>
      </c>
      <c r="AN1731" t="n">
        <v>0</v>
      </c>
      <c r="AO1731" t="n">
        <v>0</v>
      </c>
      <c r="AP1731" t="inlineStr">
        <is>
          <t>No</t>
        </is>
      </c>
      <c r="AQ1731" t="inlineStr">
        <is>
          <t>No</t>
        </is>
      </c>
      <c r="AS1731">
        <f>HYPERLINK("https://creighton-primo.hosted.exlibrisgroup.com/primo-explore/search?tab=default_tab&amp;search_scope=EVERYTHING&amp;vid=01CRU&amp;lang=en_US&amp;offset=0&amp;query=any,contains,991004305849702656","Catalog Record")</f>
        <v/>
      </c>
      <c r="AT1731">
        <f>HYPERLINK("http://www.worldcat.org/oclc/54065407","WorldCat Record")</f>
        <v/>
      </c>
      <c r="AU1731" t="inlineStr">
        <is>
          <t>3944063919:eng</t>
        </is>
      </c>
      <c r="AV1731" t="inlineStr">
        <is>
          <t>54065407</t>
        </is>
      </c>
      <c r="AW1731" t="inlineStr">
        <is>
          <t>991004305849702656</t>
        </is>
      </c>
      <c r="AX1731" t="inlineStr">
        <is>
          <t>991004305849702656</t>
        </is>
      </c>
      <c r="AY1731" t="inlineStr">
        <is>
          <t>2268686370002656</t>
        </is>
      </c>
      <c r="AZ1731" t="inlineStr">
        <is>
          <t>BOOK</t>
        </is>
      </c>
      <c r="BB1731" t="inlineStr">
        <is>
          <t>9780060513863</t>
        </is>
      </c>
      <c r="BC1731" t="inlineStr">
        <is>
          <t>32285005023881</t>
        </is>
      </c>
      <c r="BD1731" t="inlineStr">
        <is>
          <t>893800838</t>
        </is>
      </c>
    </row>
    <row r="1732">
      <c r="A1732" t="inlineStr">
        <is>
          <t>No</t>
        </is>
      </c>
      <c r="B1732" t="inlineStr">
        <is>
          <t>GV964.A2 E394 2004</t>
        </is>
      </c>
      <c r="C1732" t="inlineStr">
        <is>
          <t>0                      GV 0964000A  2                  E  394         2004</t>
        </is>
      </c>
      <c r="D1732" t="inlineStr">
        <is>
          <t>Caddy for life : the Bruce Edwards story / John Feinstein.</t>
        </is>
      </c>
      <c r="F1732" t="inlineStr">
        <is>
          <t>No</t>
        </is>
      </c>
      <c r="G1732" t="inlineStr">
        <is>
          <t>1</t>
        </is>
      </c>
      <c r="H1732" t="inlineStr">
        <is>
          <t>No</t>
        </is>
      </c>
      <c r="I1732" t="inlineStr">
        <is>
          <t>No</t>
        </is>
      </c>
      <c r="J1732" t="inlineStr">
        <is>
          <t>0</t>
        </is>
      </c>
      <c r="K1732" t="inlineStr">
        <is>
          <t>Feinstein, John.</t>
        </is>
      </c>
      <c r="L1732" t="inlineStr">
        <is>
          <t>New York : Little, Brown and Co., c2004.</t>
        </is>
      </c>
      <c r="M1732" t="inlineStr">
        <is>
          <t>2004</t>
        </is>
      </c>
      <c r="N1732" t="inlineStr">
        <is>
          <t>1st ed.</t>
        </is>
      </c>
      <c r="O1732" t="inlineStr">
        <is>
          <t>eng</t>
        </is>
      </c>
      <c r="P1732" t="inlineStr">
        <is>
          <t>nyu</t>
        </is>
      </c>
      <c r="R1732" t="inlineStr">
        <is>
          <t xml:space="preserve">GV </t>
        </is>
      </c>
      <c r="S1732" t="n">
        <v>2</v>
      </c>
      <c r="T1732" t="n">
        <v>2</v>
      </c>
      <c r="U1732" t="inlineStr">
        <is>
          <t>2009-08-24</t>
        </is>
      </c>
      <c r="V1732" t="inlineStr">
        <is>
          <t>2009-08-24</t>
        </is>
      </c>
      <c r="W1732" t="inlineStr">
        <is>
          <t>2004-05-18</t>
        </is>
      </c>
      <c r="X1732" t="inlineStr">
        <is>
          <t>2004-05-18</t>
        </is>
      </c>
      <c r="Y1732" t="n">
        <v>937</v>
      </c>
      <c r="Z1732" t="n">
        <v>899</v>
      </c>
      <c r="AA1732" t="n">
        <v>1009</v>
      </c>
      <c r="AB1732" t="n">
        <v>9</v>
      </c>
      <c r="AC1732" t="n">
        <v>9</v>
      </c>
      <c r="AD1732" t="n">
        <v>5</v>
      </c>
      <c r="AE1732" t="n">
        <v>5</v>
      </c>
      <c r="AF1732" t="n">
        <v>2</v>
      </c>
      <c r="AG1732" t="n">
        <v>2</v>
      </c>
      <c r="AH1732" t="n">
        <v>1</v>
      </c>
      <c r="AI1732" t="n">
        <v>1</v>
      </c>
      <c r="AJ1732" t="n">
        <v>2</v>
      </c>
      <c r="AK1732" t="n">
        <v>2</v>
      </c>
      <c r="AL1732" t="n">
        <v>1</v>
      </c>
      <c r="AM1732" t="n">
        <v>1</v>
      </c>
      <c r="AN1732" t="n">
        <v>0</v>
      </c>
      <c r="AO1732" t="n">
        <v>0</v>
      </c>
      <c r="AP1732" t="inlineStr">
        <is>
          <t>No</t>
        </is>
      </c>
      <c r="AQ1732" t="inlineStr">
        <is>
          <t>No</t>
        </is>
      </c>
      <c r="AS1732">
        <f>HYPERLINK("https://creighton-primo.hosted.exlibrisgroup.com/primo-explore/search?tab=default_tab&amp;search_scope=EVERYTHING&amp;vid=01CRU&amp;lang=en_US&amp;offset=0&amp;query=any,contains,991004301369702656","Catalog Record")</f>
        <v/>
      </c>
      <c r="AT1732">
        <f>HYPERLINK("http://www.worldcat.org/oclc/53926864","WorldCat Record")</f>
        <v/>
      </c>
      <c r="AU1732" t="inlineStr">
        <is>
          <t>796412680:eng</t>
        </is>
      </c>
      <c r="AV1732" t="inlineStr">
        <is>
          <t>53926864</t>
        </is>
      </c>
      <c r="AW1732" t="inlineStr">
        <is>
          <t>991004301369702656</t>
        </is>
      </c>
      <c r="AX1732" t="inlineStr">
        <is>
          <t>991004301369702656</t>
        </is>
      </c>
      <c r="AY1732" t="inlineStr">
        <is>
          <t>2266622900002656</t>
        </is>
      </c>
      <c r="AZ1732" t="inlineStr">
        <is>
          <t>BOOK</t>
        </is>
      </c>
      <c r="BB1732" t="inlineStr">
        <is>
          <t>9780316777889</t>
        </is>
      </c>
      <c r="BC1732" t="inlineStr">
        <is>
          <t>32285004906110</t>
        </is>
      </c>
      <c r="BD1732" t="inlineStr">
        <is>
          <t>893806891</t>
        </is>
      </c>
    </row>
    <row r="1733">
      <c r="A1733" t="inlineStr">
        <is>
          <t>No</t>
        </is>
      </c>
      <c r="B1733" t="inlineStr">
        <is>
          <t>GV965 .A44</t>
        </is>
      </c>
      <c r="C1733" t="inlineStr">
        <is>
          <t>0                      GV 0965000A  44</t>
        </is>
      </c>
      <c r="D1733" t="inlineStr">
        <is>
          <t>The Shell book of golf / Peter Alliss.</t>
        </is>
      </c>
      <c r="F1733" t="inlineStr">
        <is>
          <t>No</t>
        </is>
      </c>
      <c r="G1733" t="inlineStr">
        <is>
          <t>1</t>
        </is>
      </c>
      <c r="H1733" t="inlineStr">
        <is>
          <t>No</t>
        </is>
      </c>
      <c r="I1733" t="inlineStr">
        <is>
          <t>No</t>
        </is>
      </c>
      <c r="J1733" t="inlineStr">
        <is>
          <t>0</t>
        </is>
      </c>
      <c r="K1733" t="inlineStr">
        <is>
          <t>Alliss, Peter.</t>
        </is>
      </c>
      <c r="L1733" t="inlineStr">
        <is>
          <t>Newton Abbot, [Eng.] : David &amp; Charles, 1981.</t>
        </is>
      </c>
      <c r="M1733" t="inlineStr">
        <is>
          <t>1981</t>
        </is>
      </c>
      <c r="O1733" t="inlineStr">
        <is>
          <t>eng</t>
        </is>
      </c>
      <c r="P1733" t="inlineStr">
        <is>
          <t>enk</t>
        </is>
      </c>
      <c r="R1733" t="inlineStr">
        <is>
          <t xml:space="preserve">GV </t>
        </is>
      </c>
      <c r="S1733" t="n">
        <v>13</v>
      </c>
      <c r="T1733" t="n">
        <v>13</v>
      </c>
      <c r="U1733" t="inlineStr">
        <is>
          <t>2006-02-15</t>
        </is>
      </c>
      <c r="V1733" t="inlineStr">
        <is>
          <t>2006-02-15</t>
        </is>
      </c>
      <c r="W1733" t="inlineStr">
        <is>
          <t>1990-07-31</t>
        </is>
      </c>
      <c r="X1733" t="inlineStr">
        <is>
          <t>1990-07-31</t>
        </is>
      </c>
      <c r="Y1733" t="n">
        <v>55</v>
      </c>
      <c r="Z1733" t="n">
        <v>23</v>
      </c>
      <c r="AA1733" t="n">
        <v>23</v>
      </c>
      <c r="AB1733" t="n">
        <v>1</v>
      </c>
      <c r="AC1733" t="n">
        <v>1</v>
      </c>
      <c r="AD1733" t="n">
        <v>0</v>
      </c>
      <c r="AE1733" t="n">
        <v>0</v>
      </c>
      <c r="AF1733" t="n">
        <v>0</v>
      </c>
      <c r="AG1733" t="n">
        <v>0</v>
      </c>
      <c r="AH1733" t="n">
        <v>0</v>
      </c>
      <c r="AI1733" t="n">
        <v>0</v>
      </c>
      <c r="AJ1733" t="n">
        <v>0</v>
      </c>
      <c r="AK1733" t="n">
        <v>0</v>
      </c>
      <c r="AL1733" t="n">
        <v>0</v>
      </c>
      <c r="AM1733" t="n">
        <v>0</v>
      </c>
      <c r="AN1733" t="n">
        <v>0</v>
      </c>
      <c r="AO1733" t="n">
        <v>0</v>
      </c>
      <c r="AP1733" t="inlineStr">
        <is>
          <t>No</t>
        </is>
      </c>
      <c r="AQ1733" t="inlineStr">
        <is>
          <t>No</t>
        </is>
      </c>
      <c r="AS1733">
        <f>HYPERLINK("https://creighton-primo.hosted.exlibrisgroup.com/primo-explore/search?tab=default_tab&amp;search_scope=EVERYTHING&amp;vid=01CRU&amp;lang=en_US&amp;offset=0&amp;query=any,contains,991000063369702656","Catalog Record")</f>
        <v/>
      </c>
      <c r="AT1733">
        <f>HYPERLINK("http://www.worldcat.org/oclc/8752975","WorldCat Record")</f>
        <v/>
      </c>
      <c r="AU1733" t="inlineStr">
        <is>
          <t>2486687867:eng</t>
        </is>
      </c>
      <c r="AV1733" t="inlineStr">
        <is>
          <t>8752975</t>
        </is>
      </c>
      <c r="AW1733" t="inlineStr">
        <is>
          <t>991000063369702656</t>
        </is>
      </c>
      <c r="AX1733" t="inlineStr">
        <is>
          <t>991000063369702656</t>
        </is>
      </c>
      <c r="AY1733" t="inlineStr">
        <is>
          <t>2267832260002656</t>
        </is>
      </c>
      <c r="AZ1733" t="inlineStr">
        <is>
          <t>BOOK</t>
        </is>
      </c>
      <c r="BB1733" t="inlineStr">
        <is>
          <t>9780715379882</t>
        </is>
      </c>
      <c r="BC1733" t="inlineStr">
        <is>
          <t>32285000249234</t>
        </is>
      </c>
      <c r="BD1733" t="inlineStr">
        <is>
          <t>893413042</t>
        </is>
      </c>
    </row>
    <row r="1734">
      <c r="A1734" t="inlineStr">
        <is>
          <t>No</t>
        </is>
      </c>
      <c r="B1734" t="inlineStr">
        <is>
          <t>GV965 .B63 1984</t>
        </is>
      </c>
      <c r="C1734" t="inlineStr">
        <is>
          <t>0                      GV 0965000B  63          1984</t>
        </is>
      </c>
      <c r="D1734" t="inlineStr">
        <is>
          <t>Golf everyone / Bob Bowen, B.J. Clemence.</t>
        </is>
      </c>
      <c r="F1734" t="inlineStr">
        <is>
          <t>No</t>
        </is>
      </c>
      <c r="G1734" t="inlineStr">
        <is>
          <t>1</t>
        </is>
      </c>
      <c r="H1734" t="inlineStr">
        <is>
          <t>No</t>
        </is>
      </c>
      <c r="I1734" t="inlineStr">
        <is>
          <t>No</t>
        </is>
      </c>
      <c r="J1734" t="inlineStr">
        <is>
          <t>0</t>
        </is>
      </c>
      <c r="K1734" t="inlineStr">
        <is>
          <t>Bowen, Robert T.</t>
        </is>
      </c>
      <c r="L1734" t="inlineStr">
        <is>
          <t>Winston-Salem, N.C. : Hunter Textbooks, c1984.</t>
        </is>
      </c>
      <c r="M1734" t="inlineStr">
        <is>
          <t>1984</t>
        </is>
      </c>
      <c r="N1734" t="inlineStr">
        <is>
          <t>2nd ed.</t>
        </is>
      </c>
      <c r="O1734" t="inlineStr">
        <is>
          <t>eng</t>
        </is>
      </c>
      <c r="P1734" t="inlineStr">
        <is>
          <t>ncu</t>
        </is>
      </c>
      <c r="R1734" t="inlineStr">
        <is>
          <t xml:space="preserve">GV </t>
        </is>
      </c>
      <c r="S1734" t="n">
        <v>23</v>
      </c>
      <c r="T1734" t="n">
        <v>23</v>
      </c>
      <c r="U1734" t="inlineStr">
        <is>
          <t>2008-10-01</t>
        </is>
      </c>
      <c r="V1734" t="inlineStr">
        <is>
          <t>2008-10-01</t>
        </is>
      </c>
      <c r="W1734" t="inlineStr">
        <is>
          <t>1990-08-01</t>
        </is>
      </c>
      <c r="X1734" t="inlineStr">
        <is>
          <t>1990-08-01</t>
        </is>
      </c>
      <c r="Y1734" t="n">
        <v>87</v>
      </c>
      <c r="Z1734" t="n">
        <v>84</v>
      </c>
      <c r="AA1734" t="n">
        <v>91</v>
      </c>
      <c r="AB1734" t="n">
        <v>2</v>
      </c>
      <c r="AC1734" t="n">
        <v>2</v>
      </c>
      <c r="AD1734" t="n">
        <v>2</v>
      </c>
      <c r="AE1734" t="n">
        <v>2</v>
      </c>
      <c r="AF1734" t="n">
        <v>1</v>
      </c>
      <c r="AG1734" t="n">
        <v>1</v>
      </c>
      <c r="AH1734" t="n">
        <v>0</v>
      </c>
      <c r="AI1734" t="n">
        <v>0</v>
      </c>
      <c r="AJ1734" t="n">
        <v>0</v>
      </c>
      <c r="AK1734" t="n">
        <v>0</v>
      </c>
      <c r="AL1734" t="n">
        <v>1</v>
      </c>
      <c r="AM1734" t="n">
        <v>1</v>
      </c>
      <c r="AN1734" t="n">
        <v>0</v>
      </c>
      <c r="AO1734" t="n">
        <v>0</v>
      </c>
      <c r="AP1734" t="inlineStr">
        <is>
          <t>No</t>
        </is>
      </c>
      <c r="AQ1734" t="inlineStr">
        <is>
          <t>No</t>
        </is>
      </c>
      <c r="AS1734">
        <f>HYPERLINK("https://creighton-primo.hosted.exlibrisgroup.com/primo-explore/search?tab=default_tab&amp;search_scope=EVERYTHING&amp;vid=01CRU&amp;lang=en_US&amp;offset=0&amp;query=any,contains,991000560369702656","Catalog Record")</f>
        <v/>
      </c>
      <c r="AT1734">
        <f>HYPERLINK("http://www.worldcat.org/oclc/11580592","WorldCat Record")</f>
        <v/>
      </c>
      <c r="AU1734" t="inlineStr">
        <is>
          <t>2564830822:eng</t>
        </is>
      </c>
      <c r="AV1734" t="inlineStr">
        <is>
          <t>11580592</t>
        </is>
      </c>
      <c r="AW1734" t="inlineStr">
        <is>
          <t>991000560369702656</t>
        </is>
      </c>
      <c r="AX1734" t="inlineStr">
        <is>
          <t>991000560369702656</t>
        </is>
      </c>
      <c r="AY1734" t="inlineStr">
        <is>
          <t>2267372930002656</t>
        </is>
      </c>
      <c r="AZ1734" t="inlineStr">
        <is>
          <t>BOOK</t>
        </is>
      </c>
      <c r="BB1734" t="inlineStr">
        <is>
          <t>9780887250248</t>
        </is>
      </c>
      <c r="BC1734" t="inlineStr">
        <is>
          <t>32285000241793</t>
        </is>
      </c>
      <c r="BD1734" t="inlineStr">
        <is>
          <t>893528158</t>
        </is>
      </c>
    </row>
    <row r="1735">
      <c r="A1735" t="inlineStr">
        <is>
          <t>No</t>
        </is>
      </c>
      <c r="B1735" t="inlineStr">
        <is>
          <t>GV965 .C48</t>
        </is>
      </c>
      <c r="C1735" t="inlineStr">
        <is>
          <t>0                      GV 0965000C  48</t>
        </is>
      </c>
      <c r="D1735" t="inlineStr">
        <is>
          <t>Golf / [by] Edward F. Chui.</t>
        </is>
      </c>
      <c r="F1735" t="inlineStr">
        <is>
          <t>No</t>
        </is>
      </c>
      <c r="G1735" t="inlineStr">
        <is>
          <t>1</t>
        </is>
      </c>
      <c r="H1735" t="inlineStr">
        <is>
          <t>No</t>
        </is>
      </c>
      <c r="I1735" t="inlineStr">
        <is>
          <t>No</t>
        </is>
      </c>
      <c r="J1735" t="inlineStr">
        <is>
          <t>0</t>
        </is>
      </c>
      <c r="K1735" t="inlineStr">
        <is>
          <t>Chui, Edward F.</t>
        </is>
      </c>
      <c r="L1735" t="inlineStr">
        <is>
          <t>Pacific Palisades, Calif. : Goodyear Pub. Co., [1969]</t>
        </is>
      </c>
      <c r="M1735" t="inlineStr">
        <is>
          <t>1969</t>
        </is>
      </c>
      <c r="O1735" t="inlineStr">
        <is>
          <t>eng</t>
        </is>
      </c>
      <c r="P1735" t="inlineStr">
        <is>
          <t>cau</t>
        </is>
      </c>
      <c r="Q1735" t="inlineStr">
        <is>
          <t>Goodyear physical activities series</t>
        </is>
      </c>
      <c r="R1735" t="inlineStr">
        <is>
          <t xml:space="preserve">GV </t>
        </is>
      </c>
      <c r="S1735" t="n">
        <v>23</v>
      </c>
      <c r="T1735" t="n">
        <v>23</v>
      </c>
      <c r="U1735" t="inlineStr">
        <is>
          <t>2007-11-12</t>
        </is>
      </c>
      <c r="V1735" t="inlineStr">
        <is>
          <t>2007-11-12</t>
        </is>
      </c>
      <c r="W1735" t="inlineStr">
        <is>
          <t>1992-03-31</t>
        </is>
      </c>
      <c r="X1735" t="inlineStr">
        <is>
          <t>1992-03-31</t>
        </is>
      </c>
      <c r="Y1735" t="n">
        <v>240</v>
      </c>
      <c r="Z1735" t="n">
        <v>225</v>
      </c>
      <c r="AA1735" t="n">
        <v>289</v>
      </c>
      <c r="AB1735" t="n">
        <v>3</v>
      </c>
      <c r="AC1735" t="n">
        <v>4</v>
      </c>
      <c r="AD1735" t="n">
        <v>4</v>
      </c>
      <c r="AE1735" t="n">
        <v>6</v>
      </c>
      <c r="AF1735" t="n">
        <v>1</v>
      </c>
      <c r="AG1735" t="n">
        <v>1</v>
      </c>
      <c r="AH1735" t="n">
        <v>0</v>
      </c>
      <c r="AI1735" t="n">
        <v>0</v>
      </c>
      <c r="AJ1735" t="n">
        <v>2</v>
      </c>
      <c r="AK1735" t="n">
        <v>3</v>
      </c>
      <c r="AL1735" t="n">
        <v>2</v>
      </c>
      <c r="AM1735" t="n">
        <v>3</v>
      </c>
      <c r="AN1735" t="n">
        <v>0</v>
      </c>
      <c r="AO1735" t="n">
        <v>0</v>
      </c>
      <c r="AP1735" t="inlineStr">
        <is>
          <t>No</t>
        </is>
      </c>
      <c r="AQ1735" t="inlineStr">
        <is>
          <t>Yes</t>
        </is>
      </c>
      <c r="AR1735">
        <f>HYPERLINK("http://catalog.hathitrust.org/Record/009049365","HathiTrust Record")</f>
        <v/>
      </c>
      <c r="AS1735">
        <f>HYPERLINK("https://creighton-primo.hosted.exlibrisgroup.com/primo-explore/search?tab=default_tab&amp;search_scope=EVERYTHING&amp;vid=01CRU&amp;lang=en_US&amp;offset=0&amp;query=any,contains,991005438359702656","Catalog Record")</f>
        <v/>
      </c>
      <c r="AT1735">
        <f>HYPERLINK("http://www.worldcat.org/oclc/5989","WorldCat Record")</f>
        <v/>
      </c>
      <c r="AU1735" t="inlineStr">
        <is>
          <t>1129285:eng</t>
        </is>
      </c>
      <c r="AV1735" t="inlineStr">
        <is>
          <t>5989</t>
        </is>
      </c>
      <c r="AW1735" t="inlineStr">
        <is>
          <t>991005438359702656</t>
        </is>
      </c>
      <c r="AX1735" t="inlineStr">
        <is>
          <t>991005438359702656</t>
        </is>
      </c>
      <c r="AY1735" t="inlineStr">
        <is>
          <t>2264741200002656</t>
        </is>
      </c>
      <c r="AZ1735" t="inlineStr">
        <is>
          <t>BOOK</t>
        </is>
      </c>
      <c r="BC1735" t="inlineStr">
        <is>
          <t>32285001030500</t>
        </is>
      </c>
      <c r="BD1735" t="inlineStr">
        <is>
          <t>893720436</t>
        </is>
      </c>
    </row>
    <row r="1736">
      <c r="A1736" t="inlineStr">
        <is>
          <t>No</t>
        </is>
      </c>
      <c r="B1736" t="inlineStr">
        <is>
          <t>GV965 .G44 1986</t>
        </is>
      </c>
      <c r="C1736" t="inlineStr">
        <is>
          <t>0                      GV 0965000G  44          1986</t>
        </is>
      </c>
      <c r="D1736" t="inlineStr">
        <is>
          <t>Beginning golf / Robert Gensemer.</t>
        </is>
      </c>
      <c r="F1736" t="inlineStr">
        <is>
          <t>No</t>
        </is>
      </c>
      <c r="G1736" t="inlineStr">
        <is>
          <t>1</t>
        </is>
      </c>
      <c r="H1736" t="inlineStr">
        <is>
          <t>No</t>
        </is>
      </c>
      <c r="I1736" t="inlineStr">
        <is>
          <t>No</t>
        </is>
      </c>
      <c r="J1736" t="inlineStr">
        <is>
          <t>0</t>
        </is>
      </c>
      <c r="K1736" t="inlineStr">
        <is>
          <t>Gensemer, Robert E.</t>
        </is>
      </c>
      <c r="L1736" t="inlineStr">
        <is>
          <t>Englewood, Colo. : Morton, c1986.</t>
        </is>
      </c>
      <c r="M1736" t="inlineStr">
        <is>
          <t>1986</t>
        </is>
      </c>
      <c r="O1736" t="inlineStr">
        <is>
          <t>eng</t>
        </is>
      </c>
      <c r="P1736" t="inlineStr">
        <is>
          <t>cou</t>
        </is>
      </c>
      <c r="R1736" t="inlineStr">
        <is>
          <t xml:space="preserve">GV </t>
        </is>
      </c>
      <c r="S1736" t="n">
        <v>22</v>
      </c>
      <c r="T1736" t="n">
        <v>22</v>
      </c>
      <c r="U1736" t="inlineStr">
        <is>
          <t>2000-06-16</t>
        </is>
      </c>
      <c r="V1736" t="inlineStr">
        <is>
          <t>2000-06-16</t>
        </is>
      </c>
      <c r="W1736" t="inlineStr">
        <is>
          <t>1990-05-01</t>
        </is>
      </c>
      <c r="X1736" t="inlineStr">
        <is>
          <t>1990-05-01</t>
        </is>
      </c>
      <c r="Y1736" t="n">
        <v>98</v>
      </c>
      <c r="Z1736" t="n">
        <v>95</v>
      </c>
      <c r="AA1736" t="n">
        <v>155</v>
      </c>
      <c r="AB1736" t="n">
        <v>1</v>
      </c>
      <c r="AC1736" t="n">
        <v>3</v>
      </c>
      <c r="AD1736" t="n">
        <v>0</v>
      </c>
      <c r="AE1736" t="n">
        <v>3</v>
      </c>
      <c r="AF1736" t="n">
        <v>0</v>
      </c>
      <c r="AG1736" t="n">
        <v>1</v>
      </c>
      <c r="AH1736" t="n">
        <v>0</v>
      </c>
      <c r="AI1736" t="n">
        <v>0</v>
      </c>
      <c r="AJ1736" t="n">
        <v>0</v>
      </c>
      <c r="AK1736" t="n">
        <v>0</v>
      </c>
      <c r="AL1736" t="n">
        <v>0</v>
      </c>
      <c r="AM1736" t="n">
        <v>2</v>
      </c>
      <c r="AN1736" t="n">
        <v>0</v>
      </c>
      <c r="AO1736" t="n">
        <v>0</v>
      </c>
      <c r="AP1736" t="inlineStr">
        <is>
          <t>No</t>
        </is>
      </c>
      <c r="AQ1736" t="inlineStr">
        <is>
          <t>No</t>
        </is>
      </c>
      <c r="AS1736">
        <f>HYPERLINK("https://creighton-primo.hosted.exlibrisgroup.com/primo-explore/search?tab=default_tab&amp;search_scope=EVERYTHING&amp;vid=01CRU&amp;lang=en_US&amp;offset=0&amp;query=any,contains,991000864929702656","Catalog Record")</f>
        <v/>
      </c>
      <c r="AT1736">
        <f>HYPERLINK("http://www.worldcat.org/oclc/13723819","WorldCat Record")</f>
        <v/>
      </c>
      <c r="AU1736" t="inlineStr">
        <is>
          <t>7349336:eng</t>
        </is>
      </c>
      <c r="AV1736" t="inlineStr">
        <is>
          <t>13723819</t>
        </is>
      </c>
      <c r="AW1736" t="inlineStr">
        <is>
          <t>991000864929702656</t>
        </is>
      </c>
      <c r="AX1736" t="inlineStr">
        <is>
          <t>991000864929702656</t>
        </is>
      </c>
      <c r="AY1736" t="inlineStr">
        <is>
          <t>2269701660002656</t>
        </is>
      </c>
      <c r="AZ1736" t="inlineStr">
        <is>
          <t>BOOK</t>
        </is>
      </c>
      <c r="BB1736" t="inlineStr">
        <is>
          <t>9780895821539</t>
        </is>
      </c>
      <c r="BC1736" t="inlineStr">
        <is>
          <t>32285000145564</t>
        </is>
      </c>
      <c r="BD1736" t="inlineStr">
        <is>
          <t>893432367</t>
        </is>
      </c>
    </row>
    <row r="1737">
      <c r="A1737" t="inlineStr">
        <is>
          <t>No</t>
        </is>
      </c>
      <c r="B1737" t="inlineStr">
        <is>
          <t>GV965 .G524 1997</t>
        </is>
      </c>
      <c r="C1737" t="inlineStr">
        <is>
          <t>0                      GV 0965000G  524         1997</t>
        </is>
      </c>
      <c r="D1737" t="inlineStr">
        <is>
          <t>Golf magazine's complete book of golf instruction / by George Peper ... [et al.]</t>
        </is>
      </c>
      <c r="F1737" t="inlineStr">
        <is>
          <t>No</t>
        </is>
      </c>
      <c r="G1737" t="inlineStr">
        <is>
          <t>1</t>
        </is>
      </c>
      <c r="H1737" t="inlineStr">
        <is>
          <t>No</t>
        </is>
      </c>
      <c r="I1737" t="inlineStr">
        <is>
          <t>No</t>
        </is>
      </c>
      <c r="J1737" t="inlineStr">
        <is>
          <t>0</t>
        </is>
      </c>
      <c r="L1737" t="inlineStr">
        <is>
          <t>New York : H.N. Abrams, c1997.</t>
        </is>
      </c>
      <c r="M1737" t="inlineStr">
        <is>
          <t>1997</t>
        </is>
      </c>
      <c r="O1737" t="inlineStr">
        <is>
          <t>eng</t>
        </is>
      </c>
      <c r="P1737" t="inlineStr">
        <is>
          <t>nyu</t>
        </is>
      </c>
      <c r="R1737" t="inlineStr">
        <is>
          <t xml:space="preserve">GV </t>
        </is>
      </c>
      <c r="S1737" t="n">
        <v>4</v>
      </c>
      <c r="T1737" t="n">
        <v>4</v>
      </c>
      <c r="U1737" t="inlineStr">
        <is>
          <t>2002-01-29</t>
        </is>
      </c>
      <c r="V1737" t="inlineStr">
        <is>
          <t>2002-01-29</t>
        </is>
      </c>
      <c r="W1737" t="inlineStr">
        <is>
          <t>2000-10-12</t>
        </is>
      </c>
      <c r="X1737" t="inlineStr">
        <is>
          <t>2000-10-12</t>
        </is>
      </c>
      <c r="Y1737" t="n">
        <v>392</v>
      </c>
      <c r="Z1737" t="n">
        <v>370</v>
      </c>
      <c r="AA1737" t="n">
        <v>446</v>
      </c>
      <c r="AB1737" t="n">
        <v>4</v>
      </c>
      <c r="AC1737" t="n">
        <v>4</v>
      </c>
      <c r="AD1737" t="n">
        <v>5</v>
      </c>
      <c r="AE1737" t="n">
        <v>6</v>
      </c>
      <c r="AF1737" t="n">
        <v>3</v>
      </c>
      <c r="AG1737" t="n">
        <v>4</v>
      </c>
      <c r="AH1737" t="n">
        <v>0</v>
      </c>
      <c r="AI1737" t="n">
        <v>0</v>
      </c>
      <c r="AJ1737" t="n">
        <v>2</v>
      </c>
      <c r="AK1737" t="n">
        <v>2</v>
      </c>
      <c r="AL1737" t="n">
        <v>1</v>
      </c>
      <c r="AM1737" t="n">
        <v>1</v>
      </c>
      <c r="AN1737" t="n">
        <v>0</v>
      </c>
      <c r="AO1737" t="n">
        <v>0</v>
      </c>
      <c r="AP1737" t="inlineStr">
        <is>
          <t>No</t>
        </is>
      </c>
      <c r="AQ1737" t="inlineStr">
        <is>
          <t>Yes</t>
        </is>
      </c>
      <c r="AR1737">
        <f>HYPERLINK("http://catalog.hathitrust.org/Record/009810934","HathiTrust Record")</f>
        <v/>
      </c>
      <c r="AS1737">
        <f>HYPERLINK("https://creighton-primo.hosted.exlibrisgroup.com/primo-explore/search?tab=default_tab&amp;search_scope=EVERYTHING&amp;vid=01CRU&amp;lang=en_US&amp;offset=0&amp;query=any,contains,991003256119702656","Catalog Record")</f>
        <v/>
      </c>
      <c r="AT1737">
        <f>HYPERLINK("http://www.worldcat.org/oclc/36458100","WorldCat Record")</f>
        <v/>
      </c>
      <c r="AU1737" t="inlineStr">
        <is>
          <t>617723:eng</t>
        </is>
      </c>
      <c r="AV1737" t="inlineStr">
        <is>
          <t>36458100</t>
        </is>
      </c>
      <c r="AW1737" t="inlineStr">
        <is>
          <t>991003256119702656</t>
        </is>
      </c>
      <c r="AX1737" t="inlineStr">
        <is>
          <t>991003256119702656</t>
        </is>
      </c>
      <c r="AY1737" t="inlineStr">
        <is>
          <t>2266982180002656</t>
        </is>
      </c>
      <c r="AZ1737" t="inlineStr">
        <is>
          <t>BOOK</t>
        </is>
      </c>
      <c r="BB1737" t="inlineStr">
        <is>
          <t>9780810933934</t>
        </is>
      </c>
      <c r="BC1737" t="inlineStr">
        <is>
          <t>32285003767752</t>
        </is>
      </c>
      <c r="BD1737" t="inlineStr">
        <is>
          <t>893705061</t>
        </is>
      </c>
    </row>
    <row r="1738">
      <c r="A1738" t="inlineStr">
        <is>
          <t>No</t>
        </is>
      </c>
      <c r="B1738" t="inlineStr">
        <is>
          <t>GV965 .G65 1977</t>
        </is>
      </c>
      <c r="C1738" t="inlineStr">
        <is>
          <t>0                      GV 0965000G  65          1977</t>
        </is>
      </c>
      <c r="D1738" t="inlineStr">
        <is>
          <t>Golf / consultants, National Golf Foundation ; demonstrators, Bob Caprera ... [ et al.].</t>
        </is>
      </c>
      <c r="F1738" t="inlineStr">
        <is>
          <t>No</t>
        </is>
      </c>
      <c r="G1738" t="inlineStr">
        <is>
          <t>1</t>
        </is>
      </c>
      <c r="H1738" t="inlineStr">
        <is>
          <t>No</t>
        </is>
      </c>
      <c r="I1738" t="inlineStr">
        <is>
          <t>No</t>
        </is>
      </c>
      <c r="J1738" t="inlineStr">
        <is>
          <t>0</t>
        </is>
      </c>
      <c r="L1738" t="inlineStr">
        <is>
          <t>North Palm Beach, Fla. : Athletic Institute, c1977.</t>
        </is>
      </c>
      <c r="M1738" t="inlineStr">
        <is>
          <t>1977</t>
        </is>
      </c>
      <c r="O1738" t="inlineStr">
        <is>
          <t>eng</t>
        </is>
      </c>
      <c r="P1738" t="inlineStr">
        <is>
          <t>flu</t>
        </is>
      </c>
      <c r="Q1738" t="inlineStr">
        <is>
          <t>Sports techniques</t>
        </is>
      </c>
      <c r="R1738" t="inlineStr">
        <is>
          <t xml:space="preserve">GV </t>
        </is>
      </c>
      <c r="S1738" t="n">
        <v>12</v>
      </c>
      <c r="T1738" t="n">
        <v>12</v>
      </c>
      <c r="U1738" t="inlineStr">
        <is>
          <t>2007-11-12</t>
        </is>
      </c>
      <c r="V1738" t="inlineStr">
        <is>
          <t>2007-11-12</t>
        </is>
      </c>
      <c r="W1738" t="inlineStr">
        <is>
          <t>1990-07-31</t>
        </is>
      </c>
      <c r="X1738" t="inlineStr">
        <is>
          <t>1990-07-31</t>
        </is>
      </c>
      <c r="Y1738" t="n">
        <v>106</v>
      </c>
      <c r="Z1738" t="n">
        <v>103</v>
      </c>
      <c r="AA1738" t="n">
        <v>161</v>
      </c>
      <c r="AB1738" t="n">
        <v>1</v>
      </c>
      <c r="AC1738" t="n">
        <v>1</v>
      </c>
      <c r="AD1738" t="n">
        <v>0</v>
      </c>
      <c r="AE1738" t="n">
        <v>0</v>
      </c>
      <c r="AF1738" t="n">
        <v>0</v>
      </c>
      <c r="AG1738" t="n">
        <v>0</v>
      </c>
      <c r="AH1738" t="n">
        <v>0</v>
      </c>
      <c r="AI1738" t="n">
        <v>0</v>
      </c>
      <c r="AJ1738" t="n">
        <v>0</v>
      </c>
      <c r="AK1738" t="n">
        <v>0</v>
      </c>
      <c r="AL1738" t="n">
        <v>0</v>
      </c>
      <c r="AM1738" t="n">
        <v>0</v>
      </c>
      <c r="AN1738" t="n">
        <v>0</v>
      </c>
      <c r="AO1738" t="n">
        <v>0</v>
      </c>
      <c r="AP1738" t="inlineStr">
        <is>
          <t>No</t>
        </is>
      </c>
      <c r="AQ1738" t="inlineStr">
        <is>
          <t>Yes</t>
        </is>
      </c>
      <c r="AR1738">
        <f>HYPERLINK("http://catalog.hathitrust.org/Record/007051298","HathiTrust Record")</f>
        <v/>
      </c>
      <c r="AS1738">
        <f>HYPERLINK("https://creighton-primo.hosted.exlibrisgroup.com/primo-explore/search?tab=default_tab&amp;search_scope=EVERYTHING&amp;vid=01CRU&amp;lang=en_US&amp;offset=0&amp;query=any,contains,991004518539702656","Catalog Record")</f>
        <v/>
      </c>
      <c r="AT1738">
        <f>HYPERLINK("http://www.worldcat.org/oclc/3798874","WorldCat Record")</f>
        <v/>
      </c>
      <c r="AU1738" t="inlineStr">
        <is>
          <t>3943367295:eng</t>
        </is>
      </c>
      <c r="AV1738" t="inlineStr">
        <is>
          <t>3798874</t>
        </is>
      </c>
      <c r="AW1738" t="inlineStr">
        <is>
          <t>991004518539702656</t>
        </is>
      </c>
      <c r="AX1738" t="inlineStr">
        <is>
          <t>991004518539702656</t>
        </is>
      </c>
      <c r="AY1738" t="inlineStr">
        <is>
          <t>2254750520002656</t>
        </is>
      </c>
      <c r="AZ1738" t="inlineStr">
        <is>
          <t>BOOK</t>
        </is>
      </c>
      <c r="BB1738" t="inlineStr">
        <is>
          <t>9780876700587</t>
        </is>
      </c>
      <c r="BC1738" t="inlineStr">
        <is>
          <t>32285000249259</t>
        </is>
      </c>
      <c r="BD1738" t="inlineStr">
        <is>
          <t>893436368</t>
        </is>
      </c>
    </row>
    <row r="1739">
      <c r="A1739" t="inlineStr">
        <is>
          <t>No</t>
        </is>
      </c>
      <c r="B1739" t="inlineStr">
        <is>
          <t>GV965 .I78 1999</t>
        </is>
      </c>
      <c r="C1739" t="inlineStr">
        <is>
          <t>0                      GV 0965000I  78          1999</t>
        </is>
      </c>
      <c r="D1739" t="inlineStr">
        <is>
          <t>Smart golf : wisdom and strategies from the "thinking man's golfer" / Hale Irwin with Robin McMillan and Jim Hartley.</t>
        </is>
      </c>
      <c r="F1739" t="inlineStr">
        <is>
          <t>No</t>
        </is>
      </c>
      <c r="G1739" t="inlineStr">
        <is>
          <t>1</t>
        </is>
      </c>
      <c r="H1739" t="inlineStr">
        <is>
          <t>No</t>
        </is>
      </c>
      <c r="I1739" t="inlineStr">
        <is>
          <t>No</t>
        </is>
      </c>
      <c r="J1739" t="inlineStr">
        <is>
          <t>0</t>
        </is>
      </c>
      <c r="K1739" t="inlineStr">
        <is>
          <t>Irwin, Hale.</t>
        </is>
      </c>
      <c r="L1739" t="inlineStr">
        <is>
          <t>New York : HarperCollins Publishers, 1999.</t>
        </is>
      </c>
      <c r="M1739" t="inlineStr">
        <is>
          <t>1999</t>
        </is>
      </c>
      <c r="N1739" t="inlineStr">
        <is>
          <t>1st ed.</t>
        </is>
      </c>
      <c r="O1739" t="inlineStr">
        <is>
          <t>eng</t>
        </is>
      </c>
      <c r="P1739" t="inlineStr">
        <is>
          <t>nyu</t>
        </is>
      </c>
      <c r="R1739" t="inlineStr">
        <is>
          <t xml:space="preserve">GV </t>
        </is>
      </c>
      <c r="S1739" t="n">
        <v>4</v>
      </c>
      <c r="T1739" t="n">
        <v>4</v>
      </c>
      <c r="U1739" t="inlineStr">
        <is>
          <t>2002-09-23</t>
        </is>
      </c>
      <c r="V1739" t="inlineStr">
        <is>
          <t>2002-09-23</t>
        </is>
      </c>
      <c r="W1739" t="inlineStr">
        <is>
          <t>2000-11-06</t>
        </is>
      </c>
      <c r="X1739" t="inlineStr">
        <is>
          <t>2000-11-06</t>
        </is>
      </c>
      <c r="Y1739" t="n">
        <v>107</v>
      </c>
      <c r="Z1739" t="n">
        <v>91</v>
      </c>
      <c r="AA1739" t="n">
        <v>92</v>
      </c>
      <c r="AB1739" t="n">
        <v>1</v>
      </c>
      <c r="AC1739" t="n">
        <v>1</v>
      </c>
      <c r="AD1739" t="n">
        <v>0</v>
      </c>
      <c r="AE1739" t="n">
        <v>0</v>
      </c>
      <c r="AF1739" t="n">
        <v>0</v>
      </c>
      <c r="AG1739" t="n">
        <v>0</v>
      </c>
      <c r="AH1739" t="n">
        <v>0</v>
      </c>
      <c r="AI1739" t="n">
        <v>0</v>
      </c>
      <c r="AJ1739" t="n">
        <v>0</v>
      </c>
      <c r="AK1739" t="n">
        <v>0</v>
      </c>
      <c r="AL1739" t="n">
        <v>0</v>
      </c>
      <c r="AM1739" t="n">
        <v>0</v>
      </c>
      <c r="AN1739" t="n">
        <v>0</v>
      </c>
      <c r="AO1739" t="n">
        <v>0</v>
      </c>
      <c r="AP1739" t="inlineStr">
        <is>
          <t>No</t>
        </is>
      </c>
      <c r="AQ1739" t="inlineStr">
        <is>
          <t>No</t>
        </is>
      </c>
      <c r="AS1739">
        <f>HYPERLINK("https://creighton-primo.hosted.exlibrisgroup.com/primo-explore/search?tab=default_tab&amp;search_scope=EVERYTHING&amp;vid=01CRU&amp;lang=en_US&amp;offset=0&amp;query=any,contains,991003301509702656","Catalog Record")</f>
        <v/>
      </c>
      <c r="AT1739">
        <f>HYPERLINK("http://www.worldcat.org/oclc/40510447","WorldCat Record")</f>
        <v/>
      </c>
      <c r="AU1739" t="inlineStr">
        <is>
          <t>2261137144:eng</t>
        </is>
      </c>
      <c r="AV1739" t="inlineStr">
        <is>
          <t>40510447</t>
        </is>
      </c>
      <c r="AW1739" t="inlineStr">
        <is>
          <t>991003301509702656</t>
        </is>
      </c>
      <c r="AX1739" t="inlineStr">
        <is>
          <t>991003301509702656</t>
        </is>
      </c>
      <c r="AY1739" t="inlineStr">
        <is>
          <t>2272649220002656</t>
        </is>
      </c>
      <c r="AZ1739" t="inlineStr">
        <is>
          <t>BOOK</t>
        </is>
      </c>
      <c r="BB1739" t="inlineStr">
        <is>
          <t>9780062716101</t>
        </is>
      </c>
      <c r="BC1739" t="inlineStr">
        <is>
          <t>32285004263025</t>
        </is>
      </c>
      <c r="BD1739" t="inlineStr">
        <is>
          <t>893336347</t>
        </is>
      </c>
    </row>
    <row r="1740">
      <c r="A1740" t="inlineStr">
        <is>
          <t>No</t>
        </is>
      </c>
      <c r="B1740" t="inlineStr">
        <is>
          <t>GV965 .N494 1974</t>
        </is>
      </c>
      <c r="C1740" t="inlineStr">
        <is>
          <t>0                      GV 0965000N  494         1974</t>
        </is>
      </c>
      <c r="D1740" t="inlineStr">
        <is>
          <t>Golf my way / by Jack Nicklaus with Ken Bowden ; illustrations by Jim McQueen.</t>
        </is>
      </c>
      <c r="F1740" t="inlineStr">
        <is>
          <t>No</t>
        </is>
      </c>
      <c r="G1740" t="inlineStr">
        <is>
          <t>1</t>
        </is>
      </c>
      <c r="H1740" t="inlineStr">
        <is>
          <t>No</t>
        </is>
      </c>
      <c r="I1740" t="inlineStr">
        <is>
          <t>No</t>
        </is>
      </c>
      <c r="J1740" t="inlineStr">
        <is>
          <t>0</t>
        </is>
      </c>
      <c r="K1740" t="inlineStr">
        <is>
          <t>Nicklaus, Jack.</t>
        </is>
      </c>
      <c r="L1740" t="inlineStr">
        <is>
          <t>New York : Simon and Schuster, [1974]</t>
        </is>
      </c>
      <c r="M1740" t="inlineStr">
        <is>
          <t>1974</t>
        </is>
      </c>
      <c r="O1740" t="inlineStr">
        <is>
          <t>eng</t>
        </is>
      </c>
      <c r="P1740" t="inlineStr">
        <is>
          <t>nyu</t>
        </is>
      </c>
      <c r="R1740" t="inlineStr">
        <is>
          <t xml:space="preserve">GV </t>
        </is>
      </c>
      <c r="S1740" t="n">
        <v>3</v>
      </c>
      <c r="T1740" t="n">
        <v>3</v>
      </c>
      <c r="U1740" t="inlineStr">
        <is>
          <t>2010-08-09</t>
        </is>
      </c>
      <c r="V1740" t="inlineStr">
        <is>
          <t>2010-08-09</t>
        </is>
      </c>
      <c r="W1740" t="inlineStr">
        <is>
          <t>2008-06-09</t>
        </is>
      </c>
      <c r="X1740" t="inlineStr">
        <is>
          <t>2008-06-09</t>
        </is>
      </c>
      <c r="Y1740" t="n">
        <v>975</v>
      </c>
      <c r="Z1740" t="n">
        <v>926</v>
      </c>
      <c r="AA1740" t="n">
        <v>1157</v>
      </c>
      <c r="AB1740" t="n">
        <v>6</v>
      </c>
      <c r="AC1740" t="n">
        <v>9</v>
      </c>
      <c r="AD1740" t="n">
        <v>12</v>
      </c>
      <c r="AE1740" t="n">
        <v>14</v>
      </c>
      <c r="AF1740" t="n">
        <v>7</v>
      </c>
      <c r="AG1740" t="n">
        <v>9</v>
      </c>
      <c r="AH1740" t="n">
        <v>1</v>
      </c>
      <c r="AI1740" t="n">
        <v>1</v>
      </c>
      <c r="AJ1740" t="n">
        <v>4</v>
      </c>
      <c r="AK1740" t="n">
        <v>4</v>
      </c>
      <c r="AL1740" t="n">
        <v>3</v>
      </c>
      <c r="AM1740" t="n">
        <v>3</v>
      </c>
      <c r="AN1740" t="n">
        <v>0</v>
      </c>
      <c r="AO1740" t="n">
        <v>0</v>
      </c>
      <c r="AP1740" t="inlineStr">
        <is>
          <t>No</t>
        </is>
      </c>
      <c r="AQ1740" t="inlineStr">
        <is>
          <t>Yes</t>
        </is>
      </c>
      <c r="AR1740">
        <f>HYPERLINK("http://catalog.hathitrust.org/Record/007133377","HathiTrust Record")</f>
        <v/>
      </c>
      <c r="AS1740">
        <f>HYPERLINK("https://creighton-primo.hosted.exlibrisgroup.com/primo-explore/search?tab=default_tab&amp;search_scope=EVERYTHING&amp;vid=01CRU&amp;lang=en_US&amp;offset=0&amp;query=any,contains,991005232169702656","Catalog Record")</f>
        <v/>
      </c>
      <c r="AT1740">
        <f>HYPERLINK("http://www.worldcat.org/oclc/849552","WorldCat Record")</f>
        <v/>
      </c>
      <c r="AU1740" t="inlineStr">
        <is>
          <t>516678:eng</t>
        </is>
      </c>
      <c r="AV1740" t="inlineStr">
        <is>
          <t>849552</t>
        </is>
      </c>
      <c r="AW1740" t="inlineStr">
        <is>
          <t>991005232169702656</t>
        </is>
      </c>
      <c r="AX1740" t="inlineStr">
        <is>
          <t>991005232169702656</t>
        </is>
      </c>
      <c r="AY1740" t="inlineStr">
        <is>
          <t>2269369580002656</t>
        </is>
      </c>
      <c r="AZ1740" t="inlineStr">
        <is>
          <t>BOOK</t>
        </is>
      </c>
      <c r="BB1740" t="inlineStr">
        <is>
          <t>9780671217020</t>
        </is>
      </c>
      <c r="BC1740" t="inlineStr">
        <is>
          <t>32285005443840</t>
        </is>
      </c>
      <c r="BD1740" t="inlineStr">
        <is>
          <t>893412540</t>
        </is>
      </c>
    </row>
    <row r="1741">
      <c r="A1741" t="inlineStr">
        <is>
          <t>No</t>
        </is>
      </c>
      <c r="B1741" t="inlineStr">
        <is>
          <t>GV965 .W47 2001</t>
        </is>
      </c>
      <c r="C1741" t="inlineStr">
        <is>
          <t>0                      GV 0965000W  47          2001</t>
        </is>
      </c>
      <c r="D1741" t="inlineStr">
        <is>
          <t>Better golf from new research / by Frank D. Werner and Richard C. Greig.</t>
        </is>
      </c>
      <c r="F1741" t="inlineStr">
        <is>
          <t>No</t>
        </is>
      </c>
      <c r="G1741" t="inlineStr">
        <is>
          <t>1</t>
        </is>
      </c>
      <c r="H1741" t="inlineStr">
        <is>
          <t>No</t>
        </is>
      </c>
      <c r="I1741" t="inlineStr">
        <is>
          <t>No</t>
        </is>
      </c>
      <c r="J1741" t="inlineStr">
        <is>
          <t>0</t>
        </is>
      </c>
      <c r="K1741" t="inlineStr">
        <is>
          <t>Werner, Frank D.</t>
        </is>
      </c>
      <c r="L1741" t="inlineStr">
        <is>
          <t>Jackson, WY : Origin Inc. : Distributed by Tech Line Corp., c2001.</t>
        </is>
      </c>
      <c r="M1741" t="inlineStr">
        <is>
          <t>2001</t>
        </is>
      </c>
      <c r="N1741" t="inlineStr">
        <is>
          <t>1st ed.</t>
        </is>
      </c>
      <c r="O1741" t="inlineStr">
        <is>
          <t>eng</t>
        </is>
      </c>
      <c r="P1741" t="inlineStr">
        <is>
          <t>wyu</t>
        </is>
      </c>
      <c r="R1741" t="inlineStr">
        <is>
          <t xml:space="preserve">GV </t>
        </is>
      </c>
      <c r="S1741" t="n">
        <v>2</v>
      </c>
      <c r="T1741" t="n">
        <v>2</v>
      </c>
      <c r="U1741" t="inlineStr">
        <is>
          <t>2002-04-12</t>
        </is>
      </c>
      <c r="V1741" t="inlineStr">
        <is>
          <t>2002-04-12</t>
        </is>
      </c>
      <c r="W1741" t="inlineStr">
        <is>
          <t>2002-03-26</t>
        </is>
      </c>
      <c r="X1741" t="inlineStr">
        <is>
          <t>2002-03-26</t>
        </is>
      </c>
      <c r="Y1741" t="n">
        <v>135</v>
      </c>
      <c r="Z1741" t="n">
        <v>128</v>
      </c>
      <c r="AA1741" t="n">
        <v>129</v>
      </c>
      <c r="AB1741" t="n">
        <v>3</v>
      </c>
      <c r="AC1741" t="n">
        <v>3</v>
      </c>
      <c r="AD1741" t="n">
        <v>3</v>
      </c>
      <c r="AE1741" t="n">
        <v>3</v>
      </c>
      <c r="AF1741" t="n">
        <v>0</v>
      </c>
      <c r="AG1741" t="n">
        <v>0</v>
      </c>
      <c r="AH1741" t="n">
        <v>0</v>
      </c>
      <c r="AI1741" t="n">
        <v>0</v>
      </c>
      <c r="AJ1741" t="n">
        <v>1</v>
      </c>
      <c r="AK1741" t="n">
        <v>1</v>
      </c>
      <c r="AL1741" t="n">
        <v>2</v>
      </c>
      <c r="AM1741" t="n">
        <v>2</v>
      </c>
      <c r="AN1741" t="n">
        <v>0</v>
      </c>
      <c r="AO1741" t="n">
        <v>0</v>
      </c>
      <c r="AP1741" t="inlineStr">
        <is>
          <t>No</t>
        </is>
      </c>
      <c r="AQ1741" t="inlineStr">
        <is>
          <t>Yes</t>
        </is>
      </c>
      <c r="AR1741">
        <f>HYPERLINK("http://catalog.hathitrust.org/Record/007051356","HathiTrust Record")</f>
        <v/>
      </c>
      <c r="AS1741">
        <f>HYPERLINK("https://creighton-primo.hosted.exlibrisgroup.com/primo-explore/search?tab=default_tab&amp;search_scope=EVERYTHING&amp;vid=01CRU&amp;lang=en_US&amp;offset=0&amp;query=any,contains,991003742179702656","Catalog Record")</f>
        <v/>
      </c>
      <c r="AT1741">
        <f>HYPERLINK("http://www.worldcat.org/oclc/48542241","WorldCat Record")</f>
        <v/>
      </c>
      <c r="AU1741" t="inlineStr">
        <is>
          <t>2219817660:eng</t>
        </is>
      </c>
      <c r="AV1741" t="inlineStr">
        <is>
          <t>48542241</t>
        </is>
      </c>
      <c r="AW1741" t="inlineStr">
        <is>
          <t>991003742179702656</t>
        </is>
      </c>
      <c r="AX1741" t="inlineStr">
        <is>
          <t>991003742179702656</t>
        </is>
      </c>
      <c r="AY1741" t="inlineStr">
        <is>
          <t>2268143000002656</t>
        </is>
      </c>
      <c r="AZ1741" t="inlineStr">
        <is>
          <t>BOOK</t>
        </is>
      </c>
      <c r="BB1741" t="inlineStr">
        <is>
          <t>9780967762517</t>
        </is>
      </c>
      <c r="BC1741" t="inlineStr">
        <is>
          <t>32285004464276</t>
        </is>
      </c>
      <c r="BD1741" t="inlineStr">
        <is>
          <t>893525157</t>
        </is>
      </c>
    </row>
    <row r="1742">
      <c r="A1742" t="inlineStr">
        <is>
          <t>No</t>
        </is>
      </c>
      <c r="B1742" t="inlineStr">
        <is>
          <t>GV965.A1 B37 1990</t>
        </is>
      </c>
      <c r="C1742" t="inlineStr">
        <is>
          <t>0                      GV 0965000A  1                  B  37          1990</t>
        </is>
      </c>
      <c r="D1742" t="inlineStr">
        <is>
          <t>Baseball's finest : the greats, the flakes, the weird, and the wonderful / edited by Danny Peary.</t>
        </is>
      </c>
      <c r="F1742" t="inlineStr">
        <is>
          <t>No</t>
        </is>
      </c>
      <c r="G1742" t="inlineStr">
        <is>
          <t>1</t>
        </is>
      </c>
      <c r="H1742" t="inlineStr">
        <is>
          <t>No</t>
        </is>
      </c>
      <c r="I1742" t="inlineStr">
        <is>
          <t>No</t>
        </is>
      </c>
      <c r="J1742" t="inlineStr">
        <is>
          <t>0</t>
        </is>
      </c>
      <c r="L1742" t="inlineStr">
        <is>
          <t>North Dighton, MA : JG Press, c1990.</t>
        </is>
      </c>
      <c r="M1742" t="inlineStr">
        <is>
          <t>1990</t>
        </is>
      </c>
      <c r="O1742" t="inlineStr">
        <is>
          <t>eng</t>
        </is>
      </c>
      <c r="P1742" t="inlineStr">
        <is>
          <t>mau</t>
        </is>
      </c>
      <c r="Q1742" t="inlineStr">
        <is>
          <t>[The Sports heroes library]</t>
        </is>
      </c>
      <c r="R1742" t="inlineStr">
        <is>
          <t xml:space="preserve">GV </t>
        </is>
      </c>
      <c r="S1742" t="n">
        <v>1</v>
      </c>
      <c r="T1742" t="n">
        <v>1</v>
      </c>
      <c r="U1742" t="inlineStr">
        <is>
          <t>2009-04-23</t>
        </is>
      </c>
      <c r="V1742" t="inlineStr">
        <is>
          <t>2009-04-23</t>
        </is>
      </c>
      <c r="W1742" t="inlineStr">
        <is>
          <t>2009-04-23</t>
        </is>
      </c>
      <c r="X1742" t="inlineStr">
        <is>
          <t>2009-04-23</t>
        </is>
      </c>
      <c r="Y1742" t="n">
        <v>32</v>
      </c>
      <c r="Z1742" t="n">
        <v>32</v>
      </c>
      <c r="AA1742" t="n">
        <v>32</v>
      </c>
      <c r="AB1742" t="n">
        <v>1</v>
      </c>
      <c r="AC1742" t="n">
        <v>1</v>
      </c>
      <c r="AD1742" t="n">
        <v>1</v>
      </c>
      <c r="AE1742" t="n">
        <v>1</v>
      </c>
      <c r="AF1742" t="n">
        <v>1</v>
      </c>
      <c r="AG1742" t="n">
        <v>1</v>
      </c>
      <c r="AH1742" t="n">
        <v>0</v>
      </c>
      <c r="AI1742" t="n">
        <v>0</v>
      </c>
      <c r="AJ1742" t="n">
        <v>0</v>
      </c>
      <c r="AK1742" t="n">
        <v>0</v>
      </c>
      <c r="AL1742" t="n">
        <v>0</v>
      </c>
      <c r="AM1742" t="n">
        <v>0</v>
      </c>
      <c r="AN1742" t="n">
        <v>0</v>
      </c>
      <c r="AO1742" t="n">
        <v>0</v>
      </c>
      <c r="AP1742" t="inlineStr">
        <is>
          <t>No</t>
        </is>
      </c>
      <c r="AQ1742" t="inlineStr">
        <is>
          <t>No</t>
        </is>
      </c>
      <c r="AS1742">
        <f>HYPERLINK("https://creighton-primo.hosted.exlibrisgroup.com/primo-explore/search?tab=default_tab&amp;search_scope=EVERYTHING&amp;vid=01CRU&amp;lang=en_US&amp;offset=0&amp;query=any,contains,991005312719702656","Catalog Record")</f>
        <v/>
      </c>
      <c r="AT1742">
        <f>HYPERLINK("http://www.worldcat.org/oclc/37151438","WorldCat Record")</f>
        <v/>
      </c>
      <c r="AU1742" t="inlineStr">
        <is>
          <t>40765585:eng</t>
        </is>
      </c>
      <c r="AV1742" t="inlineStr">
        <is>
          <t>37151438</t>
        </is>
      </c>
      <c r="AW1742" t="inlineStr">
        <is>
          <t>991005312719702656</t>
        </is>
      </c>
      <c r="AX1742" t="inlineStr">
        <is>
          <t>991005312719702656</t>
        </is>
      </c>
      <c r="AY1742" t="inlineStr">
        <is>
          <t>2258977670002656</t>
        </is>
      </c>
      <c r="AZ1742" t="inlineStr">
        <is>
          <t>BOOK</t>
        </is>
      </c>
      <c r="BB1742" t="inlineStr">
        <is>
          <t>9781572152090</t>
        </is>
      </c>
      <c r="BC1742" t="inlineStr">
        <is>
          <t>32285005518096</t>
        </is>
      </c>
      <c r="BD1742" t="inlineStr">
        <is>
          <t>893412655</t>
        </is>
      </c>
    </row>
    <row r="1743">
      <c r="A1743" t="inlineStr">
        <is>
          <t>No</t>
        </is>
      </c>
      <c r="B1743" t="inlineStr">
        <is>
          <t>GV966 .J84 1993</t>
        </is>
      </c>
      <c r="C1743" t="inlineStr">
        <is>
          <t>0                      GV 0966000J  84          1993</t>
        </is>
      </c>
      <c r="D1743" t="inlineStr">
        <is>
          <t>The beginner's guide to great golf for women / Vernon Juergens with Rhonda Glenn.</t>
        </is>
      </c>
      <c r="F1743" t="inlineStr">
        <is>
          <t>No</t>
        </is>
      </c>
      <c r="G1743" t="inlineStr">
        <is>
          <t>1</t>
        </is>
      </c>
      <c r="H1743" t="inlineStr">
        <is>
          <t>No</t>
        </is>
      </c>
      <c r="I1743" t="inlineStr">
        <is>
          <t>No</t>
        </is>
      </c>
      <c r="J1743" t="inlineStr">
        <is>
          <t>0</t>
        </is>
      </c>
      <c r="K1743" t="inlineStr">
        <is>
          <t>Juergens, Vernon.</t>
        </is>
      </c>
      <c r="L1743" t="inlineStr">
        <is>
          <t>Dallas, Tex. : Taylor Pub. Co., c1993.</t>
        </is>
      </c>
      <c r="M1743" t="inlineStr">
        <is>
          <t>1993</t>
        </is>
      </c>
      <c r="O1743" t="inlineStr">
        <is>
          <t>eng</t>
        </is>
      </c>
      <c r="P1743" t="inlineStr">
        <is>
          <t>txu</t>
        </is>
      </c>
      <c r="R1743" t="inlineStr">
        <is>
          <t xml:space="preserve">GV </t>
        </is>
      </c>
      <c r="S1743" t="n">
        <v>6</v>
      </c>
      <c r="T1743" t="n">
        <v>6</v>
      </c>
      <c r="U1743" t="inlineStr">
        <is>
          <t>2007-11-12</t>
        </is>
      </c>
      <c r="V1743" t="inlineStr">
        <is>
          <t>2007-11-12</t>
        </is>
      </c>
      <c r="W1743" t="inlineStr">
        <is>
          <t>1996-09-06</t>
        </is>
      </c>
      <c r="X1743" t="inlineStr">
        <is>
          <t>1996-09-06</t>
        </is>
      </c>
      <c r="Y1743" t="n">
        <v>61</v>
      </c>
      <c r="Z1743" t="n">
        <v>59</v>
      </c>
      <c r="AA1743" t="n">
        <v>60</v>
      </c>
      <c r="AB1743" t="n">
        <v>1</v>
      </c>
      <c r="AC1743" t="n">
        <v>1</v>
      </c>
      <c r="AD1743" t="n">
        <v>0</v>
      </c>
      <c r="AE1743" t="n">
        <v>0</v>
      </c>
      <c r="AF1743" t="n">
        <v>0</v>
      </c>
      <c r="AG1743" t="n">
        <v>0</v>
      </c>
      <c r="AH1743" t="n">
        <v>0</v>
      </c>
      <c r="AI1743" t="n">
        <v>0</v>
      </c>
      <c r="AJ1743" t="n">
        <v>0</v>
      </c>
      <c r="AK1743" t="n">
        <v>0</v>
      </c>
      <c r="AL1743" t="n">
        <v>0</v>
      </c>
      <c r="AM1743" t="n">
        <v>0</v>
      </c>
      <c r="AN1743" t="n">
        <v>0</v>
      </c>
      <c r="AO1743" t="n">
        <v>0</v>
      </c>
      <c r="AP1743" t="inlineStr">
        <is>
          <t>No</t>
        </is>
      </c>
      <c r="AQ1743" t="inlineStr">
        <is>
          <t>Yes</t>
        </is>
      </c>
      <c r="AR1743">
        <f>HYPERLINK("http://catalog.hathitrust.org/Record/007052801","HathiTrust Record")</f>
        <v/>
      </c>
      <c r="AS1743">
        <f>HYPERLINK("https://creighton-primo.hosted.exlibrisgroup.com/primo-explore/search?tab=default_tab&amp;search_scope=EVERYTHING&amp;vid=01CRU&amp;lang=en_US&amp;offset=0&amp;query=any,contains,991002262339702656","Catalog Record")</f>
        <v/>
      </c>
      <c r="AT1743">
        <f>HYPERLINK("http://www.worldcat.org/oclc/29356588","WorldCat Record")</f>
        <v/>
      </c>
      <c r="AU1743" t="inlineStr">
        <is>
          <t>31202841:eng</t>
        </is>
      </c>
      <c r="AV1743" t="inlineStr">
        <is>
          <t>29356588</t>
        </is>
      </c>
      <c r="AW1743" t="inlineStr">
        <is>
          <t>991002262339702656</t>
        </is>
      </c>
      <c r="AX1743" t="inlineStr">
        <is>
          <t>991002262339702656</t>
        </is>
      </c>
      <c r="AY1743" t="inlineStr">
        <is>
          <t>2262709590002656</t>
        </is>
      </c>
      <c r="AZ1743" t="inlineStr">
        <is>
          <t>BOOK</t>
        </is>
      </c>
      <c r="BB1743" t="inlineStr">
        <is>
          <t>9780878338535</t>
        </is>
      </c>
      <c r="BC1743" t="inlineStr">
        <is>
          <t>32285002294931</t>
        </is>
      </c>
      <c r="BD1743" t="inlineStr">
        <is>
          <t>893879680</t>
        </is>
      </c>
    </row>
    <row r="1744">
      <c r="A1744" t="inlineStr">
        <is>
          <t>No</t>
        </is>
      </c>
      <c r="B1744" t="inlineStr">
        <is>
          <t>GV966.5 .A33 1998</t>
        </is>
      </c>
      <c r="C1744" t="inlineStr">
        <is>
          <t>0                      GV 0966500A  33          1998</t>
        </is>
      </c>
      <c r="D1744" t="inlineStr">
        <is>
          <t>Play better golf for seniors / Mike Adams &amp; T.J. Tomasi ; with Kathryn Maloney.</t>
        </is>
      </c>
      <c r="F1744" t="inlineStr">
        <is>
          <t>No</t>
        </is>
      </c>
      <c r="G1744" t="inlineStr">
        <is>
          <t>1</t>
        </is>
      </c>
      <c r="H1744" t="inlineStr">
        <is>
          <t>No</t>
        </is>
      </c>
      <c r="I1744" t="inlineStr">
        <is>
          <t>No</t>
        </is>
      </c>
      <c r="J1744" t="inlineStr">
        <is>
          <t>0</t>
        </is>
      </c>
      <c r="K1744" t="inlineStr">
        <is>
          <t>Adams, Mike, 1954-</t>
        </is>
      </c>
      <c r="L1744" t="inlineStr">
        <is>
          <t>New York : H. Holt, 1998.</t>
        </is>
      </c>
      <c r="M1744" t="inlineStr">
        <is>
          <t>1998</t>
        </is>
      </c>
      <c r="N1744" t="inlineStr">
        <is>
          <t>1st Holt ed.</t>
        </is>
      </c>
      <c r="O1744" t="inlineStr">
        <is>
          <t>eng</t>
        </is>
      </c>
      <c r="P1744" t="inlineStr">
        <is>
          <t>nyu</t>
        </is>
      </c>
      <c r="R1744" t="inlineStr">
        <is>
          <t xml:space="preserve">GV </t>
        </is>
      </c>
      <c r="S1744" t="n">
        <v>3</v>
      </c>
      <c r="T1744" t="n">
        <v>3</v>
      </c>
      <c r="U1744" t="inlineStr">
        <is>
          <t>2010-11-17</t>
        </is>
      </c>
      <c r="V1744" t="inlineStr">
        <is>
          <t>2010-11-17</t>
        </is>
      </c>
      <c r="W1744" t="inlineStr">
        <is>
          <t>1998-10-07</t>
        </is>
      </c>
      <c r="X1744" t="inlineStr">
        <is>
          <t>1998-10-07</t>
        </is>
      </c>
      <c r="Y1744" t="n">
        <v>332</v>
      </c>
      <c r="Z1744" t="n">
        <v>314</v>
      </c>
      <c r="AA1744" t="n">
        <v>319</v>
      </c>
      <c r="AB1744" t="n">
        <v>2</v>
      </c>
      <c r="AC1744" t="n">
        <v>2</v>
      </c>
      <c r="AD1744" t="n">
        <v>0</v>
      </c>
      <c r="AE1744" t="n">
        <v>0</v>
      </c>
      <c r="AF1744" t="n">
        <v>0</v>
      </c>
      <c r="AG1744" t="n">
        <v>0</v>
      </c>
      <c r="AH1744" t="n">
        <v>0</v>
      </c>
      <c r="AI1744" t="n">
        <v>0</v>
      </c>
      <c r="AJ1744" t="n">
        <v>0</v>
      </c>
      <c r="AK1744" t="n">
        <v>0</v>
      </c>
      <c r="AL1744" t="n">
        <v>0</v>
      </c>
      <c r="AM1744" t="n">
        <v>0</v>
      </c>
      <c r="AN1744" t="n">
        <v>0</v>
      </c>
      <c r="AO1744" t="n">
        <v>0</v>
      </c>
      <c r="AP1744" t="inlineStr">
        <is>
          <t>No</t>
        </is>
      </c>
      <c r="AQ1744" t="inlineStr">
        <is>
          <t>No</t>
        </is>
      </c>
      <c r="AS1744">
        <f>HYPERLINK("https://creighton-primo.hosted.exlibrisgroup.com/primo-explore/search?tab=default_tab&amp;search_scope=EVERYTHING&amp;vid=01CRU&amp;lang=en_US&amp;offset=0&amp;query=any,contains,991002912549702656","Catalog Record")</f>
        <v/>
      </c>
      <c r="AT1744">
        <f>HYPERLINK("http://www.worldcat.org/oclc/38519021","WorldCat Record")</f>
        <v/>
      </c>
      <c r="AU1744" t="inlineStr">
        <is>
          <t>11961199:eng</t>
        </is>
      </c>
      <c r="AV1744" t="inlineStr">
        <is>
          <t>38519021</t>
        </is>
      </c>
      <c r="AW1744" t="inlineStr">
        <is>
          <t>991002912549702656</t>
        </is>
      </c>
      <c r="AX1744" t="inlineStr">
        <is>
          <t>991002912549702656</t>
        </is>
      </c>
      <c r="AY1744" t="inlineStr">
        <is>
          <t>2266393110002656</t>
        </is>
      </c>
      <c r="AZ1744" t="inlineStr">
        <is>
          <t>BOOK</t>
        </is>
      </c>
      <c r="BB1744" t="inlineStr">
        <is>
          <t>9780805059205</t>
        </is>
      </c>
      <c r="BC1744" t="inlineStr">
        <is>
          <t>32285003473336</t>
        </is>
      </c>
      <c r="BD1744" t="inlineStr">
        <is>
          <t>893511356</t>
        </is>
      </c>
    </row>
    <row r="1745">
      <c r="A1745" t="inlineStr">
        <is>
          <t>No</t>
        </is>
      </c>
      <c r="B1745" t="inlineStr">
        <is>
          <t>GV967 .B68 2001</t>
        </is>
      </c>
      <c r="C1745" t="inlineStr">
        <is>
          <t>0                      GV 0967000B  68          2001</t>
        </is>
      </c>
      <c r="D1745" t="inlineStr">
        <is>
          <t>The cosmic laws of golf (and everything else) / Printer Bowler.</t>
        </is>
      </c>
      <c r="F1745" t="inlineStr">
        <is>
          <t>No</t>
        </is>
      </c>
      <c r="G1745" t="inlineStr">
        <is>
          <t>1</t>
        </is>
      </c>
      <c r="H1745" t="inlineStr">
        <is>
          <t>No</t>
        </is>
      </c>
      <c r="I1745" t="inlineStr">
        <is>
          <t>No</t>
        </is>
      </c>
      <c r="J1745" t="inlineStr">
        <is>
          <t>0</t>
        </is>
      </c>
      <c r="K1745" t="inlineStr">
        <is>
          <t>Bowler, Printer.</t>
        </is>
      </c>
      <c r="L1745" t="inlineStr">
        <is>
          <t>New York : Berkley Books, c2001.</t>
        </is>
      </c>
      <c r="M1745" t="inlineStr">
        <is>
          <t>2001</t>
        </is>
      </c>
      <c r="N1745" t="inlineStr">
        <is>
          <t>Berkeley trade pbk. ed.</t>
        </is>
      </c>
      <c r="O1745" t="inlineStr">
        <is>
          <t>eng</t>
        </is>
      </c>
      <c r="P1745" t="inlineStr">
        <is>
          <t>nyu</t>
        </is>
      </c>
      <c r="R1745" t="inlineStr">
        <is>
          <t xml:space="preserve">GV </t>
        </is>
      </c>
      <c r="S1745" t="n">
        <v>2</v>
      </c>
      <c r="T1745" t="n">
        <v>2</v>
      </c>
      <c r="U1745" t="inlineStr">
        <is>
          <t>2006-03-07</t>
        </is>
      </c>
      <c r="V1745" t="inlineStr">
        <is>
          <t>2006-03-07</t>
        </is>
      </c>
      <c r="W1745" t="inlineStr">
        <is>
          <t>2006-02-21</t>
        </is>
      </c>
      <c r="X1745" t="inlineStr">
        <is>
          <t>2006-02-21</t>
        </is>
      </c>
      <c r="Y1745" t="n">
        <v>37</v>
      </c>
      <c r="Z1745" t="n">
        <v>36</v>
      </c>
      <c r="AA1745" t="n">
        <v>37</v>
      </c>
      <c r="AB1745" t="n">
        <v>1</v>
      </c>
      <c r="AC1745" t="n">
        <v>1</v>
      </c>
      <c r="AD1745" t="n">
        <v>0</v>
      </c>
      <c r="AE1745" t="n">
        <v>0</v>
      </c>
      <c r="AF1745" t="n">
        <v>0</v>
      </c>
      <c r="AG1745" t="n">
        <v>0</v>
      </c>
      <c r="AH1745" t="n">
        <v>0</v>
      </c>
      <c r="AI1745" t="n">
        <v>0</v>
      </c>
      <c r="AJ1745" t="n">
        <v>0</v>
      </c>
      <c r="AK1745" t="n">
        <v>0</v>
      </c>
      <c r="AL1745" t="n">
        <v>0</v>
      </c>
      <c r="AM1745" t="n">
        <v>0</v>
      </c>
      <c r="AN1745" t="n">
        <v>0</v>
      </c>
      <c r="AO1745" t="n">
        <v>0</v>
      </c>
      <c r="AP1745" t="inlineStr">
        <is>
          <t>No</t>
        </is>
      </c>
      <c r="AQ1745" t="inlineStr">
        <is>
          <t>Yes</t>
        </is>
      </c>
      <c r="AR1745">
        <f>HYPERLINK("http://catalog.hathitrust.org/Record/007520632","HathiTrust Record")</f>
        <v/>
      </c>
      <c r="AS1745">
        <f>HYPERLINK("https://creighton-primo.hosted.exlibrisgroup.com/primo-explore/search?tab=default_tab&amp;search_scope=EVERYTHING&amp;vid=01CRU&amp;lang=en_US&amp;offset=0&amp;query=any,contains,991004738679702656","Catalog Record")</f>
        <v/>
      </c>
      <c r="AT1745">
        <f>HYPERLINK("http://www.worldcat.org/oclc/45100114","WorldCat Record")</f>
        <v/>
      </c>
      <c r="AU1745" t="inlineStr">
        <is>
          <t>2220504822:eng</t>
        </is>
      </c>
      <c r="AV1745" t="inlineStr">
        <is>
          <t>45100114</t>
        </is>
      </c>
      <c r="AW1745" t="inlineStr">
        <is>
          <t>991004738679702656</t>
        </is>
      </c>
      <c r="AX1745" t="inlineStr">
        <is>
          <t>991004738679702656</t>
        </is>
      </c>
      <c r="AY1745" t="inlineStr">
        <is>
          <t>2269681740002656</t>
        </is>
      </c>
      <c r="AZ1745" t="inlineStr">
        <is>
          <t>BOOK</t>
        </is>
      </c>
      <c r="BB1745" t="inlineStr">
        <is>
          <t>9780425178300</t>
        </is>
      </c>
      <c r="BC1745" t="inlineStr">
        <is>
          <t>32285005159206</t>
        </is>
      </c>
      <c r="BD1745" t="inlineStr">
        <is>
          <t>893331988</t>
        </is>
      </c>
    </row>
    <row r="1746">
      <c r="A1746" t="inlineStr">
        <is>
          <t>No</t>
        </is>
      </c>
      <c r="B1746" t="inlineStr">
        <is>
          <t>GV969.A83 E83 1998</t>
        </is>
      </c>
      <c r="C1746" t="inlineStr">
        <is>
          <t>0                      GV 0969000A  83                 E  83          1998</t>
        </is>
      </c>
      <c r="D1746" t="inlineStr">
        <is>
          <t>Augusta : home of the Masters Tournament / Steve Eubanks ; foreword by Frank Deford.</t>
        </is>
      </c>
      <c r="F1746" t="inlineStr">
        <is>
          <t>No</t>
        </is>
      </c>
      <c r="G1746" t="inlineStr">
        <is>
          <t>1</t>
        </is>
      </c>
      <c r="H1746" t="inlineStr">
        <is>
          <t>No</t>
        </is>
      </c>
      <c r="I1746" t="inlineStr">
        <is>
          <t>No</t>
        </is>
      </c>
      <c r="J1746" t="inlineStr">
        <is>
          <t>0</t>
        </is>
      </c>
      <c r="K1746" t="inlineStr">
        <is>
          <t>Eubanks, Steve, 1962-</t>
        </is>
      </c>
      <c r="L1746" t="inlineStr">
        <is>
          <t>Nashville, Tenn. : Rutledge Hill Press, [1998], c1997.</t>
        </is>
      </c>
      <c r="M1746" t="inlineStr">
        <is>
          <t>1998</t>
        </is>
      </c>
      <c r="O1746" t="inlineStr">
        <is>
          <t>eng</t>
        </is>
      </c>
      <c r="P1746" t="inlineStr">
        <is>
          <t>tnu</t>
        </is>
      </c>
      <c r="R1746" t="inlineStr">
        <is>
          <t xml:space="preserve">GV </t>
        </is>
      </c>
      <c r="S1746" t="n">
        <v>7</v>
      </c>
      <c r="T1746" t="n">
        <v>7</v>
      </c>
      <c r="U1746" t="inlineStr">
        <is>
          <t>2009-02-12</t>
        </is>
      </c>
      <c r="V1746" t="inlineStr">
        <is>
          <t>2009-02-12</t>
        </is>
      </c>
      <c r="W1746" t="inlineStr">
        <is>
          <t>2000-09-28</t>
        </is>
      </c>
      <c r="X1746" t="inlineStr">
        <is>
          <t>2000-09-28</t>
        </is>
      </c>
      <c r="Y1746" t="n">
        <v>15</v>
      </c>
      <c r="Z1746" t="n">
        <v>15</v>
      </c>
      <c r="AA1746" t="n">
        <v>168</v>
      </c>
      <c r="AB1746" t="n">
        <v>1</v>
      </c>
      <c r="AC1746" t="n">
        <v>1</v>
      </c>
      <c r="AD1746" t="n">
        <v>0</v>
      </c>
      <c r="AE1746" t="n">
        <v>2</v>
      </c>
      <c r="AF1746" t="n">
        <v>0</v>
      </c>
      <c r="AG1746" t="n">
        <v>0</v>
      </c>
      <c r="AH1746" t="n">
        <v>0</v>
      </c>
      <c r="AI1746" t="n">
        <v>1</v>
      </c>
      <c r="AJ1746" t="n">
        <v>0</v>
      </c>
      <c r="AK1746" t="n">
        <v>1</v>
      </c>
      <c r="AL1746" t="n">
        <v>0</v>
      </c>
      <c r="AM1746" t="n">
        <v>0</v>
      </c>
      <c r="AN1746" t="n">
        <v>0</v>
      </c>
      <c r="AO1746" t="n">
        <v>0</v>
      </c>
      <c r="AP1746" t="inlineStr">
        <is>
          <t>No</t>
        </is>
      </c>
      <c r="AQ1746" t="inlineStr">
        <is>
          <t>No</t>
        </is>
      </c>
      <c r="AS1746">
        <f>HYPERLINK("https://creighton-primo.hosted.exlibrisgroup.com/primo-explore/search?tab=default_tab&amp;search_scope=EVERYTHING&amp;vid=01CRU&amp;lang=en_US&amp;offset=0&amp;query=any,contains,991003256179702656","Catalog Record")</f>
        <v/>
      </c>
      <c r="AT1746">
        <f>HYPERLINK("http://www.worldcat.org/oclc/38941849","WorldCat Record")</f>
        <v/>
      </c>
      <c r="AU1746" t="inlineStr">
        <is>
          <t>595731:eng</t>
        </is>
      </c>
      <c r="AV1746" t="inlineStr">
        <is>
          <t>38941849</t>
        </is>
      </c>
      <c r="AW1746" t="inlineStr">
        <is>
          <t>991003256179702656</t>
        </is>
      </c>
      <c r="AX1746" t="inlineStr">
        <is>
          <t>991003256179702656</t>
        </is>
      </c>
      <c r="AY1746" t="inlineStr">
        <is>
          <t>2263912630002656</t>
        </is>
      </c>
      <c r="AZ1746" t="inlineStr">
        <is>
          <t>BOOK</t>
        </is>
      </c>
      <c r="BB1746" t="inlineStr">
        <is>
          <t>9781558535756</t>
        </is>
      </c>
      <c r="BC1746" t="inlineStr">
        <is>
          <t>32285003765707</t>
        </is>
      </c>
      <c r="BD1746" t="inlineStr">
        <is>
          <t>893352747</t>
        </is>
      </c>
    </row>
    <row r="1747">
      <c r="A1747" t="inlineStr">
        <is>
          <t>No</t>
        </is>
      </c>
      <c r="B1747" t="inlineStr">
        <is>
          <t>GV970.3.U69 F45 2003</t>
        </is>
      </c>
      <c r="C1747" t="inlineStr">
        <is>
          <t>0                      GV 0970300U  69                 F  45          2003</t>
        </is>
      </c>
      <c r="D1747" t="inlineStr">
        <is>
          <t>Open : inside the ropes at Bethpage Black / John Feinstein.</t>
        </is>
      </c>
      <c r="F1747" t="inlineStr">
        <is>
          <t>No</t>
        </is>
      </c>
      <c r="G1747" t="inlineStr">
        <is>
          <t>1</t>
        </is>
      </c>
      <c r="H1747" t="inlineStr">
        <is>
          <t>No</t>
        </is>
      </c>
      <c r="I1747" t="inlineStr">
        <is>
          <t>No</t>
        </is>
      </c>
      <c r="J1747" t="inlineStr">
        <is>
          <t>0</t>
        </is>
      </c>
      <c r="K1747" t="inlineStr">
        <is>
          <t>Feinstein, John.</t>
        </is>
      </c>
      <c r="L1747" t="inlineStr">
        <is>
          <t>Boston, MA : Little, Brown and Co., c2003.</t>
        </is>
      </c>
      <c r="M1747" t="inlineStr">
        <is>
          <t>2003</t>
        </is>
      </c>
      <c r="N1747" t="inlineStr">
        <is>
          <t>1st ed.</t>
        </is>
      </c>
      <c r="O1747" t="inlineStr">
        <is>
          <t>eng</t>
        </is>
      </c>
      <c r="P1747" t="inlineStr">
        <is>
          <t>mau</t>
        </is>
      </c>
      <c r="R1747" t="inlineStr">
        <is>
          <t xml:space="preserve">GV </t>
        </is>
      </c>
      <c r="S1747" t="n">
        <v>1</v>
      </c>
      <c r="T1747" t="n">
        <v>1</v>
      </c>
      <c r="U1747" t="inlineStr">
        <is>
          <t>2006-02-03</t>
        </is>
      </c>
      <c r="V1747" t="inlineStr">
        <is>
          <t>2006-02-03</t>
        </is>
      </c>
      <c r="W1747" t="inlineStr">
        <is>
          <t>2006-02-03</t>
        </is>
      </c>
      <c r="X1747" t="inlineStr">
        <is>
          <t>2006-02-03</t>
        </is>
      </c>
      <c r="Y1747" t="n">
        <v>890</v>
      </c>
      <c r="Z1747" t="n">
        <v>859</v>
      </c>
      <c r="AA1747" t="n">
        <v>1006</v>
      </c>
      <c r="AB1747" t="n">
        <v>6</v>
      </c>
      <c r="AC1747" t="n">
        <v>7</v>
      </c>
      <c r="AD1747" t="n">
        <v>5</v>
      </c>
      <c r="AE1747" t="n">
        <v>5</v>
      </c>
      <c r="AF1747" t="n">
        <v>2</v>
      </c>
      <c r="AG1747" t="n">
        <v>2</v>
      </c>
      <c r="AH1747" t="n">
        <v>1</v>
      </c>
      <c r="AI1747" t="n">
        <v>1</v>
      </c>
      <c r="AJ1747" t="n">
        <v>2</v>
      </c>
      <c r="AK1747" t="n">
        <v>2</v>
      </c>
      <c r="AL1747" t="n">
        <v>1</v>
      </c>
      <c r="AM1747" t="n">
        <v>1</v>
      </c>
      <c r="AN1747" t="n">
        <v>0</v>
      </c>
      <c r="AO1747" t="n">
        <v>0</v>
      </c>
      <c r="AP1747" t="inlineStr">
        <is>
          <t>No</t>
        </is>
      </c>
      <c r="AQ1747" t="inlineStr">
        <is>
          <t>No</t>
        </is>
      </c>
      <c r="AS1747">
        <f>HYPERLINK("https://creighton-primo.hosted.exlibrisgroup.com/primo-explore/search?tab=default_tab&amp;search_scope=EVERYTHING&amp;vid=01CRU&amp;lang=en_US&amp;offset=0&amp;query=any,contains,991004728989702656","Catalog Record")</f>
        <v/>
      </c>
      <c r="AT1747">
        <f>HYPERLINK("http://www.worldcat.org/oclc/52087985","WorldCat Record")</f>
        <v/>
      </c>
      <c r="AU1747" t="inlineStr">
        <is>
          <t>678013:eng</t>
        </is>
      </c>
      <c r="AV1747" t="inlineStr">
        <is>
          <t>52087985</t>
        </is>
      </c>
      <c r="AW1747" t="inlineStr">
        <is>
          <t>991004728989702656</t>
        </is>
      </c>
      <c r="AX1747" t="inlineStr">
        <is>
          <t>991004728989702656</t>
        </is>
      </c>
      <c r="AY1747" t="inlineStr">
        <is>
          <t>2255701270002656</t>
        </is>
      </c>
      <c r="AZ1747" t="inlineStr">
        <is>
          <t>BOOK</t>
        </is>
      </c>
      <c r="BB1747" t="inlineStr">
        <is>
          <t>9780316170031</t>
        </is>
      </c>
      <c r="BC1747" t="inlineStr">
        <is>
          <t>32285005156939</t>
        </is>
      </c>
      <c r="BD1747" t="inlineStr">
        <is>
          <t>893801274</t>
        </is>
      </c>
    </row>
    <row r="1748">
      <c r="A1748" t="inlineStr">
        <is>
          <t>No</t>
        </is>
      </c>
      <c r="B1748" t="inlineStr">
        <is>
          <t>GV981 .W5 1956</t>
        </is>
      </c>
      <c r="C1748" t="inlineStr">
        <is>
          <t>0                      GV 0981000W  5           1956</t>
        </is>
      </c>
      <c r="D1748" t="inlineStr">
        <is>
          <t>The story of American golf : its champions and its championships.</t>
        </is>
      </c>
      <c r="F1748" t="inlineStr">
        <is>
          <t>No</t>
        </is>
      </c>
      <c r="G1748" t="inlineStr">
        <is>
          <t>1</t>
        </is>
      </c>
      <c r="H1748" t="inlineStr">
        <is>
          <t>No</t>
        </is>
      </c>
      <c r="I1748" t="inlineStr">
        <is>
          <t>No</t>
        </is>
      </c>
      <c r="J1748" t="inlineStr">
        <is>
          <t>0</t>
        </is>
      </c>
      <c r="K1748" t="inlineStr">
        <is>
          <t>Wind, Herbert Warren, 1916-2005.</t>
        </is>
      </c>
      <c r="L1748" t="inlineStr">
        <is>
          <t>New York : Simon and Schuster, 1956.</t>
        </is>
      </c>
      <c r="M1748" t="inlineStr">
        <is>
          <t>1956</t>
        </is>
      </c>
      <c r="O1748" t="inlineStr">
        <is>
          <t>eng</t>
        </is>
      </c>
      <c r="P1748" t="inlineStr">
        <is>
          <t>nyu</t>
        </is>
      </c>
      <c r="R1748" t="inlineStr">
        <is>
          <t xml:space="preserve">GV </t>
        </is>
      </c>
      <c r="S1748" t="n">
        <v>23</v>
      </c>
      <c r="T1748" t="n">
        <v>23</v>
      </c>
      <c r="U1748" t="inlineStr">
        <is>
          <t>2007-09-25</t>
        </is>
      </c>
      <c r="V1748" t="inlineStr">
        <is>
          <t>2007-09-25</t>
        </is>
      </c>
      <c r="W1748" t="inlineStr">
        <is>
          <t>1994-05-06</t>
        </is>
      </c>
      <c r="X1748" t="inlineStr">
        <is>
          <t>1994-05-06</t>
        </is>
      </c>
      <c r="Y1748" t="n">
        <v>209</v>
      </c>
      <c r="Z1748" t="n">
        <v>204</v>
      </c>
      <c r="AA1748" t="n">
        <v>544</v>
      </c>
      <c r="AB1748" t="n">
        <v>1</v>
      </c>
      <c r="AC1748" t="n">
        <v>2</v>
      </c>
      <c r="AD1748" t="n">
        <v>6</v>
      </c>
      <c r="AE1748" t="n">
        <v>12</v>
      </c>
      <c r="AF1748" t="n">
        <v>2</v>
      </c>
      <c r="AG1748" t="n">
        <v>4</v>
      </c>
      <c r="AH1748" t="n">
        <v>1</v>
      </c>
      <c r="AI1748" t="n">
        <v>2</v>
      </c>
      <c r="AJ1748" t="n">
        <v>3</v>
      </c>
      <c r="AK1748" t="n">
        <v>6</v>
      </c>
      <c r="AL1748" t="n">
        <v>0</v>
      </c>
      <c r="AM1748" t="n">
        <v>1</v>
      </c>
      <c r="AN1748" t="n">
        <v>0</v>
      </c>
      <c r="AO1748" t="n">
        <v>0</v>
      </c>
      <c r="AP1748" t="inlineStr">
        <is>
          <t>No</t>
        </is>
      </c>
      <c r="AQ1748" t="inlineStr">
        <is>
          <t>No</t>
        </is>
      </c>
      <c r="AS1748">
        <f>HYPERLINK("https://creighton-primo.hosted.exlibrisgroup.com/primo-explore/search?tab=default_tab&amp;search_scope=EVERYTHING&amp;vid=01CRU&amp;lang=en_US&amp;offset=0&amp;query=any,contains,991003197019702656","Catalog Record")</f>
        <v/>
      </c>
      <c r="AT1748">
        <f>HYPERLINK("http://www.worldcat.org/oclc/722297","WorldCat Record")</f>
        <v/>
      </c>
      <c r="AU1748" t="inlineStr">
        <is>
          <t>1472815:eng</t>
        </is>
      </c>
      <c r="AV1748" t="inlineStr">
        <is>
          <t>722297</t>
        </is>
      </c>
      <c r="AW1748" t="inlineStr">
        <is>
          <t>991003197019702656</t>
        </is>
      </c>
      <c r="AX1748" t="inlineStr">
        <is>
          <t>991003197019702656</t>
        </is>
      </c>
      <c r="AY1748" t="inlineStr">
        <is>
          <t>2256948360002656</t>
        </is>
      </c>
      <c r="AZ1748" t="inlineStr">
        <is>
          <t>BOOK</t>
        </is>
      </c>
      <c r="BC1748" t="inlineStr">
        <is>
          <t>32285001908499</t>
        </is>
      </c>
      <c r="BD1748" t="inlineStr">
        <is>
          <t>893317731</t>
        </is>
      </c>
    </row>
    <row r="1749">
      <c r="A1749" t="inlineStr">
        <is>
          <t>No</t>
        </is>
      </c>
      <c r="B1749" t="inlineStr">
        <is>
          <t>GV990 .P44</t>
        </is>
      </c>
      <c r="C1749" t="inlineStr">
        <is>
          <t>0                      GV 0990000P  44</t>
        </is>
      </c>
      <c r="D1749" t="inlineStr">
        <is>
          <t>Racket and paddle games : a guide to information sources / David A. Peele.</t>
        </is>
      </c>
      <c r="F1749" t="inlineStr">
        <is>
          <t>No</t>
        </is>
      </c>
      <c r="G1749" t="inlineStr">
        <is>
          <t>1</t>
        </is>
      </c>
      <c r="H1749" t="inlineStr">
        <is>
          <t>No</t>
        </is>
      </c>
      <c r="I1749" t="inlineStr">
        <is>
          <t>No</t>
        </is>
      </c>
      <c r="J1749" t="inlineStr">
        <is>
          <t>0</t>
        </is>
      </c>
      <c r="K1749" t="inlineStr">
        <is>
          <t>Peele, David A.</t>
        </is>
      </c>
      <c r="L1749" t="inlineStr">
        <is>
          <t>Detroit, Mich. : Gale Research Co., c1980.</t>
        </is>
      </c>
      <c r="M1749" t="inlineStr">
        <is>
          <t>1980</t>
        </is>
      </c>
      <c r="O1749" t="inlineStr">
        <is>
          <t>eng</t>
        </is>
      </c>
      <c r="P1749" t="inlineStr">
        <is>
          <t>miu</t>
        </is>
      </c>
      <c r="Q1749" t="inlineStr">
        <is>
          <t>Gale information guide library</t>
        </is>
      </c>
      <c r="R1749" t="inlineStr">
        <is>
          <t xml:space="preserve">GV </t>
        </is>
      </c>
      <c r="S1749" t="n">
        <v>2</v>
      </c>
      <c r="T1749" t="n">
        <v>2</v>
      </c>
      <c r="U1749" t="inlineStr">
        <is>
          <t>2006-10-01</t>
        </is>
      </c>
      <c r="V1749" t="inlineStr">
        <is>
          <t>2006-10-01</t>
        </is>
      </c>
      <c r="W1749" t="inlineStr">
        <is>
          <t>1990-08-01</t>
        </is>
      </c>
      <c r="X1749" t="inlineStr">
        <is>
          <t>1990-08-01</t>
        </is>
      </c>
      <c r="Y1749" t="n">
        <v>148</v>
      </c>
      <c r="Z1749" t="n">
        <v>125</v>
      </c>
      <c r="AA1749" t="n">
        <v>125</v>
      </c>
      <c r="AB1749" t="n">
        <v>2</v>
      </c>
      <c r="AC1749" t="n">
        <v>2</v>
      </c>
      <c r="AD1749" t="n">
        <v>1</v>
      </c>
      <c r="AE1749" t="n">
        <v>1</v>
      </c>
      <c r="AF1749" t="n">
        <v>0</v>
      </c>
      <c r="AG1749" t="n">
        <v>0</v>
      </c>
      <c r="AH1749" t="n">
        <v>0</v>
      </c>
      <c r="AI1749" t="n">
        <v>0</v>
      </c>
      <c r="AJ1749" t="n">
        <v>0</v>
      </c>
      <c r="AK1749" t="n">
        <v>0</v>
      </c>
      <c r="AL1749" t="n">
        <v>1</v>
      </c>
      <c r="AM1749" t="n">
        <v>1</v>
      </c>
      <c r="AN1749" t="n">
        <v>0</v>
      </c>
      <c r="AO1749" t="n">
        <v>0</v>
      </c>
      <c r="AP1749" t="inlineStr">
        <is>
          <t>No</t>
        </is>
      </c>
      <c r="AQ1749" t="inlineStr">
        <is>
          <t>No</t>
        </is>
      </c>
      <c r="AS1749">
        <f>HYPERLINK("https://creighton-primo.hosted.exlibrisgroup.com/primo-explore/search?tab=default_tab&amp;search_scope=EVERYTHING&amp;vid=01CRU&amp;lang=en_US&amp;offset=0&amp;query=any,contains,991005003819702656","Catalog Record")</f>
        <v/>
      </c>
      <c r="AT1749">
        <f>HYPERLINK("http://www.worldcat.org/oclc/6555420","WorldCat Record")</f>
        <v/>
      </c>
      <c r="AU1749" t="inlineStr">
        <is>
          <t>468378:eng</t>
        </is>
      </c>
      <c r="AV1749" t="inlineStr">
        <is>
          <t>6555420</t>
        </is>
      </c>
      <c r="AW1749" t="inlineStr">
        <is>
          <t>991005003819702656</t>
        </is>
      </c>
      <c r="AX1749" t="inlineStr">
        <is>
          <t>991005003819702656</t>
        </is>
      </c>
      <c r="AY1749" t="inlineStr">
        <is>
          <t>2255021080002656</t>
        </is>
      </c>
      <c r="AZ1749" t="inlineStr">
        <is>
          <t>BOOK</t>
        </is>
      </c>
      <c r="BB1749" t="inlineStr">
        <is>
          <t>9780810314801</t>
        </is>
      </c>
      <c r="BC1749" t="inlineStr">
        <is>
          <t>32285000249358</t>
        </is>
      </c>
      <c r="BD1749" t="inlineStr">
        <is>
          <t>893526762</t>
        </is>
      </c>
    </row>
    <row r="1750">
      <c r="A1750" t="inlineStr">
        <is>
          <t>No</t>
        </is>
      </c>
      <c r="B1750" t="inlineStr">
        <is>
          <t>GV991.5 .B76 1989</t>
        </is>
      </c>
      <c r="C1750" t="inlineStr">
        <is>
          <t>0                      GV 0991500B  76          1989</t>
        </is>
      </c>
      <c r="D1750" t="inlineStr">
        <is>
          <t>Teaching tennis : steps to success / Jim Brown.</t>
        </is>
      </c>
      <c r="F1750" t="inlineStr">
        <is>
          <t>No</t>
        </is>
      </c>
      <c r="G1750" t="inlineStr">
        <is>
          <t>1</t>
        </is>
      </c>
      <c r="H1750" t="inlineStr">
        <is>
          <t>No</t>
        </is>
      </c>
      <c r="I1750" t="inlineStr">
        <is>
          <t>No</t>
        </is>
      </c>
      <c r="J1750" t="inlineStr">
        <is>
          <t>0</t>
        </is>
      </c>
      <c r="K1750" t="inlineStr">
        <is>
          <t>Brown, Jim, 1940-</t>
        </is>
      </c>
      <c r="L1750" t="inlineStr">
        <is>
          <t>Champaign, Ill. : Leisure Press, c1989.</t>
        </is>
      </c>
      <c r="M1750" t="inlineStr">
        <is>
          <t>1989</t>
        </is>
      </c>
      <c r="O1750" t="inlineStr">
        <is>
          <t>eng</t>
        </is>
      </c>
      <c r="P1750" t="inlineStr">
        <is>
          <t>ilu</t>
        </is>
      </c>
      <c r="Q1750" t="inlineStr">
        <is>
          <t>Steps to success activity series</t>
        </is>
      </c>
      <c r="R1750" t="inlineStr">
        <is>
          <t xml:space="preserve">GV </t>
        </is>
      </c>
      <c r="S1750" t="n">
        <v>10</v>
      </c>
      <c r="T1750" t="n">
        <v>10</v>
      </c>
      <c r="U1750" t="inlineStr">
        <is>
          <t>2005-09-25</t>
        </is>
      </c>
      <c r="V1750" t="inlineStr">
        <is>
          <t>2005-09-25</t>
        </is>
      </c>
      <c r="W1750" t="inlineStr">
        <is>
          <t>1990-02-24</t>
        </is>
      </c>
      <c r="X1750" t="inlineStr">
        <is>
          <t>1990-02-24</t>
        </is>
      </c>
      <c r="Y1750" t="n">
        <v>316</v>
      </c>
      <c r="Z1750" t="n">
        <v>260</v>
      </c>
      <c r="AA1750" t="n">
        <v>262</v>
      </c>
      <c r="AB1750" t="n">
        <v>6</v>
      </c>
      <c r="AC1750" t="n">
        <v>6</v>
      </c>
      <c r="AD1750" t="n">
        <v>5</v>
      </c>
      <c r="AE1750" t="n">
        <v>5</v>
      </c>
      <c r="AF1750" t="n">
        <v>1</v>
      </c>
      <c r="AG1750" t="n">
        <v>1</v>
      </c>
      <c r="AH1750" t="n">
        <v>0</v>
      </c>
      <c r="AI1750" t="n">
        <v>0</v>
      </c>
      <c r="AJ1750" t="n">
        <v>0</v>
      </c>
      <c r="AK1750" t="n">
        <v>0</v>
      </c>
      <c r="AL1750" t="n">
        <v>4</v>
      </c>
      <c r="AM1750" t="n">
        <v>4</v>
      </c>
      <c r="AN1750" t="n">
        <v>0</v>
      </c>
      <c r="AO1750" t="n">
        <v>0</v>
      </c>
      <c r="AP1750" t="inlineStr">
        <is>
          <t>No</t>
        </is>
      </c>
      <c r="AQ1750" t="inlineStr">
        <is>
          <t>Yes</t>
        </is>
      </c>
      <c r="AR1750">
        <f>HYPERLINK("http://catalog.hathitrust.org/Record/002164514","HathiTrust Record")</f>
        <v/>
      </c>
      <c r="AS1750">
        <f>HYPERLINK("https://creighton-primo.hosted.exlibrisgroup.com/primo-explore/search?tab=default_tab&amp;search_scope=EVERYTHING&amp;vid=01CRU&amp;lang=en_US&amp;offset=0&amp;query=any,contains,991001256179702656","Catalog Record")</f>
        <v/>
      </c>
      <c r="AT1750">
        <f>HYPERLINK("http://www.worldcat.org/oclc/17731762","WorldCat Record")</f>
        <v/>
      </c>
      <c r="AU1750" t="inlineStr">
        <is>
          <t>295350505:eng</t>
        </is>
      </c>
      <c r="AV1750" t="inlineStr">
        <is>
          <t>17731762</t>
        </is>
      </c>
      <c r="AW1750" t="inlineStr">
        <is>
          <t>991001256179702656</t>
        </is>
      </c>
      <c r="AX1750" t="inlineStr">
        <is>
          <t>991001256179702656</t>
        </is>
      </c>
      <c r="AY1750" t="inlineStr">
        <is>
          <t>2271961680002656</t>
        </is>
      </c>
      <c r="AZ1750" t="inlineStr">
        <is>
          <t>BOOK</t>
        </is>
      </c>
      <c r="BB1750" t="inlineStr">
        <is>
          <t>9780880113199</t>
        </is>
      </c>
      <c r="BC1750" t="inlineStr">
        <is>
          <t>32285000040005</t>
        </is>
      </c>
      <c r="BD1750" t="inlineStr">
        <is>
          <t>893621207</t>
        </is>
      </c>
    </row>
    <row r="1751">
      <c r="A1751" t="inlineStr">
        <is>
          <t>No</t>
        </is>
      </c>
      <c r="B1751" t="inlineStr">
        <is>
          <t>GV993 .P6 1963</t>
        </is>
      </c>
      <c r="C1751" t="inlineStr">
        <is>
          <t>0                      GV 0993000P  6           1963</t>
        </is>
      </c>
      <c r="D1751" t="inlineStr">
        <is>
          <t>Kings of the court : the story of lawn tennis.</t>
        </is>
      </c>
      <c r="F1751" t="inlineStr">
        <is>
          <t>No</t>
        </is>
      </c>
      <c r="G1751" t="inlineStr">
        <is>
          <t>1</t>
        </is>
      </c>
      <c r="H1751" t="inlineStr">
        <is>
          <t>No</t>
        </is>
      </c>
      <c r="I1751" t="inlineStr">
        <is>
          <t>No</t>
        </is>
      </c>
      <c r="J1751" t="inlineStr">
        <is>
          <t>0</t>
        </is>
      </c>
      <c r="K1751" t="inlineStr">
        <is>
          <t>Potter, Edward Clarkson, 1885-</t>
        </is>
      </c>
      <c r="L1751" t="inlineStr">
        <is>
          <t>New York : Barnes, [1963]</t>
        </is>
      </c>
      <c r="M1751" t="inlineStr">
        <is>
          <t>1963</t>
        </is>
      </c>
      <c r="O1751" t="inlineStr">
        <is>
          <t>eng</t>
        </is>
      </c>
      <c r="P1751" t="inlineStr">
        <is>
          <t>nyu</t>
        </is>
      </c>
      <c r="R1751" t="inlineStr">
        <is>
          <t xml:space="preserve">GV </t>
        </is>
      </c>
      <c r="S1751" t="n">
        <v>2</v>
      </c>
      <c r="T1751" t="n">
        <v>2</v>
      </c>
      <c r="U1751" t="inlineStr">
        <is>
          <t>2008-10-06</t>
        </is>
      </c>
      <c r="V1751" t="inlineStr">
        <is>
          <t>2008-10-06</t>
        </is>
      </c>
      <c r="W1751" t="inlineStr">
        <is>
          <t>1991-12-02</t>
        </is>
      </c>
      <c r="X1751" t="inlineStr">
        <is>
          <t>1991-12-02</t>
        </is>
      </c>
      <c r="Y1751" t="n">
        <v>155</v>
      </c>
      <c r="Z1751" t="n">
        <v>141</v>
      </c>
      <c r="AA1751" t="n">
        <v>223</v>
      </c>
      <c r="AB1751" t="n">
        <v>1</v>
      </c>
      <c r="AC1751" t="n">
        <v>1</v>
      </c>
      <c r="AD1751" t="n">
        <v>1</v>
      </c>
      <c r="AE1751" t="n">
        <v>4</v>
      </c>
      <c r="AF1751" t="n">
        <v>0</v>
      </c>
      <c r="AG1751" t="n">
        <v>2</v>
      </c>
      <c r="AH1751" t="n">
        <v>0</v>
      </c>
      <c r="AI1751" t="n">
        <v>0</v>
      </c>
      <c r="AJ1751" t="n">
        <v>1</v>
      </c>
      <c r="AK1751" t="n">
        <v>2</v>
      </c>
      <c r="AL1751" t="n">
        <v>0</v>
      </c>
      <c r="AM1751" t="n">
        <v>0</v>
      </c>
      <c r="AN1751" t="n">
        <v>0</v>
      </c>
      <c r="AO1751" t="n">
        <v>0</v>
      </c>
      <c r="AP1751" t="inlineStr">
        <is>
          <t>No</t>
        </is>
      </c>
      <c r="AQ1751" t="inlineStr">
        <is>
          <t>Yes</t>
        </is>
      </c>
      <c r="AR1751">
        <f>HYPERLINK("http://catalog.hathitrust.org/Record/009908980","HathiTrust Record")</f>
        <v/>
      </c>
      <c r="AS1751">
        <f>HYPERLINK("https://creighton-primo.hosted.exlibrisgroup.com/primo-explore/search?tab=default_tab&amp;search_scope=EVERYTHING&amp;vid=01CRU&amp;lang=en_US&amp;offset=0&amp;query=any,contains,991003714049702656","Catalog Record")</f>
        <v/>
      </c>
      <c r="AT1751">
        <f>HYPERLINK("http://www.worldcat.org/oclc/1357355","WorldCat Record")</f>
        <v/>
      </c>
      <c r="AU1751" t="inlineStr">
        <is>
          <t>1538011:eng</t>
        </is>
      </c>
      <c r="AV1751" t="inlineStr">
        <is>
          <t>1357355</t>
        </is>
      </c>
      <c r="AW1751" t="inlineStr">
        <is>
          <t>991003714049702656</t>
        </is>
      </c>
      <c r="AX1751" t="inlineStr">
        <is>
          <t>991003714049702656</t>
        </is>
      </c>
      <c r="AY1751" t="inlineStr">
        <is>
          <t>2271754940002656</t>
        </is>
      </c>
      <c r="AZ1751" t="inlineStr">
        <is>
          <t>BOOK</t>
        </is>
      </c>
      <c r="BC1751" t="inlineStr">
        <is>
          <t>32285000844737</t>
        </is>
      </c>
      <c r="BD1751" t="inlineStr">
        <is>
          <t>893512267</t>
        </is>
      </c>
    </row>
    <row r="1752">
      <c r="A1752" t="inlineStr">
        <is>
          <t>No</t>
        </is>
      </c>
      <c r="B1752" t="inlineStr">
        <is>
          <t>GV994.A1 H69 2005</t>
        </is>
      </c>
      <c r="C1752" t="inlineStr">
        <is>
          <t>0                      GV 0994000A  1                  H  69          2005</t>
        </is>
      </c>
      <c r="D1752" t="inlineStr">
        <is>
          <t>The rivals : Chris Evert vs. Martina Navratilova : their epic duels and extraordinary friendship / Johnette Howard.</t>
        </is>
      </c>
      <c r="F1752" t="inlineStr">
        <is>
          <t>No</t>
        </is>
      </c>
      <c r="G1752" t="inlineStr">
        <is>
          <t>1</t>
        </is>
      </c>
      <c r="H1752" t="inlineStr">
        <is>
          <t>No</t>
        </is>
      </c>
      <c r="I1752" t="inlineStr">
        <is>
          <t>No</t>
        </is>
      </c>
      <c r="J1752" t="inlineStr">
        <is>
          <t>0</t>
        </is>
      </c>
      <c r="K1752" t="inlineStr">
        <is>
          <t>Howard, Johnette.</t>
        </is>
      </c>
      <c r="L1752" t="inlineStr">
        <is>
          <t>New York : Broadway Books, 2005.</t>
        </is>
      </c>
      <c r="M1752" t="inlineStr">
        <is>
          <t>2005</t>
        </is>
      </c>
      <c r="N1752" t="inlineStr">
        <is>
          <t>1st ed.</t>
        </is>
      </c>
      <c r="O1752" t="inlineStr">
        <is>
          <t>eng</t>
        </is>
      </c>
      <c r="P1752" t="inlineStr">
        <is>
          <t>nyu</t>
        </is>
      </c>
      <c r="R1752" t="inlineStr">
        <is>
          <t xml:space="preserve">GV </t>
        </is>
      </c>
      <c r="S1752" t="n">
        <v>1</v>
      </c>
      <c r="T1752" t="n">
        <v>1</v>
      </c>
      <c r="U1752" t="inlineStr">
        <is>
          <t>2005-07-18</t>
        </is>
      </c>
      <c r="V1752" t="inlineStr">
        <is>
          <t>2005-07-18</t>
        </is>
      </c>
      <c r="W1752" t="inlineStr">
        <is>
          <t>2005-06-27</t>
        </is>
      </c>
      <c r="X1752" t="inlineStr">
        <is>
          <t>2005-06-27</t>
        </is>
      </c>
      <c r="Y1752" t="n">
        <v>587</v>
      </c>
      <c r="Z1752" t="n">
        <v>553</v>
      </c>
      <c r="AA1752" t="n">
        <v>590</v>
      </c>
      <c r="AB1752" t="n">
        <v>2</v>
      </c>
      <c r="AC1752" t="n">
        <v>2</v>
      </c>
      <c r="AD1752" t="n">
        <v>5</v>
      </c>
      <c r="AE1752" t="n">
        <v>5</v>
      </c>
      <c r="AF1752" t="n">
        <v>2</v>
      </c>
      <c r="AG1752" t="n">
        <v>2</v>
      </c>
      <c r="AH1752" t="n">
        <v>1</v>
      </c>
      <c r="AI1752" t="n">
        <v>1</v>
      </c>
      <c r="AJ1752" t="n">
        <v>4</v>
      </c>
      <c r="AK1752" t="n">
        <v>4</v>
      </c>
      <c r="AL1752" t="n">
        <v>0</v>
      </c>
      <c r="AM1752" t="n">
        <v>0</v>
      </c>
      <c r="AN1752" t="n">
        <v>0</v>
      </c>
      <c r="AO1752" t="n">
        <v>0</v>
      </c>
      <c r="AP1752" t="inlineStr">
        <is>
          <t>No</t>
        </is>
      </c>
      <c r="AQ1752" t="inlineStr">
        <is>
          <t>No</t>
        </is>
      </c>
      <c r="AS1752">
        <f>HYPERLINK("https://creighton-primo.hosted.exlibrisgroup.com/primo-explore/search?tab=default_tab&amp;search_scope=EVERYTHING&amp;vid=01CRU&amp;lang=en_US&amp;offset=0&amp;query=any,contains,991004590619702656","Catalog Record")</f>
        <v/>
      </c>
      <c r="AT1752">
        <f>HYPERLINK("http://www.worldcat.org/oclc/57344286","WorldCat Record")</f>
        <v/>
      </c>
      <c r="AU1752" t="inlineStr">
        <is>
          <t>175579:eng</t>
        </is>
      </c>
      <c r="AV1752" t="inlineStr">
        <is>
          <t>57344286</t>
        </is>
      </c>
      <c r="AW1752" t="inlineStr">
        <is>
          <t>991004590619702656</t>
        </is>
      </c>
      <c r="AX1752" t="inlineStr">
        <is>
          <t>991004590619702656</t>
        </is>
      </c>
      <c r="AY1752" t="inlineStr">
        <is>
          <t>2268663410002656</t>
        </is>
      </c>
      <c r="AZ1752" t="inlineStr">
        <is>
          <t>BOOK</t>
        </is>
      </c>
      <c r="BB1752" t="inlineStr">
        <is>
          <t>9780767918848</t>
        </is>
      </c>
      <c r="BC1752" t="inlineStr">
        <is>
          <t>32285005096143</t>
        </is>
      </c>
      <c r="BD1752" t="inlineStr">
        <is>
          <t>893788891</t>
        </is>
      </c>
    </row>
    <row r="1753">
      <c r="A1753" t="inlineStr">
        <is>
          <t>No</t>
        </is>
      </c>
      <c r="B1753" t="inlineStr">
        <is>
          <t>GV994.A1 M49 1993</t>
        </is>
      </c>
      <c r="C1753" t="inlineStr">
        <is>
          <t>0                      GV 0994000A  1                  M  49          1993</t>
        </is>
      </c>
      <c r="D1753" t="inlineStr">
        <is>
          <t>Ladies of the court : grace and disgrace on the women's tennis tour / Michael Mewshaw.</t>
        </is>
      </c>
      <c r="F1753" t="inlineStr">
        <is>
          <t>No</t>
        </is>
      </c>
      <c r="G1753" t="inlineStr">
        <is>
          <t>1</t>
        </is>
      </c>
      <c r="H1753" t="inlineStr">
        <is>
          <t>No</t>
        </is>
      </c>
      <c r="I1753" t="inlineStr">
        <is>
          <t>No</t>
        </is>
      </c>
      <c r="J1753" t="inlineStr">
        <is>
          <t>0</t>
        </is>
      </c>
      <c r="K1753" t="inlineStr">
        <is>
          <t>Mewshaw, Michael, 1943-</t>
        </is>
      </c>
      <c r="L1753" t="inlineStr">
        <is>
          <t>New York : Crown Publishers, c1993.</t>
        </is>
      </c>
      <c r="M1753" t="inlineStr">
        <is>
          <t>1993</t>
        </is>
      </c>
      <c r="N1753" t="inlineStr">
        <is>
          <t>1st ed.</t>
        </is>
      </c>
      <c r="O1753" t="inlineStr">
        <is>
          <t>eng</t>
        </is>
      </c>
      <c r="P1753" t="inlineStr">
        <is>
          <t>nyu</t>
        </is>
      </c>
      <c r="R1753" t="inlineStr">
        <is>
          <t xml:space="preserve">GV </t>
        </is>
      </c>
      <c r="S1753" t="n">
        <v>2</v>
      </c>
      <c r="T1753" t="n">
        <v>2</v>
      </c>
      <c r="U1753" t="inlineStr">
        <is>
          <t>2005-03-31</t>
        </is>
      </c>
      <c r="V1753" t="inlineStr">
        <is>
          <t>2005-03-31</t>
        </is>
      </c>
      <c r="W1753" t="inlineStr">
        <is>
          <t>2005-03-15</t>
        </is>
      </c>
      <c r="X1753" t="inlineStr">
        <is>
          <t>2005-03-15</t>
        </is>
      </c>
      <c r="Y1753" t="n">
        <v>380</v>
      </c>
      <c r="Z1753" t="n">
        <v>347</v>
      </c>
      <c r="AA1753" t="n">
        <v>364</v>
      </c>
      <c r="AB1753" t="n">
        <v>2</v>
      </c>
      <c r="AC1753" t="n">
        <v>2</v>
      </c>
      <c r="AD1753" t="n">
        <v>5</v>
      </c>
      <c r="AE1753" t="n">
        <v>6</v>
      </c>
      <c r="AF1753" t="n">
        <v>3</v>
      </c>
      <c r="AG1753" t="n">
        <v>3</v>
      </c>
      <c r="AH1753" t="n">
        <v>0</v>
      </c>
      <c r="AI1753" t="n">
        <v>0</v>
      </c>
      <c r="AJ1753" t="n">
        <v>2</v>
      </c>
      <c r="AK1753" t="n">
        <v>3</v>
      </c>
      <c r="AL1753" t="n">
        <v>1</v>
      </c>
      <c r="AM1753" t="n">
        <v>1</v>
      </c>
      <c r="AN1753" t="n">
        <v>0</v>
      </c>
      <c r="AO1753" t="n">
        <v>0</v>
      </c>
      <c r="AP1753" t="inlineStr">
        <is>
          <t>No</t>
        </is>
      </c>
      <c r="AQ1753" t="inlineStr">
        <is>
          <t>No</t>
        </is>
      </c>
      <c r="AS1753">
        <f>HYPERLINK("https://creighton-primo.hosted.exlibrisgroup.com/primo-explore/search?tab=default_tab&amp;search_scope=EVERYTHING&amp;vid=01CRU&amp;lang=en_US&amp;offset=0&amp;query=any,contains,991004498679702656","Catalog Record")</f>
        <v/>
      </c>
      <c r="AT1753">
        <f>HYPERLINK("http://www.worldcat.org/oclc/26129736","WorldCat Record")</f>
        <v/>
      </c>
      <c r="AU1753" t="inlineStr">
        <is>
          <t>388604:eng</t>
        </is>
      </c>
      <c r="AV1753" t="inlineStr">
        <is>
          <t>26129736</t>
        </is>
      </c>
      <c r="AW1753" t="inlineStr">
        <is>
          <t>991004498679702656</t>
        </is>
      </c>
      <c r="AX1753" t="inlineStr">
        <is>
          <t>991004498679702656</t>
        </is>
      </c>
      <c r="AY1753" t="inlineStr">
        <is>
          <t>2270959190002656</t>
        </is>
      </c>
      <c r="AZ1753" t="inlineStr">
        <is>
          <t>BOOK</t>
        </is>
      </c>
      <c r="BB1753" t="inlineStr">
        <is>
          <t>9780517587584</t>
        </is>
      </c>
      <c r="BC1753" t="inlineStr">
        <is>
          <t>32285005041404</t>
        </is>
      </c>
      <c r="BD1753" t="inlineStr">
        <is>
          <t>893247645</t>
        </is>
      </c>
    </row>
    <row r="1754">
      <c r="A1754" t="inlineStr">
        <is>
          <t>No</t>
        </is>
      </c>
      <c r="B1754" t="inlineStr">
        <is>
          <t>GV995 .B6923 1987</t>
        </is>
      </c>
      <c r="C1754" t="inlineStr">
        <is>
          <t>0                      GV 0995000B  6923        1987</t>
        </is>
      </c>
      <c r="D1754" t="inlineStr">
        <is>
          <t>Tennis science for tennis players / Howard Brody.</t>
        </is>
      </c>
      <c r="F1754" t="inlineStr">
        <is>
          <t>No</t>
        </is>
      </c>
      <c r="G1754" t="inlineStr">
        <is>
          <t>1</t>
        </is>
      </c>
      <c r="H1754" t="inlineStr">
        <is>
          <t>No</t>
        </is>
      </c>
      <c r="I1754" t="inlineStr">
        <is>
          <t>No</t>
        </is>
      </c>
      <c r="J1754" t="inlineStr">
        <is>
          <t>0</t>
        </is>
      </c>
      <c r="K1754" t="inlineStr">
        <is>
          <t>Brody, Howard, 1932-2015.</t>
        </is>
      </c>
      <c r="L1754" t="inlineStr">
        <is>
          <t>Philadelphia : University of Pennsylvania Press, 1987.</t>
        </is>
      </c>
      <c r="M1754" t="inlineStr">
        <is>
          <t>1987</t>
        </is>
      </c>
      <c r="O1754" t="inlineStr">
        <is>
          <t>eng</t>
        </is>
      </c>
      <c r="P1754" t="inlineStr">
        <is>
          <t>pau</t>
        </is>
      </c>
      <c r="R1754" t="inlineStr">
        <is>
          <t xml:space="preserve">GV </t>
        </is>
      </c>
      <c r="S1754" t="n">
        <v>12</v>
      </c>
      <c r="T1754" t="n">
        <v>12</v>
      </c>
      <c r="U1754" t="inlineStr">
        <is>
          <t>2005-09-25</t>
        </is>
      </c>
      <c r="V1754" t="inlineStr">
        <is>
          <t>2005-09-25</t>
        </is>
      </c>
      <c r="W1754" t="inlineStr">
        <is>
          <t>1990-08-01</t>
        </is>
      </c>
      <c r="X1754" t="inlineStr">
        <is>
          <t>1990-08-01</t>
        </is>
      </c>
      <c r="Y1754" t="n">
        <v>527</v>
      </c>
      <c r="Z1754" t="n">
        <v>476</v>
      </c>
      <c r="AA1754" t="n">
        <v>765</v>
      </c>
      <c r="AB1754" t="n">
        <v>5</v>
      </c>
      <c r="AC1754" t="n">
        <v>5</v>
      </c>
      <c r="AD1754" t="n">
        <v>14</v>
      </c>
      <c r="AE1754" t="n">
        <v>28</v>
      </c>
      <c r="AF1754" t="n">
        <v>5</v>
      </c>
      <c r="AG1754" t="n">
        <v>13</v>
      </c>
      <c r="AH1754" t="n">
        <v>2</v>
      </c>
      <c r="AI1754" t="n">
        <v>6</v>
      </c>
      <c r="AJ1754" t="n">
        <v>5</v>
      </c>
      <c r="AK1754" t="n">
        <v>11</v>
      </c>
      <c r="AL1754" t="n">
        <v>4</v>
      </c>
      <c r="AM1754" t="n">
        <v>4</v>
      </c>
      <c r="AN1754" t="n">
        <v>0</v>
      </c>
      <c r="AO1754" t="n">
        <v>0</v>
      </c>
      <c r="AP1754" t="inlineStr">
        <is>
          <t>No</t>
        </is>
      </c>
      <c r="AQ1754" t="inlineStr">
        <is>
          <t>No</t>
        </is>
      </c>
      <c r="AS1754">
        <f>HYPERLINK("https://creighton-primo.hosted.exlibrisgroup.com/primo-explore/search?tab=default_tab&amp;search_scope=EVERYTHING&amp;vid=01CRU&amp;lang=en_US&amp;offset=0&amp;query=any,contains,991000969569702656","Catalog Record")</f>
        <v/>
      </c>
      <c r="AT1754">
        <f>HYPERLINK("http://www.worldcat.org/oclc/14932830","WorldCat Record")</f>
        <v/>
      </c>
      <c r="AU1754" t="inlineStr">
        <is>
          <t>1010263:eng</t>
        </is>
      </c>
      <c r="AV1754" t="inlineStr">
        <is>
          <t>14932830</t>
        </is>
      </c>
      <c r="AW1754" t="inlineStr">
        <is>
          <t>991000969569702656</t>
        </is>
      </c>
      <c r="AX1754" t="inlineStr">
        <is>
          <t>991000969569702656</t>
        </is>
      </c>
      <c r="AY1754" t="inlineStr">
        <is>
          <t>2263574170002656</t>
        </is>
      </c>
      <c r="AZ1754" t="inlineStr">
        <is>
          <t>BOOK</t>
        </is>
      </c>
      <c r="BB1754" t="inlineStr">
        <is>
          <t>9780812212389</t>
        </is>
      </c>
      <c r="BC1754" t="inlineStr">
        <is>
          <t>32285000249408</t>
        </is>
      </c>
      <c r="BD1754" t="inlineStr">
        <is>
          <t>893784692</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